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xl/webextensions/taskpanes.xml" ContentType="application/vnd.ms-office.webextensiontaskpanes+xml"/>
  <Override PartName="/xl/webextensions/webextension1.xml" ContentType="application/vnd.ms-office.webextensio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microsoft.com/office/2011/relationships/webextensiontaskpanes" Target="xl/webextensions/taskpanes.xml"/><Relationship Id="rId1" Type="http://schemas.openxmlformats.org/officeDocument/2006/relationships/officeDocument" Target="xl/workbook.xml"/><Relationship Id="rId5" Type="http://schemas.openxmlformats.org/officeDocument/2006/relationships/custom-properties" Target="docProps/custom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326"/>
  <workbookPr codeName="Ten_skoroszyt" defaultThemeVersion="166925"/>
  <mc:AlternateContent xmlns:mc="http://schemas.openxmlformats.org/markup-compatibility/2006">
    <mc:Choice Requires="x15">
      <x15ac:absPath xmlns:x15ac="http://schemas.microsoft.com/office/spreadsheetml/2010/11/ac" url="https://kobilight365.sharepoint.com/sites/DzialMarketingu/Shared Documents/Projekty w trakcie/CENNIKI/"/>
    </mc:Choice>
  </mc:AlternateContent>
  <xr:revisionPtr revIDLastSave="7" documentId="8_{B8305995-20CC-46C6-BF57-49F64DA2563F}" xr6:coauthVersionLast="47" xr6:coauthVersionMax="47" xr10:uidLastSave="{29B5B3C1-2119-44FF-800C-44E64F6D4920}"/>
  <bookViews>
    <workbookView xWindow="-120" yWindow="-120" windowWidth="29040" windowHeight="15720" activeTab="1" xr2:uid="{C39E6345-525F-4B24-ABC5-912BEA5A5659}"/>
  </bookViews>
  <sheets>
    <sheet name="Rabat" sheetId="4" r:id="rId1"/>
    <sheet name="cennik" sheetId="2" r:id="rId2"/>
    <sheet name="cennik wyprzedaż" sheetId="3" r:id="rId3"/>
  </sheets>
  <definedNames>
    <definedName name="_xlnm._FilterDatabase" localSheetId="1" hidden="1">cennik!$B$2:$Q$935</definedName>
    <definedName name="_xlnm.Extract" localSheetId="1">cennik!$J$2:$Y$2</definedName>
    <definedName name="_xlnm.Extract" localSheetId="2">'cennik wyprzedaż'!$A$2:$S$2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K183" i="3" l="1"/>
  <c r="K182" i="3"/>
  <c r="K181" i="3"/>
  <c r="K180" i="3"/>
  <c r="K179" i="3"/>
  <c r="K178" i="3"/>
  <c r="K177" i="3"/>
  <c r="K176" i="3"/>
  <c r="K175" i="3"/>
  <c r="K174" i="3"/>
  <c r="K173" i="3"/>
  <c r="K172" i="3"/>
  <c r="K171" i="3"/>
  <c r="K170" i="3"/>
  <c r="K169" i="3"/>
  <c r="K168" i="3"/>
  <c r="K167" i="3"/>
  <c r="K166" i="3"/>
  <c r="K165" i="3"/>
  <c r="K164" i="3"/>
  <c r="K163" i="3"/>
  <c r="K162" i="3"/>
  <c r="K161" i="3"/>
  <c r="K160" i="3"/>
  <c r="K159" i="3"/>
  <c r="K158" i="3"/>
  <c r="K157" i="3"/>
  <c r="K156" i="3"/>
  <c r="K155" i="3"/>
  <c r="K154" i="3"/>
  <c r="K153" i="3"/>
  <c r="K152" i="3"/>
  <c r="K151" i="3"/>
  <c r="K150" i="3"/>
  <c r="K149" i="3"/>
  <c r="K148" i="3"/>
  <c r="K147" i="3"/>
  <c r="K146" i="3"/>
  <c r="K145" i="3"/>
  <c r="K144" i="3"/>
  <c r="K143" i="3"/>
  <c r="K142" i="3"/>
  <c r="K141" i="3"/>
  <c r="K140" i="3"/>
  <c r="K139" i="3"/>
  <c r="K138" i="3"/>
  <c r="K137" i="3"/>
  <c r="K136" i="3"/>
  <c r="K135" i="3"/>
  <c r="K134" i="3"/>
  <c r="K133" i="3"/>
  <c r="K132" i="3"/>
  <c r="K131" i="3"/>
  <c r="K130" i="3"/>
  <c r="K129" i="3"/>
  <c r="K128" i="3"/>
  <c r="K127" i="3"/>
  <c r="K126" i="3"/>
  <c r="K125" i="3"/>
  <c r="K124" i="3"/>
  <c r="K123" i="3"/>
  <c r="K122" i="3"/>
  <c r="K121" i="3"/>
  <c r="K120" i="3"/>
  <c r="K119" i="3"/>
  <c r="K118" i="3"/>
  <c r="K117" i="3"/>
  <c r="K116" i="3"/>
  <c r="K115" i="3"/>
  <c r="K114" i="3"/>
  <c r="K113" i="3"/>
  <c r="K112" i="3"/>
  <c r="K111" i="3"/>
  <c r="K110" i="3"/>
  <c r="K109" i="3"/>
  <c r="K108" i="3"/>
  <c r="K107" i="3"/>
  <c r="K106" i="3"/>
  <c r="K105" i="3"/>
  <c r="K104" i="3"/>
  <c r="K103" i="3"/>
  <c r="K102" i="3"/>
  <c r="K101" i="3"/>
  <c r="K100" i="3"/>
  <c r="K99" i="3"/>
  <c r="K98" i="3"/>
  <c r="K97" i="3"/>
  <c r="K96" i="3"/>
  <c r="K95" i="3"/>
  <c r="K94" i="3"/>
  <c r="K93" i="3"/>
  <c r="K92" i="3"/>
  <c r="K91" i="3"/>
  <c r="K90" i="3"/>
  <c r="K89" i="3"/>
  <c r="K88" i="3"/>
  <c r="K87" i="3"/>
  <c r="K86" i="3"/>
  <c r="K85" i="3"/>
  <c r="K84" i="3"/>
  <c r="K83" i="3"/>
  <c r="K82" i="3"/>
  <c r="K81" i="3"/>
  <c r="K80" i="3"/>
  <c r="K79" i="3"/>
  <c r="K78" i="3"/>
  <c r="K77" i="3"/>
  <c r="K76" i="3"/>
  <c r="K75" i="3"/>
  <c r="K74" i="3"/>
  <c r="K73" i="3"/>
  <c r="K72" i="3"/>
  <c r="K71" i="3"/>
  <c r="K70" i="3"/>
  <c r="K69" i="3"/>
  <c r="L68" i="3"/>
  <c r="K68" i="3"/>
  <c r="L67" i="3"/>
  <c r="K67" i="3"/>
  <c r="L66" i="3"/>
  <c r="K66" i="3"/>
  <c r="L65" i="3"/>
  <c r="K65" i="3"/>
  <c r="L64" i="3"/>
  <c r="K64" i="3"/>
  <c r="K63" i="3"/>
  <c r="K62" i="3"/>
  <c r="K61" i="3"/>
  <c r="K60" i="3"/>
  <c r="K59" i="3"/>
  <c r="K58" i="3"/>
  <c r="K57" i="3"/>
  <c r="K56" i="3"/>
  <c r="K55" i="3"/>
  <c r="K54" i="3"/>
  <c r="K53" i="3"/>
  <c r="K52" i="3"/>
  <c r="L51" i="3"/>
  <c r="K51" i="3"/>
  <c r="L50" i="3"/>
  <c r="K50" i="3"/>
  <c r="L49" i="3"/>
  <c r="K49" i="3"/>
  <c r="L48" i="3"/>
  <c r="K48" i="3"/>
  <c r="L47" i="3"/>
  <c r="K47" i="3"/>
  <c r="L46" i="3"/>
  <c r="K46" i="3"/>
  <c r="L45" i="3"/>
  <c r="K45" i="3"/>
  <c r="L44" i="3"/>
  <c r="K44" i="3"/>
  <c r="K43" i="3"/>
  <c r="K42" i="3"/>
  <c r="L41" i="3"/>
  <c r="K41" i="3"/>
  <c r="L40" i="3"/>
  <c r="K40" i="3"/>
  <c r="L39" i="3"/>
  <c r="K39" i="3"/>
  <c r="L38" i="3"/>
  <c r="K38" i="3"/>
  <c r="L37" i="3"/>
  <c r="K37" i="3"/>
  <c r="L36" i="3"/>
  <c r="K36" i="3"/>
  <c r="L35" i="3"/>
  <c r="K35" i="3"/>
  <c r="K34" i="3"/>
  <c r="K33" i="3"/>
  <c r="K32" i="3"/>
  <c r="K31" i="3"/>
  <c r="K30" i="3"/>
  <c r="K29" i="3"/>
  <c r="K28" i="3"/>
  <c r="L27" i="3"/>
  <c r="K27" i="3"/>
  <c r="L26" i="3"/>
  <c r="K26" i="3"/>
  <c r="L25" i="3"/>
  <c r="K25" i="3"/>
  <c r="K24" i="3"/>
  <c r="K23" i="3"/>
  <c r="K22" i="3"/>
  <c r="K21" i="3"/>
  <c r="K20" i="3"/>
  <c r="K19" i="3"/>
  <c r="K18" i="3"/>
  <c r="K17" i="3"/>
  <c r="L16" i="3"/>
  <c r="K16" i="3"/>
  <c r="L15" i="3"/>
  <c r="K15" i="3"/>
  <c r="K14" i="3"/>
  <c r="L13" i="3"/>
  <c r="K13" i="3"/>
  <c r="L12" i="3"/>
  <c r="K12" i="3"/>
  <c r="L11" i="3"/>
  <c r="K11" i="3"/>
  <c r="L10" i="3"/>
  <c r="K10" i="3"/>
  <c r="L9" i="3"/>
  <c r="K9" i="3"/>
  <c r="L8" i="3"/>
  <c r="K8" i="3"/>
  <c r="L7" i="3"/>
  <c r="K7" i="3"/>
  <c r="L6" i="3"/>
  <c r="K6" i="3"/>
  <c r="L5" i="3"/>
  <c r="K5" i="3"/>
  <c r="L4" i="3"/>
  <c r="K4" i="3"/>
  <c r="L3" i="3"/>
  <c r="K3" i="3"/>
  <c r="I3" i="3"/>
  <c r="I4" i="3"/>
  <c r="I5" i="3"/>
  <c r="I6" i="3"/>
  <c r="I7" i="3"/>
  <c r="I8" i="3"/>
  <c r="I9" i="3"/>
  <c r="I10" i="3"/>
  <c r="I11" i="3"/>
  <c r="I12" i="3"/>
  <c r="I13" i="3"/>
  <c r="I14" i="3"/>
  <c r="I15" i="3"/>
  <c r="I16" i="3"/>
  <c r="I17" i="3"/>
  <c r="I18" i="3"/>
  <c r="I19" i="3"/>
  <c r="I20" i="3"/>
  <c r="I21" i="3"/>
  <c r="I22" i="3"/>
  <c r="I23" i="3"/>
  <c r="I24" i="3"/>
  <c r="I25" i="3"/>
  <c r="I26" i="3"/>
  <c r="I27" i="3"/>
  <c r="I28" i="3"/>
  <c r="I29" i="3"/>
  <c r="I30" i="3"/>
  <c r="I31" i="3"/>
  <c r="I32" i="3"/>
  <c r="I33" i="3"/>
  <c r="I34" i="3"/>
  <c r="I35" i="3"/>
  <c r="I36" i="3"/>
  <c r="I37" i="3"/>
  <c r="I38" i="3"/>
  <c r="I39" i="3"/>
  <c r="I40" i="3"/>
  <c r="I41" i="3"/>
  <c r="I42" i="3"/>
  <c r="I43" i="3"/>
  <c r="I44" i="3"/>
  <c r="I45" i="3"/>
  <c r="I46" i="3"/>
  <c r="I47" i="3"/>
  <c r="I48" i="3"/>
  <c r="I49" i="3"/>
  <c r="I50" i="3"/>
  <c r="I51" i="3"/>
  <c r="I52" i="3"/>
  <c r="I53" i="3"/>
  <c r="I54" i="3"/>
  <c r="I55" i="3"/>
  <c r="I56" i="3"/>
  <c r="I57" i="3"/>
  <c r="I58" i="3"/>
  <c r="I59" i="3"/>
  <c r="I60" i="3"/>
  <c r="I61" i="3"/>
  <c r="I62" i="3"/>
  <c r="I63" i="3"/>
  <c r="I64" i="3"/>
  <c r="I65" i="3"/>
  <c r="I66" i="3"/>
  <c r="I67" i="3"/>
  <c r="I68" i="3"/>
  <c r="I69" i="3"/>
  <c r="I70" i="3"/>
  <c r="I71" i="3"/>
  <c r="I72" i="3"/>
  <c r="I73" i="3"/>
  <c r="I74" i="3"/>
  <c r="I75" i="3"/>
  <c r="I76" i="3"/>
  <c r="I77" i="3"/>
  <c r="I78" i="3"/>
  <c r="I79" i="3"/>
  <c r="I80" i="3"/>
  <c r="I81" i="3"/>
  <c r="I82" i="3"/>
  <c r="I83" i="3"/>
  <c r="I84" i="3"/>
  <c r="I85" i="3"/>
  <c r="I86" i="3"/>
  <c r="I87" i="3"/>
  <c r="I88" i="3"/>
  <c r="I89" i="3"/>
  <c r="I90" i="3"/>
  <c r="I91" i="3"/>
  <c r="I92" i="3"/>
  <c r="I93" i="3"/>
  <c r="I94" i="3"/>
  <c r="I95" i="3"/>
  <c r="I96" i="3"/>
  <c r="I97" i="3"/>
  <c r="I98" i="3"/>
  <c r="I99" i="3"/>
  <c r="I100" i="3"/>
  <c r="I101" i="3"/>
  <c r="I102" i="3"/>
  <c r="I103" i="3"/>
  <c r="I104" i="3"/>
  <c r="I105" i="3"/>
  <c r="I106" i="3"/>
  <c r="I107" i="3"/>
  <c r="I108" i="3"/>
  <c r="I109" i="3"/>
  <c r="I110" i="3"/>
  <c r="I111" i="3"/>
  <c r="I112" i="3"/>
  <c r="I113" i="3"/>
  <c r="I114" i="3"/>
  <c r="I115" i="3"/>
  <c r="I116" i="3"/>
  <c r="I117" i="3"/>
  <c r="I118" i="3"/>
  <c r="I119" i="3"/>
  <c r="I120" i="3"/>
  <c r="I121" i="3"/>
  <c r="I122" i="3"/>
  <c r="I123" i="3"/>
  <c r="I124" i="3"/>
  <c r="I125" i="3"/>
  <c r="I126" i="3"/>
  <c r="I127" i="3"/>
  <c r="I128" i="3"/>
  <c r="I129" i="3"/>
  <c r="I130" i="3"/>
  <c r="I131" i="3"/>
  <c r="I132" i="3"/>
  <c r="I133" i="3"/>
  <c r="I134" i="3"/>
  <c r="I135" i="3"/>
  <c r="I136" i="3"/>
  <c r="I137" i="3"/>
  <c r="I138" i="3"/>
  <c r="I139" i="3"/>
  <c r="I140" i="3"/>
  <c r="I141" i="3"/>
  <c r="I142" i="3"/>
  <c r="I143" i="3"/>
  <c r="I144" i="3"/>
  <c r="I145" i="3"/>
  <c r="I146" i="3"/>
  <c r="I147" i="3"/>
  <c r="I148" i="3"/>
  <c r="I149" i="3"/>
  <c r="I150" i="3"/>
  <c r="I151" i="3"/>
  <c r="I152" i="3"/>
  <c r="I153" i="3"/>
  <c r="I154" i="3"/>
  <c r="I155" i="3"/>
  <c r="I156" i="3"/>
  <c r="I157" i="3"/>
  <c r="I158" i="3"/>
  <c r="I159" i="3"/>
  <c r="I160" i="3"/>
  <c r="I161" i="3"/>
  <c r="I162" i="3"/>
  <c r="I163" i="3"/>
  <c r="I164" i="3"/>
  <c r="I165" i="3"/>
  <c r="I166" i="3"/>
  <c r="I167" i="3"/>
  <c r="I168" i="3"/>
  <c r="I169" i="3"/>
  <c r="I170" i="3"/>
  <c r="I171" i="3"/>
  <c r="I172" i="3"/>
  <c r="I173" i="3"/>
  <c r="I174" i="3"/>
  <c r="I175" i="3"/>
  <c r="I176" i="3"/>
  <c r="I177" i="3"/>
  <c r="I178" i="3"/>
  <c r="I179" i="3"/>
  <c r="I180" i="3"/>
  <c r="I181" i="3"/>
  <c r="I182" i="3"/>
  <c r="I183" i="3"/>
  <c r="P1205" i="2"/>
  <c r="P1204" i="2"/>
  <c r="P1203" i="2"/>
  <c r="P1202" i="2"/>
  <c r="P1201" i="2"/>
  <c r="P1200" i="2"/>
  <c r="P1199" i="2"/>
  <c r="P1198" i="2"/>
  <c r="P1197" i="2"/>
  <c r="P1196" i="2"/>
  <c r="P1195" i="2"/>
  <c r="P1194" i="2"/>
  <c r="P1193" i="2"/>
  <c r="P1192" i="2"/>
  <c r="P1191" i="2"/>
  <c r="P1190" i="2"/>
  <c r="P1189" i="2"/>
  <c r="P1188" i="2"/>
  <c r="P1187" i="2"/>
  <c r="P1186" i="2"/>
  <c r="P1185" i="2"/>
  <c r="P1184" i="2"/>
  <c r="P1183" i="2"/>
  <c r="P1182" i="2"/>
  <c r="P1181" i="2"/>
  <c r="P1180" i="2"/>
  <c r="P1179" i="2"/>
  <c r="P1178" i="2"/>
  <c r="P1177" i="2"/>
  <c r="P1176" i="2"/>
  <c r="P1175" i="2"/>
  <c r="P1173" i="2"/>
  <c r="P1172" i="2"/>
  <c r="P1171" i="2"/>
  <c r="P1170" i="2"/>
  <c r="P1169" i="2"/>
  <c r="P1168" i="2"/>
  <c r="P1167" i="2"/>
  <c r="P1166" i="2"/>
  <c r="P1164" i="2"/>
  <c r="P1163" i="2"/>
  <c r="P1162" i="2"/>
  <c r="P1161" i="2"/>
  <c r="P1160" i="2"/>
  <c r="P1159" i="2"/>
  <c r="P1158" i="2"/>
  <c r="P1157" i="2"/>
  <c r="P1156" i="2"/>
  <c r="P1155" i="2"/>
  <c r="P1154" i="2"/>
  <c r="P1153" i="2"/>
  <c r="P1152" i="2"/>
  <c r="P1151" i="2"/>
  <c r="P1150" i="2"/>
  <c r="P1149" i="2"/>
  <c r="P1148" i="2"/>
  <c r="P1147" i="2"/>
  <c r="P1146" i="2"/>
  <c r="P1145" i="2"/>
  <c r="P1144" i="2"/>
  <c r="P1143" i="2"/>
  <c r="P1142" i="2"/>
  <c r="P1141" i="2"/>
  <c r="P1139" i="2"/>
  <c r="P1138" i="2"/>
  <c r="P1137" i="2"/>
  <c r="P1136" i="2"/>
  <c r="P1135" i="2"/>
  <c r="P1134" i="2"/>
  <c r="P1133" i="2"/>
  <c r="P1132" i="2"/>
  <c r="P1131" i="2"/>
  <c r="P1130" i="2"/>
  <c r="P1129" i="2"/>
  <c r="P1128" i="2"/>
  <c r="P1127" i="2"/>
  <c r="P1126" i="2"/>
  <c r="P1124" i="2"/>
  <c r="P1123" i="2"/>
  <c r="P1122" i="2"/>
  <c r="P1121" i="2"/>
  <c r="P1120" i="2"/>
  <c r="P1119" i="2"/>
  <c r="P1118" i="2"/>
  <c r="P1117" i="2"/>
  <c r="P1116" i="2"/>
  <c r="P1115" i="2"/>
  <c r="P1114" i="2"/>
  <c r="P1113" i="2"/>
  <c r="P1112" i="2"/>
  <c r="P1111" i="2"/>
  <c r="P1110" i="2"/>
  <c r="P1109" i="2"/>
  <c r="P1108" i="2"/>
  <c r="P1107" i="2"/>
  <c r="P1106" i="2"/>
  <c r="P1105" i="2"/>
  <c r="P1104" i="2"/>
  <c r="P1103" i="2"/>
  <c r="P1102" i="2"/>
  <c r="P1101" i="2"/>
  <c r="P1100" i="2"/>
  <c r="P1099" i="2"/>
  <c r="P1098" i="2"/>
  <c r="P1097" i="2"/>
  <c r="P1096" i="2"/>
  <c r="P1095" i="2"/>
  <c r="P1094" i="2"/>
  <c r="P1093" i="2"/>
  <c r="P1092" i="2"/>
  <c r="P1091" i="2"/>
  <c r="P1090" i="2"/>
  <c r="P1089" i="2"/>
  <c r="P1088" i="2"/>
  <c r="P1087" i="2"/>
  <c r="P1086" i="2"/>
  <c r="P1085" i="2"/>
  <c r="P1084" i="2"/>
  <c r="P1083" i="2"/>
  <c r="P1082" i="2"/>
  <c r="P1081" i="2"/>
  <c r="P1080" i="2"/>
  <c r="P1079" i="2"/>
  <c r="P1078" i="2"/>
  <c r="P1077" i="2"/>
  <c r="P1076" i="2"/>
  <c r="P1075" i="2"/>
  <c r="P1074" i="2"/>
  <c r="P1073" i="2"/>
  <c r="P1072" i="2"/>
  <c r="P1071" i="2"/>
  <c r="P1070" i="2"/>
  <c r="P1069" i="2"/>
  <c r="P1068" i="2"/>
  <c r="P1067" i="2"/>
  <c r="P1066" i="2"/>
  <c r="P1065" i="2"/>
  <c r="P1064" i="2"/>
  <c r="P1063" i="2"/>
  <c r="P1062" i="2"/>
  <c r="P1061" i="2"/>
  <c r="P1060" i="2"/>
  <c r="P1059" i="2"/>
  <c r="P1058" i="2"/>
  <c r="P1057" i="2"/>
  <c r="P1056" i="2"/>
  <c r="Q1055" i="2"/>
  <c r="P1055" i="2"/>
  <c r="Q1054" i="2"/>
  <c r="P1054" i="2"/>
  <c r="Q1053" i="2"/>
  <c r="P1053" i="2"/>
  <c r="Q1052" i="2"/>
  <c r="P1052" i="2"/>
  <c r="Q1051" i="2"/>
  <c r="P1051" i="2"/>
  <c r="Q1050" i="2"/>
  <c r="P1050" i="2"/>
  <c r="Q1049" i="2"/>
  <c r="P1049" i="2"/>
  <c r="P1048" i="2"/>
  <c r="P1047" i="2"/>
  <c r="P1046" i="2"/>
  <c r="P1045" i="2"/>
  <c r="P1044" i="2"/>
  <c r="P1043" i="2"/>
  <c r="P1042" i="2"/>
  <c r="P1041" i="2"/>
  <c r="P1040" i="2"/>
  <c r="P1039" i="2"/>
  <c r="P1038" i="2"/>
  <c r="P1037" i="2"/>
  <c r="P1036" i="2"/>
  <c r="P1035" i="2"/>
  <c r="P1034" i="2"/>
  <c r="Q1033" i="2"/>
  <c r="P1033" i="2"/>
  <c r="Q1032" i="2"/>
  <c r="P1032" i="2"/>
  <c r="Q1031" i="2"/>
  <c r="P1031" i="2"/>
  <c r="Q1030" i="2"/>
  <c r="P1030" i="2"/>
  <c r="P1029" i="2"/>
  <c r="P1028" i="2"/>
  <c r="P1027" i="2"/>
  <c r="Q1026" i="2"/>
  <c r="P1026" i="2"/>
  <c r="Q1025" i="2"/>
  <c r="P1025" i="2"/>
  <c r="Q1024" i="2"/>
  <c r="P1024" i="2"/>
  <c r="Q1023" i="2"/>
  <c r="P1023" i="2"/>
  <c r="Q1022" i="2"/>
  <c r="P1022" i="2"/>
  <c r="Q1021" i="2"/>
  <c r="P1021" i="2"/>
  <c r="Q1020" i="2"/>
  <c r="P1020" i="2"/>
  <c r="Q1019" i="2"/>
  <c r="P1019" i="2"/>
  <c r="Q1018" i="2"/>
  <c r="P1018" i="2"/>
  <c r="Q1017" i="2"/>
  <c r="P1017" i="2"/>
  <c r="Q1016" i="2"/>
  <c r="P1016" i="2"/>
  <c r="Q1015" i="2"/>
  <c r="P1015" i="2"/>
  <c r="P1014" i="2"/>
  <c r="P1013" i="2"/>
  <c r="P1012" i="2"/>
  <c r="P1011" i="2"/>
  <c r="P1010" i="2"/>
  <c r="P1009" i="2"/>
  <c r="P1008" i="2"/>
  <c r="P1007" i="2"/>
  <c r="P1006" i="2"/>
  <c r="P1005" i="2"/>
  <c r="P1004" i="2"/>
  <c r="P1003" i="2"/>
  <c r="P1002" i="2"/>
  <c r="P1001" i="2"/>
  <c r="P1000" i="2"/>
  <c r="P999" i="2"/>
  <c r="P998" i="2"/>
  <c r="P997" i="2"/>
  <c r="P996" i="2"/>
  <c r="P995" i="2"/>
  <c r="P994" i="2"/>
  <c r="P993" i="2"/>
  <c r="P992" i="2"/>
  <c r="P991" i="2"/>
  <c r="P990" i="2"/>
  <c r="P989" i="2"/>
  <c r="P988" i="2"/>
  <c r="P987" i="2"/>
  <c r="P986" i="2"/>
  <c r="P985" i="2"/>
  <c r="P984" i="2"/>
  <c r="P983" i="2"/>
  <c r="P982" i="2"/>
  <c r="P981" i="2"/>
  <c r="P980" i="2"/>
  <c r="P979" i="2"/>
  <c r="P978" i="2"/>
  <c r="P977" i="2"/>
  <c r="P976" i="2"/>
  <c r="P975" i="2"/>
  <c r="P974" i="2"/>
  <c r="P973" i="2"/>
  <c r="P972" i="2"/>
  <c r="P971" i="2"/>
  <c r="P970" i="2"/>
  <c r="P969" i="2"/>
  <c r="P968" i="2"/>
  <c r="P967" i="2"/>
  <c r="P966" i="2"/>
  <c r="P965" i="2"/>
  <c r="P964" i="2"/>
  <c r="P963" i="2"/>
  <c r="P962" i="2"/>
  <c r="P961" i="2"/>
  <c r="P960" i="2"/>
  <c r="P959" i="2"/>
  <c r="P958" i="2"/>
  <c r="Q957" i="2"/>
  <c r="P957" i="2"/>
  <c r="P956" i="2"/>
  <c r="Q955" i="2"/>
  <c r="P955" i="2"/>
  <c r="P954" i="2"/>
  <c r="Q953" i="2"/>
  <c r="P953" i="2"/>
  <c r="P952" i="2"/>
  <c r="P951" i="2"/>
  <c r="P950" i="2"/>
  <c r="P949" i="2"/>
  <c r="P948" i="2"/>
  <c r="P947" i="2"/>
  <c r="P946" i="2"/>
  <c r="P945" i="2"/>
  <c r="P944" i="2"/>
  <c r="P943" i="2"/>
  <c r="P942" i="2"/>
  <c r="P941" i="2"/>
  <c r="P940" i="2"/>
  <c r="P939" i="2"/>
  <c r="P938" i="2"/>
  <c r="P937" i="2"/>
  <c r="P936" i="2"/>
  <c r="P935" i="2"/>
  <c r="P934" i="2"/>
  <c r="P933" i="2"/>
  <c r="P932" i="2"/>
  <c r="P931" i="2"/>
  <c r="P930" i="2"/>
  <c r="P929" i="2"/>
  <c r="P928" i="2"/>
  <c r="P927" i="2"/>
  <c r="P926" i="2"/>
  <c r="P925" i="2"/>
  <c r="P924" i="2"/>
  <c r="P923" i="2"/>
  <c r="P922" i="2"/>
  <c r="P921" i="2"/>
  <c r="P920" i="2"/>
  <c r="P919" i="2"/>
  <c r="P918" i="2"/>
  <c r="P917" i="2"/>
  <c r="P916" i="2"/>
  <c r="P915" i="2"/>
  <c r="P914" i="2"/>
  <c r="P913" i="2"/>
  <c r="P912" i="2"/>
  <c r="P911" i="2"/>
  <c r="P910" i="2"/>
  <c r="P909" i="2"/>
  <c r="P908" i="2"/>
  <c r="P907" i="2"/>
  <c r="P906" i="2"/>
  <c r="P905" i="2"/>
  <c r="P904" i="2"/>
  <c r="P903" i="2"/>
  <c r="P902" i="2"/>
  <c r="P901" i="2"/>
  <c r="P900" i="2"/>
  <c r="P899" i="2"/>
  <c r="P898" i="2"/>
  <c r="P897" i="2"/>
  <c r="P896" i="2"/>
  <c r="P895" i="2"/>
  <c r="P894" i="2"/>
  <c r="P893" i="2"/>
  <c r="P892" i="2"/>
  <c r="P891" i="2"/>
  <c r="P890" i="2"/>
  <c r="P889" i="2"/>
  <c r="P887" i="2"/>
  <c r="P886" i="2"/>
  <c r="P885" i="2"/>
  <c r="P884" i="2"/>
  <c r="P883" i="2"/>
  <c r="P882" i="2"/>
  <c r="P881" i="2"/>
  <c r="P880" i="2"/>
  <c r="P879" i="2"/>
  <c r="P878" i="2"/>
  <c r="P877" i="2"/>
  <c r="P876" i="2"/>
  <c r="P875" i="2"/>
  <c r="P874" i="2"/>
  <c r="P873" i="2"/>
  <c r="P872" i="2"/>
  <c r="P871" i="2"/>
  <c r="P870" i="2"/>
  <c r="P869" i="2"/>
  <c r="P868" i="2"/>
  <c r="P867" i="2"/>
  <c r="P866" i="2"/>
  <c r="P865" i="2"/>
  <c r="P864" i="2"/>
  <c r="P863" i="2"/>
  <c r="P862" i="2"/>
  <c r="P861" i="2"/>
  <c r="P860" i="2"/>
  <c r="P859" i="2"/>
  <c r="P858" i="2"/>
  <c r="P857" i="2"/>
  <c r="P856" i="2"/>
  <c r="P855" i="2"/>
  <c r="P854" i="2"/>
  <c r="P853" i="2"/>
  <c r="P852" i="2"/>
  <c r="P851" i="2"/>
  <c r="P850" i="2"/>
  <c r="P849" i="2"/>
  <c r="P848" i="2"/>
  <c r="P847" i="2"/>
  <c r="P846" i="2"/>
  <c r="P845" i="2"/>
  <c r="P844" i="2"/>
  <c r="P843" i="2"/>
  <c r="P842" i="2"/>
  <c r="P841" i="2"/>
  <c r="P840" i="2"/>
  <c r="P839" i="2"/>
  <c r="P838" i="2"/>
  <c r="P837" i="2"/>
  <c r="P836" i="2"/>
  <c r="P835" i="2"/>
  <c r="P834" i="2"/>
  <c r="P833" i="2"/>
  <c r="P832" i="2"/>
  <c r="P831" i="2"/>
  <c r="P830" i="2"/>
  <c r="P829" i="2"/>
  <c r="P828" i="2"/>
  <c r="P827" i="2"/>
  <c r="P826" i="2"/>
  <c r="P825" i="2"/>
  <c r="P824" i="2"/>
  <c r="P823" i="2"/>
  <c r="P822" i="2"/>
  <c r="P821" i="2"/>
  <c r="P820" i="2"/>
  <c r="P819" i="2"/>
  <c r="P818" i="2"/>
  <c r="P817" i="2"/>
  <c r="P816" i="2"/>
  <c r="P815" i="2"/>
  <c r="P814" i="2"/>
  <c r="P813" i="2"/>
  <c r="Q812" i="2"/>
  <c r="P812" i="2"/>
  <c r="Q811" i="2"/>
  <c r="P811" i="2"/>
  <c r="Q810" i="2"/>
  <c r="P810" i="2"/>
  <c r="Q809" i="2"/>
  <c r="P809" i="2"/>
  <c r="P808" i="2"/>
  <c r="P807" i="2"/>
  <c r="P806" i="2"/>
  <c r="P805" i="2"/>
  <c r="P804" i="2"/>
  <c r="P803" i="2"/>
  <c r="P802" i="2"/>
  <c r="P801" i="2"/>
  <c r="P800" i="2"/>
  <c r="P799" i="2"/>
  <c r="P798" i="2"/>
  <c r="P797" i="2"/>
  <c r="P796" i="2"/>
  <c r="P795" i="2"/>
  <c r="P794" i="2"/>
  <c r="P793" i="2"/>
  <c r="P792" i="2"/>
  <c r="P791" i="2"/>
  <c r="Q790" i="2"/>
  <c r="P790" i="2"/>
  <c r="Q789" i="2"/>
  <c r="P789" i="2"/>
  <c r="Q788" i="2"/>
  <c r="P788" i="2"/>
  <c r="P787" i="2"/>
  <c r="P786" i="2"/>
  <c r="P785" i="2"/>
  <c r="P784" i="2"/>
  <c r="P783" i="2"/>
  <c r="P782" i="2"/>
  <c r="P781" i="2"/>
  <c r="P780" i="2"/>
  <c r="P779" i="2"/>
  <c r="P778" i="2"/>
  <c r="P777" i="2"/>
  <c r="P776" i="2"/>
  <c r="P775" i="2"/>
  <c r="P774" i="2"/>
  <c r="P773" i="2"/>
  <c r="P772" i="2"/>
  <c r="P771" i="2"/>
  <c r="P770" i="2"/>
  <c r="P769" i="2"/>
  <c r="P768" i="2"/>
  <c r="P767" i="2"/>
  <c r="P766" i="2"/>
  <c r="P765" i="2"/>
  <c r="P764" i="2"/>
  <c r="P763" i="2"/>
  <c r="P762" i="2"/>
  <c r="P761" i="2"/>
  <c r="P760" i="2"/>
  <c r="P759" i="2"/>
  <c r="P758" i="2"/>
  <c r="P757" i="2"/>
  <c r="P756" i="2"/>
  <c r="P755" i="2"/>
  <c r="P754" i="2"/>
  <c r="P753" i="2"/>
  <c r="P752" i="2"/>
  <c r="P751" i="2"/>
  <c r="P750" i="2"/>
  <c r="P749" i="2"/>
  <c r="P748" i="2"/>
  <c r="P747" i="2"/>
  <c r="P746" i="2"/>
  <c r="P745" i="2"/>
  <c r="P744" i="2"/>
  <c r="P743" i="2"/>
  <c r="P742" i="2"/>
  <c r="P741" i="2"/>
  <c r="P740" i="2"/>
  <c r="P739" i="2"/>
  <c r="P738" i="2"/>
  <c r="P737" i="2"/>
  <c r="P736" i="2"/>
  <c r="P735" i="2"/>
  <c r="P734" i="2"/>
  <c r="P733" i="2"/>
  <c r="P732" i="2"/>
  <c r="P731" i="2"/>
  <c r="P730" i="2"/>
  <c r="P729" i="2"/>
  <c r="P728" i="2"/>
  <c r="P727" i="2"/>
  <c r="P726" i="2"/>
  <c r="P725" i="2"/>
  <c r="P724" i="2"/>
  <c r="P723" i="2"/>
  <c r="P722" i="2"/>
  <c r="P721" i="2"/>
  <c r="P720" i="2"/>
  <c r="P719" i="2"/>
  <c r="P718" i="2"/>
  <c r="P717" i="2"/>
  <c r="P716" i="2"/>
  <c r="P715" i="2"/>
  <c r="P714" i="2"/>
  <c r="P713" i="2"/>
  <c r="P712" i="2"/>
  <c r="P711" i="2"/>
  <c r="P710" i="2"/>
  <c r="P709" i="2"/>
  <c r="P708" i="2"/>
  <c r="P707" i="2"/>
  <c r="P706" i="2"/>
  <c r="P705" i="2"/>
  <c r="P704" i="2"/>
  <c r="P703" i="2"/>
  <c r="P702" i="2"/>
  <c r="P701" i="2"/>
  <c r="P700" i="2"/>
  <c r="P699" i="2"/>
  <c r="P698" i="2"/>
  <c r="Q697" i="2"/>
  <c r="P697" i="2"/>
  <c r="Q696" i="2"/>
  <c r="P696" i="2"/>
  <c r="Q695" i="2"/>
  <c r="P695" i="2"/>
  <c r="Q694" i="2"/>
  <c r="P694" i="2"/>
  <c r="Q693" i="2"/>
  <c r="P693" i="2"/>
  <c r="Q692" i="2"/>
  <c r="P692" i="2"/>
  <c r="Q691" i="2"/>
  <c r="P691" i="2"/>
  <c r="Q690" i="2"/>
  <c r="P690" i="2"/>
  <c r="Q689" i="2"/>
  <c r="P689" i="2"/>
  <c r="P688" i="2"/>
  <c r="Q687" i="2"/>
  <c r="P687" i="2"/>
  <c r="Q686" i="2"/>
  <c r="P686" i="2"/>
  <c r="Q685" i="2"/>
  <c r="P685" i="2"/>
  <c r="P684" i="2"/>
  <c r="P683" i="2"/>
  <c r="P682" i="2"/>
  <c r="P681" i="2"/>
  <c r="Q680" i="2"/>
  <c r="P680" i="2"/>
  <c r="Q679" i="2"/>
  <c r="P679" i="2"/>
  <c r="Q678" i="2"/>
  <c r="P678" i="2"/>
  <c r="Q677" i="2"/>
  <c r="P677" i="2"/>
  <c r="Q676" i="2"/>
  <c r="P676" i="2"/>
  <c r="Q675" i="2"/>
  <c r="P675" i="2"/>
  <c r="P674" i="2"/>
  <c r="P673" i="2"/>
  <c r="Q672" i="2"/>
  <c r="P672" i="2"/>
  <c r="Q671" i="2"/>
  <c r="P671" i="2"/>
  <c r="Q670" i="2"/>
  <c r="P670" i="2"/>
  <c r="P669" i="2"/>
  <c r="P668" i="2"/>
  <c r="P667" i="2"/>
  <c r="Q666" i="2"/>
  <c r="P666" i="2"/>
  <c r="Q665" i="2"/>
  <c r="P665" i="2"/>
  <c r="P664" i="2"/>
  <c r="Q663" i="2"/>
  <c r="P663" i="2"/>
  <c r="Q662" i="2"/>
  <c r="P662" i="2"/>
  <c r="P661" i="2"/>
  <c r="P660" i="2"/>
  <c r="P659" i="2"/>
  <c r="P658" i="2"/>
  <c r="P657" i="2"/>
  <c r="P656" i="2"/>
  <c r="Q655" i="2"/>
  <c r="P655" i="2"/>
  <c r="Q654" i="2"/>
  <c r="P654" i="2"/>
  <c r="Q653" i="2"/>
  <c r="P653" i="2"/>
  <c r="Q652" i="2"/>
  <c r="P652" i="2"/>
  <c r="Q651" i="2"/>
  <c r="P651" i="2"/>
  <c r="Q650" i="2"/>
  <c r="P650" i="2"/>
  <c r="P649" i="2"/>
  <c r="Q648" i="2"/>
  <c r="P648" i="2"/>
  <c r="Q647" i="2"/>
  <c r="P647" i="2"/>
  <c r="P646" i="2"/>
  <c r="Q645" i="2"/>
  <c r="P645" i="2"/>
  <c r="Q644" i="2"/>
  <c r="P644" i="2"/>
  <c r="Q643" i="2"/>
  <c r="P643" i="2"/>
  <c r="Q642" i="2"/>
  <c r="P642" i="2"/>
  <c r="P641" i="2"/>
  <c r="Q640" i="2"/>
  <c r="P640" i="2"/>
  <c r="P639" i="2"/>
  <c r="P638" i="2"/>
  <c r="P637" i="2"/>
  <c r="P636" i="2"/>
  <c r="P635" i="2"/>
  <c r="P634" i="2"/>
  <c r="P633" i="2"/>
  <c r="P632" i="2"/>
  <c r="P631" i="2"/>
  <c r="P630" i="2"/>
  <c r="P629" i="2"/>
  <c r="P628" i="2"/>
  <c r="P627" i="2"/>
  <c r="P626" i="2"/>
  <c r="P625" i="2"/>
  <c r="P624" i="2"/>
  <c r="P623" i="2"/>
  <c r="P622" i="2"/>
  <c r="P621" i="2"/>
  <c r="P620" i="2"/>
  <c r="P619" i="2"/>
  <c r="P618" i="2"/>
  <c r="P617" i="2"/>
  <c r="P616" i="2"/>
  <c r="P615" i="2"/>
  <c r="P614" i="2"/>
  <c r="P613" i="2"/>
  <c r="Q612" i="2"/>
  <c r="P612" i="2"/>
  <c r="P611" i="2"/>
  <c r="P610" i="2"/>
  <c r="P609" i="2"/>
  <c r="Q608" i="2"/>
  <c r="P608" i="2"/>
  <c r="Q607" i="2"/>
  <c r="P607" i="2"/>
  <c r="Q606" i="2"/>
  <c r="P606" i="2"/>
  <c r="Q605" i="2"/>
  <c r="P605" i="2"/>
  <c r="Q604" i="2"/>
  <c r="P604" i="2"/>
  <c r="Q603" i="2"/>
  <c r="P603" i="2"/>
  <c r="Q602" i="2"/>
  <c r="P602" i="2"/>
  <c r="Q601" i="2"/>
  <c r="P601" i="2"/>
  <c r="Q600" i="2"/>
  <c r="P600" i="2"/>
  <c r="Q599" i="2"/>
  <c r="P599" i="2"/>
  <c r="Q598" i="2"/>
  <c r="P598" i="2"/>
  <c r="Q597" i="2"/>
  <c r="P597" i="2"/>
  <c r="Q596" i="2"/>
  <c r="P596" i="2"/>
  <c r="Q595" i="2"/>
  <c r="P595" i="2"/>
  <c r="Q594" i="2"/>
  <c r="P594" i="2"/>
  <c r="Q593" i="2"/>
  <c r="P593" i="2"/>
  <c r="Q592" i="2"/>
  <c r="P592" i="2"/>
  <c r="P591" i="2"/>
  <c r="P590" i="2"/>
  <c r="P589" i="2"/>
  <c r="P588" i="2"/>
  <c r="P587" i="2"/>
  <c r="P586" i="2"/>
  <c r="P585" i="2"/>
  <c r="P584" i="2"/>
  <c r="P583" i="2"/>
  <c r="P582" i="2"/>
  <c r="P581" i="2"/>
  <c r="P580" i="2"/>
  <c r="Q579" i="2"/>
  <c r="P579" i="2"/>
  <c r="Q578" i="2"/>
  <c r="P578" i="2"/>
  <c r="Q577" i="2"/>
  <c r="P577" i="2"/>
  <c r="Q576" i="2"/>
  <c r="P576" i="2"/>
  <c r="Q575" i="2"/>
  <c r="P575" i="2"/>
  <c r="Q574" i="2"/>
  <c r="P574" i="2"/>
  <c r="Q573" i="2"/>
  <c r="P573" i="2"/>
  <c r="Q572" i="2"/>
  <c r="P572" i="2"/>
  <c r="Q571" i="2"/>
  <c r="P571" i="2"/>
  <c r="Q570" i="2"/>
  <c r="P570" i="2"/>
  <c r="Q569" i="2"/>
  <c r="P569" i="2"/>
  <c r="Q568" i="2"/>
  <c r="P568" i="2"/>
  <c r="Q567" i="2"/>
  <c r="P567" i="2"/>
  <c r="Q566" i="2"/>
  <c r="P566" i="2"/>
  <c r="Q565" i="2"/>
  <c r="P565" i="2"/>
  <c r="Q564" i="2"/>
  <c r="P564" i="2"/>
  <c r="Q563" i="2"/>
  <c r="P563" i="2"/>
  <c r="Q562" i="2"/>
  <c r="P562" i="2"/>
  <c r="Q561" i="2"/>
  <c r="P561" i="2"/>
  <c r="Q560" i="2"/>
  <c r="P560" i="2"/>
  <c r="Q559" i="2"/>
  <c r="P559" i="2"/>
  <c r="Q558" i="2"/>
  <c r="P558" i="2"/>
  <c r="Q557" i="2"/>
  <c r="P557" i="2"/>
  <c r="Q556" i="2"/>
  <c r="P556" i="2"/>
  <c r="Q555" i="2"/>
  <c r="P555" i="2"/>
  <c r="Q554" i="2"/>
  <c r="P554" i="2"/>
  <c r="Q553" i="2"/>
  <c r="P553" i="2"/>
  <c r="Q552" i="2"/>
  <c r="P552" i="2"/>
  <c r="Q551" i="2"/>
  <c r="P551" i="2"/>
  <c r="Q550" i="2"/>
  <c r="P550" i="2"/>
  <c r="Q549" i="2"/>
  <c r="P549" i="2"/>
  <c r="Q548" i="2"/>
  <c r="P548" i="2"/>
  <c r="Q547" i="2"/>
  <c r="P547" i="2"/>
  <c r="P546" i="2"/>
  <c r="P545" i="2"/>
  <c r="P544" i="2"/>
  <c r="P543" i="2"/>
  <c r="P542" i="2"/>
  <c r="Q541" i="2"/>
  <c r="P541" i="2"/>
  <c r="Q540" i="2"/>
  <c r="P540" i="2"/>
  <c r="Q539" i="2"/>
  <c r="P539" i="2"/>
  <c r="Q538" i="2"/>
  <c r="P538" i="2"/>
  <c r="Q537" i="2"/>
  <c r="P537" i="2"/>
  <c r="Q536" i="2"/>
  <c r="P536" i="2"/>
  <c r="Q535" i="2"/>
  <c r="P535" i="2"/>
  <c r="Q534" i="2"/>
  <c r="P534" i="2"/>
  <c r="Q533" i="2"/>
  <c r="P533" i="2"/>
  <c r="Q532" i="2"/>
  <c r="P532" i="2"/>
  <c r="Q531" i="2"/>
  <c r="P531" i="2"/>
  <c r="Q530" i="2"/>
  <c r="P530" i="2"/>
  <c r="Q529" i="2"/>
  <c r="P529" i="2"/>
  <c r="Q528" i="2"/>
  <c r="P528" i="2"/>
  <c r="Q527" i="2"/>
  <c r="P527" i="2"/>
  <c r="Q526" i="2"/>
  <c r="P526" i="2"/>
  <c r="Q525" i="2"/>
  <c r="P525" i="2"/>
  <c r="Q524" i="2"/>
  <c r="P524" i="2"/>
  <c r="Q523" i="2"/>
  <c r="P523" i="2"/>
  <c r="Q522" i="2"/>
  <c r="P522" i="2"/>
  <c r="P521" i="2"/>
  <c r="P520" i="2"/>
  <c r="P519" i="2"/>
  <c r="P518" i="2"/>
  <c r="Q517" i="2"/>
  <c r="P517" i="2"/>
  <c r="P516" i="2"/>
  <c r="P515" i="2"/>
  <c r="P514" i="2"/>
  <c r="P513" i="2"/>
  <c r="P512" i="2"/>
  <c r="Q511" i="2"/>
  <c r="P511" i="2"/>
  <c r="Q510" i="2"/>
  <c r="P510" i="2"/>
  <c r="P509" i="2"/>
  <c r="P508" i="2"/>
  <c r="P507" i="2"/>
  <c r="P506" i="2"/>
  <c r="P505" i="2"/>
  <c r="P504" i="2"/>
  <c r="P503" i="2"/>
  <c r="P502" i="2"/>
  <c r="P501" i="2"/>
  <c r="P500" i="2"/>
  <c r="P499" i="2"/>
  <c r="P498" i="2"/>
  <c r="P497" i="2"/>
  <c r="P496" i="2"/>
  <c r="P495" i="2"/>
  <c r="P494" i="2"/>
  <c r="P493" i="2"/>
  <c r="P492" i="2"/>
  <c r="P491" i="2"/>
  <c r="P490" i="2"/>
  <c r="P489" i="2"/>
  <c r="P488" i="2"/>
  <c r="P487" i="2"/>
  <c r="P486" i="2"/>
  <c r="P485" i="2"/>
  <c r="P484" i="2"/>
  <c r="P483" i="2"/>
  <c r="P482" i="2"/>
  <c r="P481" i="2"/>
  <c r="P480" i="2"/>
  <c r="P479" i="2"/>
  <c r="P478" i="2"/>
  <c r="P477" i="2"/>
  <c r="P476" i="2"/>
  <c r="P475" i="2"/>
  <c r="P474" i="2"/>
  <c r="P473" i="2"/>
  <c r="P472" i="2"/>
  <c r="Q471" i="2"/>
  <c r="P471" i="2"/>
  <c r="Q470" i="2"/>
  <c r="P470" i="2"/>
  <c r="Q469" i="2"/>
  <c r="P469" i="2"/>
  <c r="Q468" i="2"/>
  <c r="P468" i="2"/>
  <c r="P467" i="2"/>
  <c r="P466" i="2"/>
  <c r="P465" i="2"/>
  <c r="P464" i="2"/>
  <c r="Q463" i="2"/>
  <c r="P463" i="2"/>
  <c r="Q462" i="2"/>
  <c r="P462" i="2"/>
  <c r="P461" i="2"/>
  <c r="P460" i="2"/>
  <c r="P459" i="2"/>
  <c r="P458" i="2"/>
  <c r="P457" i="2"/>
  <c r="P456" i="2"/>
  <c r="P455" i="2"/>
  <c r="P454" i="2"/>
  <c r="P453" i="2"/>
  <c r="P452" i="2"/>
  <c r="P451" i="2"/>
  <c r="P450" i="2"/>
  <c r="P449" i="2"/>
  <c r="P448" i="2"/>
  <c r="P447" i="2"/>
  <c r="P446" i="2"/>
  <c r="P445" i="2"/>
  <c r="P444" i="2"/>
  <c r="P443" i="2"/>
  <c r="P442" i="2"/>
  <c r="P441" i="2"/>
  <c r="P440" i="2"/>
  <c r="P439" i="2"/>
  <c r="P438" i="2"/>
  <c r="P437" i="2"/>
  <c r="P436" i="2"/>
  <c r="P435" i="2"/>
  <c r="P434" i="2"/>
  <c r="P433" i="2"/>
  <c r="P432" i="2"/>
  <c r="P431" i="2"/>
  <c r="P430" i="2"/>
  <c r="P429" i="2"/>
  <c r="P428" i="2"/>
  <c r="P427" i="2"/>
  <c r="P426" i="2"/>
  <c r="P425" i="2"/>
  <c r="P424" i="2"/>
  <c r="P423" i="2"/>
  <c r="P422" i="2"/>
  <c r="P421" i="2"/>
  <c r="P420" i="2"/>
  <c r="P419" i="2"/>
  <c r="P418" i="2"/>
  <c r="P417" i="2"/>
  <c r="P416" i="2"/>
  <c r="P415" i="2"/>
  <c r="P414" i="2"/>
  <c r="P413" i="2"/>
  <c r="P412" i="2"/>
  <c r="P411" i="2"/>
  <c r="P410" i="2"/>
  <c r="P409" i="2"/>
  <c r="P408" i="2"/>
  <c r="P407" i="2"/>
  <c r="P406" i="2"/>
  <c r="Q405" i="2"/>
  <c r="P405" i="2"/>
  <c r="Q404" i="2"/>
  <c r="P404" i="2"/>
  <c r="P403" i="2"/>
  <c r="P402" i="2"/>
  <c r="P401" i="2"/>
  <c r="Q400" i="2"/>
  <c r="P400" i="2"/>
  <c r="Q399" i="2"/>
  <c r="P399" i="2"/>
  <c r="Q398" i="2"/>
  <c r="P398" i="2"/>
  <c r="Q397" i="2"/>
  <c r="P397" i="2"/>
  <c r="Q396" i="2"/>
  <c r="P396" i="2"/>
  <c r="Q395" i="2"/>
  <c r="P395" i="2"/>
  <c r="Q394" i="2"/>
  <c r="P394" i="2"/>
  <c r="Q393" i="2"/>
  <c r="P393" i="2"/>
  <c r="Q392" i="2"/>
  <c r="P392" i="2"/>
  <c r="Q391" i="2"/>
  <c r="P391" i="2"/>
  <c r="Q390" i="2"/>
  <c r="P390" i="2"/>
  <c r="Q389" i="2"/>
  <c r="P389" i="2"/>
  <c r="Q388" i="2"/>
  <c r="P388" i="2"/>
  <c r="Q387" i="2"/>
  <c r="P387" i="2"/>
  <c r="Q386" i="2"/>
  <c r="P386" i="2"/>
  <c r="Q385" i="2"/>
  <c r="P385" i="2"/>
  <c r="Q384" i="2"/>
  <c r="P384" i="2"/>
  <c r="Q383" i="2"/>
  <c r="P383" i="2"/>
  <c r="Q382" i="2"/>
  <c r="P382" i="2"/>
  <c r="P381" i="2"/>
  <c r="P380" i="2"/>
  <c r="P379" i="2"/>
  <c r="P378" i="2"/>
  <c r="Q377" i="2"/>
  <c r="P377" i="2"/>
  <c r="Q376" i="2"/>
  <c r="P376" i="2"/>
  <c r="Q375" i="2"/>
  <c r="P375" i="2"/>
  <c r="Q374" i="2"/>
  <c r="P374" i="2"/>
  <c r="Q373" i="2"/>
  <c r="P373" i="2"/>
  <c r="Q372" i="2"/>
  <c r="P372" i="2"/>
  <c r="Q371" i="2"/>
  <c r="P371" i="2"/>
  <c r="Q370" i="2"/>
  <c r="P370" i="2"/>
  <c r="Q369" i="2"/>
  <c r="P369" i="2"/>
  <c r="Q368" i="2"/>
  <c r="P368" i="2"/>
  <c r="Q367" i="2"/>
  <c r="P367" i="2"/>
  <c r="Q366" i="2"/>
  <c r="P366" i="2"/>
  <c r="Q365" i="2"/>
  <c r="P365" i="2"/>
  <c r="Q364" i="2"/>
  <c r="P364" i="2"/>
  <c r="Q363" i="2"/>
  <c r="P363" i="2"/>
  <c r="Q362" i="2"/>
  <c r="P362" i="2"/>
  <c r="Q361" i="2"/>
  <c r="P361" i="2"/>
  <c r="Q360" i="2"/>
  <c r="P360" i="2"/>
  <c r="Q359" i="2"/>
  <c r="P359" i="2"/>
  <c r="Q358" i="2"/>
  <c r="P358" i="2"/>
  <c r="Q357" i="2"/>
  <c r="P357" i="2"/>
  <c r="Q356" i="2"/>
  <c r="P356" i="2"/>
  <c r="Q355" i="2"/>
  <c r="P355" i="2"/>
  <c r="Q354" i="2"/>
  <c r="P354" i="2"/>
  <c r="Q353" i="2"/>
  <c r="P353" i="2"/>
  <c r="Q352" i="2"/>
  <c r="P352" i="2"/>
  <c r="Q351" i="2"/>
  <c r="P351" i="2"/>
  <c r="Q350" i="2"/>
  <c r="P350" i="2"/>
  <c r="P349" i="2"/>
  <c r="Q348" i="2"/>
  <c r="P348" i="2"/>
  <c r="Q347" i="2"/>
  <c r="P347" i="2"/>
  <c r="Q346" i="2"/>
  <c r="P346" i="2"/>
  <c r="Q345" i="2"/>
  <c r="P345" i="2"/>
  <c r="Q344" i="2"/>
  <c r="P344" i="2"/>
  <c r="P343" i="2"/>
  <c r="Q342" i="2"/>
  <c r="P342" i="2"/>
  <c r="P341" i="2"/>
  <c r="Q340" i="2"/>
  <c r="P340" i="2"/>
  <c r="P339" i="2"/>
  <c r="P338" i="2"/>
  <c r="Q337" i="2"/>
  <c r="P337" i="2"/>
  <c r="P336" i="2"/>
  <c r="P335" i="2"/>
  <c r="P334" i="2"/>
  <c r="P333" i="2"/>
  <c r="Q332" i="2"/>
  <c r="P332" i="2"/>
  <c r="Q331" i="2"/>
  <c r="P331" i="2"/>
  <c r="Q330" i="2"/>
  <c r="P330" i="2"/>
  <c r="Q329" i="2"/>
  <c r="P329" i="2"/>
  <c r="Q328" i="2"/>
  <c r="P328" i="2"/>
  <c r="Q327" i="2"/>
  <c r="P327" i="2"/>
  <c r="Q326" i="2"/>
  <c r="P326" i="2"/>
  <c r="Q325" i="2"/>
  <c r="P325" i="2"/>
  <c r="Q324" i="2"/>
  <c r="P324" i="2"/>
  <c r="Q323" i="2"/>
  <c r="P323" i="2"/>
  <c r="Q322" i="2"/>
  <c r="P322" i="2"/>
  <c r="Q321" i="2"/>
  <c r="P321" i="2"/>
  <c r="Q320" i="2"/>
  <c r="P320" i="2"/>
  <c r="Q319" i="2"/>
  <c r="P319" i="2"/>
  <c r="Q318" i="2"/>
  <c r="P318" i="2"/>
  <c r="Q317" i="2"/>
  <c r="P317" i="2"/>
  <c r="Q316" i="2"/>
  <c r="P316" i="2"/>
  <c r="Q315" i="2"/>
  <c r="P315" i="2"/>
  <c r="Q314" i="2"/>
  <c r="P314" i="2"/>
  <c r="Q313" i="2"/>
  <c r="P313" i="2"/>
  <c r="Q312" i="2"/>
  <c r="P312" i="2"/>
  <c r="Q311" i="2"/>
  <c r="P311" i="2"/>
  <c r="Q310" i="2"/>
  <c r="P310" i="2"/>
  <c r="Q309" i="2"/>
  <c r="P309" i="2"/>
  <c r="Q308" i="2"/>
  <c r="P308" i="2"/>
  <c r="Q307" i="2"/>
  <c r="P307" i="2"/>
  <c r="Q306" i="2"/>
  <c r="P306" i="2"/>
  <c r="Q305" i="2"/>
  <c r="P305" i="2"/>
  <c r="Q304" i="2"/>
  <c r="P304" i="2"/>
  <c r="Q303" i="2"/>
  <c r="P303" i="2"/>
  <c r="Q302" i="2"/>
  <c r="P302" i="2"/>
  <c r="Q301" i="2"/>
  <c r="P301" i="2"/>
  <c r="Q300" i="2"/>
  <c r="P300" i="2"/>
  <c r="Q299" i="2"/>
  <c r="P299" i="2"/>
  <c r="Q298" i="2"/>
  <c r="P298" i="2"/>
  <c r="Q297" i="2"/>
  <c r="P297" i="2"/>
  <c r="Q296" i="2"/>
  <c r="P296" i="2"/>
  <c r="Q295" i="2"/>
  <c r="P295" i="2"/>
  <c r="Q294" i="2"/>
  <c r="P294" i="2"/>
  <c r="Q293" i="2"/>
  <c r="P293" i="2"/>
  <c r="Q292" i="2"/>
  <c r="P292" i="2"/>
  <c r="Q291" i="2"/>
  <c r="P291" i="2"/>
  <c r="Q290" i="2"/>
  <c r="P290" i="2"/>
  <c r="Q289" i="2"/>
  <c r="P289" i="2"/>
  <c r="Q288" i="2"/>
  <c r="P288" i="2"/>
  <c r="Q287" i="2"/>
  <c r="P287" i="2"/>
  <c r="Q286" i="2"/>
  <c r="P286" i="2"/>
  <c r="P285" i="2"/>
  <c r="P284" i="2"/>
  <c r="P283" i="2"/>
  <c r="Q282" i="2"/>
  <c r="P282" i="2"/>
  <c r="Q281" i="2"/>
  <c r="P281" i="2"/>
  <c r="Q280" i="2"/>
  <c r="P280" i="2"/>
  <c r="Q279" i="2"/>
  <c r="P279" i="2"/>
  <c r="P278" i="2"/>
  <c r="Q277" i="2"/>
  <c r="P277" i="2"/>
  <c r="Q276" i="2"/>
  <c r="P276" i="2"/>
  <c r="Q275" i="2"/>
  <c r="P275" i="2"/>
  <c r="Q274" i="2"/>
  <c r="P274" i="2"/>
  <c r="Q273" i="2"/>
  <c r="P273" i="2"/>
  <c r="P272" i="2"/>
  <c r="P271" i="2"/>
  <c r="Q270" i="2"/>
  <c r="P270" i="2"/>
  <c r="Q269" i="2"/>
  <c r="P269" i="2"/>
  <c r="Q268" i="2"/>
  <c r="P268" i="2"/>
  <c r="Q267" i="2"/>
  <c r="P267" i="2"/>
  <c r="Q266" i="2"/>
  <c r="P266" i="2"/>
  <c r="Q265" i="2"/>
  <c r="P265" i="2"/>
  <c r="Q264" i="2"/>
  <c r="P264" i="2"/>
  <c r="Q263" i="2"/>
  <c r="P263" i="2"/>
  <c r="Q262" i="2"/>
  <c r="P262" i="2"/>
  <c r="P261" i="2"/>
  <c r="Q260" i="2"/>
  <c r="P260" i="2"/>
  <c r="Q259" i="2"/>
  <c r="P259" i="2"/>
  <c r="Q258" i="2"/>
  <c r="P258" i="2"/>
  <c r="Q257" i="2"/>
  <c r="P257" i="2"/>
  <c r="Q256" i="2"/>
  <c r="P256" i="2"/>
  <c r="Q255" i="2"/>
  <c r="P255" i="2"/>
  <c r="Q254" i="2"/>
  <c r="P254" i="2"/>
  <c r="Q253" i="2"/>
  <c r="P253" i="2"/>
  <c r="Q252" i="2"/>
  <c r="P252" i="2"/>
  <c r="Q251" i="2"/>
  <c r="P251" i="2"/>
  <c r="Q250" i="2"/>
  <c r="P250" i="2"/>
  <c r="Q249" i="2"/>
  <c r="P249" i="2"/>
  <c r="Q248" i="2"/>
  <c r="P248" i="2"/>
  <c r="Q247" i="2"/>
  <c r="P247" i="2"/>
  <c r="Q246" i="2"/>
  <c r="P246" i="2"/>
  <c r="Q245" i="2"/>
  <c r="P245" i="2"/>
  <c r="Q244" i="2"/>
  <c r="P244" i="2"/>
  <c r="Q243" i="2"/>
  <c r="P243" i="2"/>
  <c r="Q242" i="2"/>
  <c r="P242" i="2"/>
  <c r="Q241" i="2"/>
  <c r="P241" i="2"/>
  <c r="Q240" i="2"/>
  <c r="P240" i="2"/>
  <c r="Q239" i="2"/>
  <c r="P239" i="2"/>
  <c r="Q238" i="2"/>
  <c r="P238" i="2"/>
  <c r="Q237" i="2"/>
  <c r="P237" i="2"/>
  <c r="Q236" i="2"/>
  <c r="P236" i="2"/>
  <c r="Q235" i="2"/>
  <c r="P235" i="2"/>
  <c r="P232" i="2"/>
  <c r="P231" i="2"/>
  <c r="P230" i="2"/>
  <c r="P229" i="2"/>
  <c r="P228" i="2"/>
  <c r="P227" i="2"/>
  <c r="P226" i="2"/>
  <c r="P225" i="2"/>
  <c r="P224" i="2"/>
  <c r="P223" i="2"/>
  <c r="P222" i="2"/>
  <c r="P221" i="2"/>
  <c r="P220" i="2"/>
  <c r="P219" i="2"/>
  <c r="Q218" i="2"/>
  <c r="P218" i="2"/>
  <c r="Q217" i="2"/>
  <c r="P217" i="2"/>
  <c r="Q216" i="2"/>
  <c r="P216" i="2"/>
  <c r="Q215" i="2"/>
  <c r="P215" i="2"/>
  <c r="Q214" i="2"/>
  <c r="P214" i="2"/>
  <c r="Q213" i="2"/>
  <c r="P213" i="2"/>
  <c r="Q212" i="2"/>
  <c r="P212" i="2"/>
  <c r="P211" i="2"/>
  <c r="P210" i="2"/>
  <c r="P209" i="2"/>
  <c r="P208" i="2"/>
  <c r="P207" i="2"/>
  <c r="P206" i="2"/>
  <c r="Q205" i="2"/>
  <c r="P205" i="2"/>
  <c r="Q204" i="2"/>
  <c r="P204" i="2"/>
  <c r="P203" i="2"/>
  <c r="P202" i="2"/>
  <c r="P201" i="2"/>
  <c r="P200" i="2"/>
  <c r="P199" i="2"/>
  <c r="P198" i="2"/>
  <c r="P197" i="2"/>
  <c r="P196" i="2"/>
  <c r="P195" i="2"/>
  <c r="P194" i="2"/>
  <c r="Q193" i="2"/>
  <c r="P193" i="2"/>
  <c r="Q192" i="2"/>
  <c r="P192" i="2"/>
  <c r="Q191" i="2"/>
  <c r="P191" i="2"/>
  <c r="Q190" i="2"/>
  <c r="P190" i="2"/>
  <c r="Q189" i="2"/>
  <c r="P189" i="2"/>
  <c r="Q188" i="2"/>
  <c r="P188" i="2"/>
  <c r="Q187" i="2"/>
  <c r="P187" i="2"/>
  <c r="Q186" i="2"/>
  <c r="P186" i="2"/>
  <c r="P185" i="2"/>
  <c r="P184" i="2"/>
  <c r="P183" i="2"/>
  <c r="Q182" i="2"/>
  <c r="P182" i="2"/>
  <c r="Q181" i="2"/>
  <c r="P181" i="2"/>
  <c r="Q180" i="2"/>
  <c r="P180" i="2"/>
  <c r="Q179" i="2"/>
  <c r="P179" i="2"/>
  <c r="Q178" i="2"/>
  <c r="P178" i="2"/>
  <c r="Q177" i="2"/>
  <c r="P177" i="2"/>
  <c r="Q176" i="2"/>
  <c r="P176" i="2"/>
  <c r="Q175" i="2"/>
  <c r="P175" i="2"/>
  <c r="Q174" i="2"/>
  <c r="P174" i="2"/>
  <c r="Q173" i="2"/>
  <c r="P173" i="2"/>
  <c r="Q172" i="2"/>
  <c r="P172" i="2"/>
  <c r="Q171" i="2"/>
  <c r="P171" i="2"/>
  <c r="Q170" i="2"/>
  <c r="P170" i="2"/>
  <c r="Q169" i="2"/>
  <c r="P169" i="2"/>
  <c r="Q168" i="2"/>
  <c r="P168" i="2"/>
  <c r="Q167" i="2"/>
  <c r="P167" i="2"/>
  <c r="Q166" i="2"/>
  <c r="P166" i="2"/>
  <c r="Q165" i="2"/>
  <c r="P165" i="2"/>
  <c r="Q164" i="2"/>
  <c r="P164" i="2"/>
  <c r="Q163" i="2"/>
  <c r="P163" i="2"/>
  <c r="Q162" i="2"/>
  <c r="P162" i="2"/>
  <c r="Q161" i="2"/>
  <c r="P161" i="2"/>
  <c r="Q160" i="2"/>
  <c r="P160" i="2"/>
  <c r="Q159" i="2"/>
  <c r="P159" i="2"/>
  <c r="Q158" i="2"/>
  <c r="P158" i="2"/>
  <c r="Q157" i="2"/>
  <c r="P157" i="2"/>
  <c r="Q156" i="2"/>
  <c r="P156" i="2"/>
  <c r="Q155" i="2"/>
  <c r="P155" i="2"/>
  <c r="Q154" i="2"/>
  <c r="P154" i="2"/>
  <c r="Q153" i="2"/>
  <c r="P153" i="2"/>
  <c r="Q152" i="2"/>
  <c r="P152" i="2"/>
  <c r="Q151" i="2"/>
  <c r="P151" i="2"/>
  <c r="Q150" i="2"/>
  <c r="P150" i="2"/>
  <c r="Q149" i="2"/>
  <c r="P149" i="2"/>
  <c r="Q148" i="2"/>
  <c r="P148" i="2"/>
  <c r="Q147" i="2"/>
  <c r="P147" i="2"/>
  <c r="Q146" i="2"/>
  <c r="P146" i="2"/>
  <c r="Q145" i="2"/>
  <c r="P145" i="2"/>
  <c r="Q144" i="2"/>
  <c r="P144" i="2"/>
  <c r="Q143" i="2"/>
  <c r="P143" i="2"/>
  <c r="Q142" i="2"/>
  <c r="P142" i="2"/>
  <c r="Q141" i="2"/>
  <c r="P141" i="2"/>
  <c r="Q140" i="2"/>
  <c r="P140" i="2"/>
  <c r="Q139" i="2"/>
  <c r="P139" i="2"/>
  <c r="Q138" i="2"/>
  <c r="P138" i="2"/>
  <c r="Q137" i="2"/>
  <c r="P137" i="2"/>
  <c r="Q136" i="2"/>
  <c r="P136" i="2"/>
  <c r="Q135" i="2"/>
  <c r="P135" i="2"/>
  <c r="Q134" i="2"/>
  <c r="P134" i="2"/>
  <c r="Q133" i="2"/>
  <c r="P133" i="2"/>
  <c r="Q132" i="2"/>
  <c r="P132" i="2"/>
  <c r="Q131" i="2"/>
  <c r="P131" i="2"/>
  <c r="Q130" i="2"/>
  <c r="P130" i="2"/>
  <c r="Q129" i="2"/>
  <c r="P129" i="2"/>
  <c r="Q128" i="2"/>
  <c r="P128" i="2"/>
  <c r="Q127" i="2"/>
  <c r="P127" i="2"/>
  <c r="Q126" i="2"/>
  <c r="P126" i="2"/>
  <c r="Q125" i="2"/>
  <c r="P125" i="2"/>
  <c r="Q124" i="2"/>
  <c r="P124" i="2"/>
  <c r="Q123" i="2"/>
  <c r="P123" i="2"/>
  <c r="Q122" i="2"/>
  <c r="P122" i="2"/>
  <c r="Q121" i="2"/>
  <c r="P121" i="2"/>
  <c r="Q120" i="2"/>
  <c r="P120" i="2"/>
  <c r="Q119" i="2"/>
  <c r="P119" i="2"/>
  <c r="Q118" i="2"/>
  <c r="P118" i="2"/>
  <c r="Q117" i="2"/>
  <c r="P117" i="2"/>
  <c r="Q116" i="2"/>
  <c r="P116" i="2"/>
  <c r="Q115" i="2"/>
  <c r="P115" i="2"/>
  <c r="Q114" i="2"/>
  <c r="P114" i="2"/>
  <c r="Q113" i="2"/>
  <c r="P113" i="2"/>
  <c r="Q112" i="2"/>
  <c r="P112" i="2"/>
  <c r="Q111" i="2"/>
  <c r="P111" i="2"/>
  <c r="Q110" i="2"/>
  <c r="P110" i="2"/>
  <c r="Q109" i="2"/>
  <c r="P109" i="2"/>
  <c r="Q108" i="2"/>
  <c r="P108" i="2"/>
  <c r="Q107" i="2"/>
  <c r="P107" i="2"/>
  <c r="Q106" i="2"/>
  <c r="P106" i="2"/>
  <c r="Q105" i="2"/>
  <c r="P105" i="2"/>
  <c r="Q104" i="2"/>
  <c r="P104" i="2"/>
  <c r="Q103" i="2"/>
  <c r="P103" i="2"/>
  <c r="Q102" i="2"/>
  <c r="P102" i="2"/>
  <c r="Q101" i="2"/>
  <c r="P101" i="2"/>
  <c r="Q100" i="2"/>
  <c r="P100" i="2"/>
  <c r="Q99" i="2"/>
  <c r="P99" i="2"/>
  <c r="Q98" i="2"/>
  <c r="P98" i="2"/>
  <c r="Q97" i="2"/>
  <c r="P97" i="2"/>
  <c r="Q96" i="2"/>
  <c r="P96" i="2"/>
  <c r="Q95" i="2"/>
  <c r="P95" i="2"/>
  <c r="Q94" i="2"/>
  <c r="P94" i="2"/>
  <c r="Q93" i="2"/>
  <c r="P93" i="2"/>
  <c r="Q92" i="2"/>
  <c r="P92" i="2"/>
  <c r="Q91" i="2"/>
  <c r="P91" i="2"/>
  <c r="Q90" i="2"/>
  <c r="P90" i="2"/>
  <c r="Q89" i="2"/>
  <c r="P89" i="2"/>
  <c r="Q88" i="2"/>
  <c r="P88" i="2"/>
  <c r="Q87" i="2"/>
  <c r="P87" i="2"/>
  <c r="Q86" i="2"/>
  <c r="P86" i="2"/>
  <c r="Q85" i="2"/>
  <c r="P85" i="2"/>
  <c r="Q84" i="2"/>
  <c r="P84" i="2"/>
  <c r="Q83" i="2"/>
  <c r="P83" i="2"/>
  <c r="Q82" i="2"/>
  <c r="P82" i="2"/>
  <c r="Q81" i="2"/>
  <c r="P81" i="2"/>
  <c r="Q80" i="2"/>
  <c r="P80" i="2"/>
  <c r="Q79" i="2"/>
  <c r="P79" i="2"/>
  <c r="Q78" i="2"/>
  <c r="P78" i="2"/>
  <c r="Q77" i="2"/>
  <c r="P77" i="2"/>
  <c r="Q76" i="2"/>
  <c r="P76" i="2"/>
  <c r="Q75" i="2"/>
  <c r="P75" i="2"/>
  <c r="Q74" i="2"/>
  <c r="P74" i="2"/>
  <c r="Q73" i="2"/>
  <c r="P73" i="2"/>
  <c r="Q72" i="2"/>
  <c r="P72" i="2"/>
  <c r="Q71" i="2"/>
  <c r="P71" i="2"/>
  <c r="Q70" i="2"/>
  <c r="P70" i="2"/>
  <c r="Q69" i="2"/>
  <c r="P69" i="2"/>
  <c r="Q68" i="2"/>
  <c r="P68" i="2"/>
  <c r="Q67" i="2"/>
  <c r="P67" i="2"/>
  <c r="Q66" i="2"/>
  <c r="P66" i="2"/>
  <c r="Q65" i="2"/>
  <c r="P65" i="2"/>
  <c r="Q64" i="2"/>
  <c r="P64" i="2"/>
  <c r="Q63" i="2"/>
  <c r="P63" i="2"/>
  <c r="Q62" i="2"/>
  <c r="P62" i="2"/>
  <c r="Q61" i="2"/>
  <c r="P61" i="2"/>
  <c r="Q60" i="2"/>
  <c r="P60" i="2"/>
  <c r="Q59" i="2"/>
  <c r="P59" i="2"/>
  <c r="Q58" i="2"/>
  <c r="P58" i="2"/>
  <c r="Q57" i="2"/>
  <c r="P57" i="2"/>
  <c r="Q56" i="2"/>
  <c r="P56" i="2"/>
  <c r="Q55" i="2"/>
  <c r="P55" i="2"/>
  <c r="Q54" i="2"/>
  <c r="P54" i="2"/>
  <c r="Q53" i="2"/>
  <c r="P53" i="2"/>
  <c r="Q52" i="2"/>
  <c r="P52" i="2"/>
  <c r="Q51" i="2"/>
  <c r="P51" i="2"/>
  <c r="Q50" i="2"/>
  <c r="P50" i="2"/>
  <c r="Q49" i="2"/>
  <c r="P49" i="2"/>
  <c r="Q48" i="2"/>
  <c r="P48" i="2"/>
  <c r="Q47" i="2"/>
  <c r="P47" i="2"/>
  <c r="Q46" i="2"/>
  <c r="P46" i="2"/>
  <c r="Q45" i="2"/>
  <c r="P45" i="2"/>
  <c r="Q44" i="2"/>
  <c r="P44" i="2"/>
  <c r="Q43" i="2"/>
  <c r="P43" i="2"/>
  <c r="Q42" i="2"/>
  <c r="P42" i="2"/>
  <c r="Q41" i="2"/>
  <c r="P41" i="2"/>
  <c r="Q40" i="2"/>
  <c r="P40" i="2"/>
  <c r="Q39" i="2"/>
  <c r="P39" i="2"/>
  <c r="Q38" i="2"/>
  <c r="P38" i="2"/>
  <c r="Q37" i="2"/>
  <c r="P37" i="2"/>
  <c r="Q36" i="2"/>
  <c r="P36" i="2"/>
  <c r="Q35" i="2"/>
  <c r="P35" i="2"/>
  <c r="Q34" i="2"/>
  <c r="P34" i="2"/>
  <c r="Q33" i="2"/>
  <c r="P33" i="2"/>
  <c r="Q32" i="2"/>
  <c r="P32" i="2"/>
  <c r="Q31" i="2"/>
  <c r="P31" i="2"/>
  <c r="Q30" i="2"/>
  <c r="P30" i="2"/>
  <c r="Q29" i="2"/>
  <c r="P29" i="2"/>
  <c r="Q28" i="2"/>
  <c r="P28" i="2"/>
  <c r="Q27" i="2"/>
  <c r="P27" i="2"/>
  <c r="Q26" i="2"/>
  <c r="P26" i="2"/>
  <c r="Q25" i="2"/>
  <c r="P25" i="2"/>
  <c r="Q24" i="2"/>
  <c r="P24" i="2"/>
  <c r="Q23" i="2"/>
  <c r="P23" i="2"/>
  <c r="Q22" i="2"/>
  <c r="P22" i="2"/>
  <c r="Q21" i="2"/>
  <c r="P21" i="2"/>
  <c r="Q20" i="2"/>
  <c r="P20" i="2"/>
  <c r="Q19" i="2"/>
  <c r="P19" i="2"/>
  <c r="Q18" i="2"/>
  <c r="P18" i="2"/>
  <c r="Q17" i="2"/>
  <c r="P17" i="2"/>
  <c r="Q16" i="2"/>
  <c r="P16" i="2"/>
  <c r="Q15" i="2"/>
  <c r="P15" i="2"/>
  <c r="Q14" i="2"/>
  <c r="P14" i="2"/>
  <c r="Q13" i="2"/>
  <c r="P13" i="2"/>
  <c r="Q12" i="2"/>
  <c r="P12" i="2"/>
  <c r="Q11" i="2"/>
  <c r="P11" i="2"/>
  <c r="Q10" i="2"/>
  <c r="P10" i="2"/>
  <c r="Q9" i="2"/>
  <c r="P9" i="2"/>
  <c r="Q8" i="2"/>
  <c r="P8" i="2"/>
  <c r="Q7" i="2"/>
  <c r="P7" i="2"/>
  <c r="Q6" i="2"/>
  <c r="P6" i="2"/>
  <c r="P5" i="2"/>
  <c r="P4" i="2"/>
  <c r="P3" i="2"/>
  <c r="I3" i="2"/>
  <c r="I4" i="2"/>
  <c r="I5" i="2"/>
  <c r="I6" i="2"/>
  <c r="I7" i="2"/>
  <c r="I8" i="2"/>
  <c r="I9" i="2"/>
  <c r="I10" i="2"/>
  <c r="I11" i="2"/>
  <c r="I12" i="2"/>
  <c r="I13" i="2"/>
  <c r="I14" i="2"/>
  <c r="I15" i="2"/>
  <c r="I16" i="2"/>
  <c r="I17" i="2"/>
  <c r="I18" i="2"/>
  <c r="I19" i="2"/>
  <c r="I20" i="2"/>
  <c r="I21" i="2"/>
  <c r="I22" i="2"/>
  <c r="I23" i="2"/>
  <c r="I24" i="2"/>
  <c r="I25" i="2"/>
  <c r="I26" i="2"/>
  <c r="I27" i="2"/>
  <c r="I28" i="2"/>
  <c r="I29" i="2"/>
  <c r="I30" i="2"/>
  <c r="I31" i="2"/>
  <c r="I32" i="2"/>
  <c r="I33" i="2"/>
  <c r="I34" i="2"/>
  <c r="I35" i="2"/>
  <c r="I36" i="2"/>
  <c r="I37" i="2"/>
  <c r="I38" i="2"/>
  <c r="I39" i="2"/>
  <c r="I40" i="2"/>
  <c r="I41" i="2"/>
  <c r="I42" i="2"/>
  <c r="I43" i="2"/>
  <c r="I44" i="2"/>
  <c r="I45" i="2"/>
  <c r="I46" i="2"/>
  <c r="I47" i="2"/>
  <c r="I48" i="2"/>
  <c r="I49" i="2"/>
  <c r="I50" i="2"/>
  <c r="I51" i="2"/>
  <c r="I52" i="2"/>
  <c r="I53" i="2"/>
  <c r="I54" i="2"/>
  <c r="I55" i="2"/>
  <c r="I56" i="2"/>
  <c r="I57" i="2"/>
  <c r="I58" i="2"/>
  <c r="I59" i="2"/>
  <c r="I60" i="2"/>
  <c r="I61" i="2"/>
  <c r="I62" i="2"/>
  <c r="I63" i="2"/>
  <c r="I64" i="2"/>
  <c r="I65" i="2"/>
  <c r="I66" i="2"/>
  <c r="I67" i="2"/>
  <c r="I68" i="2"/>
  <c r="I69" i="2"/>
  <c r="I70" i="2"/>
  <c r="I71" i="2"/>
  <c r="I72" i="2"/>
  <c r="I73" i="2"/>
  <c r="I74" i="2"/>
  <c r="I75" i="2"/>
  <c r="I76" i="2"/>
  <c r="I77" i="2"/>
  <c r="I78" i="2"/>
  <c r="I79" i="2"/>
  <c r="I80" i="2"/>
  <c r="I81" i="2"/>
  <c r="I82" i="2"/>
  <c r="I83" i="2"/>
  <c r="I84" i="2"/>
  <c r="I85" i="2"/>
  <c r="I86" i="2"/>
  <c r="I87" i="2"/>
  <c r="I88" i="2"/>
  <c r="I89" i="2"/>
  <c r="I90" i="2"/>
  <c r="I91" i="2"/>
  <c r="I92" i="2"/>
  <c r="I93" i="2"/>
  <c r="I94" i="2"/>
  <c r="I95" i="2"/>
  <c r="I96" i="2"/>
  <c r="I97" i="2"/>
  <c r="I98" i="2"/>
  <c r="I99" i="2"/>
  <c r="I100" i="2"/>
  <c r="I101" i="2"/>
  <c r="I102" i="2"/>
  <c r="I103" i="2"/>
  <c r="I104" i="2"/>
  <c r="I105" i="2"/>
  <c r="I106" i="2"/>
  <c r="I107" i="2"/>
  <c r="I108" i="2"/>
  <c r="I109" i="2"/>
  <c r="I110" i="2"/>
  <c r="I111" i="2"/>
  <c r="I112" i="2"/>
  <c r="I113" i="2"/>
  <c r="I114" i="2"/>
  <c r="I115" i="2"/>
  <c r="I116" i="2"/>
  <c r="I117" i="2"/>
  <c r="I118" i="2"/>
  <c r="I119" i="2"/>
  <c r="I120" i="2"/>
  <c r="I121" i="2"/>
  <c r="I122" i="2"/>
  <c r="I123" i="2"/>
  <c r="I124" i="2"/>
  <c r="I125" i="2"/>
  <c r="I126" i="2"/>
  <c r="I127" i="2"/>
  <c r="I128" i="2"/>
  <c r="I129" i="2"/>
  <c r="I130" i="2"/>
  <c r="I131" i="2"/>
  <c r="I132" i="2"/>
  <c r="I133" i="2"/>
  <c r="I134" i="2"/>
  <c r="I135" i="2"/>
  <c r="I136" i="2"/>
  <c r="I137" i="2"/>
  <c r="I138" i="2"/>
  <c r="I139" i="2"/>
  <c r="I140" i="2"/>
  <c r="I141" i="2"/>
  <c r="I142" i="2"/>
  <c r="I143" i="2"/>
  <c r="I144" i="2"/>
  <c r="I145" i="2"/>
  <c r="I146" i="2"/>
  <c r="I147" i="2"/>
  <c r="I148" i="2"/>
  <c r="I149" i="2"/>
  <c r="I150" i="2"/>
  <c r="I151" i="2"/>
  <c r="I152" i="2"/>
  <c r="I153" i="2"/>
  <c r="I154" i="2"/>
  <c r="I155" i="2"/>
  <c r="I156" i="2"/>
  <c r="I157" i="2"/>
  <c r="I158" i="2"/>
  <c r="I159" i="2"/>
  <c r="I160" i="2"/>
  <c r="I161" i="2"/>
  <c r="I162" i="2"/>
  <c r="I163" i="2"/>
  <c r="I164" i="2"/>
  <c r="I165" i="2"/>
  <c r="I166" i="2"/>
  <c r="I167" i="2"/>
  <c r="I168" i="2"/>
  <c r="I169" i="2"/>
  <c r="I170" i="2"/>
  <c r="I171" i="2"/>
  <c r="I172" i="2"/>
  <c r="I173" i="2"/>
  <c r="I174" i="2"/>
  <c r="I175" i="2"/>
  <c r="I176" i="2"/>
  <c r="I177" i="2"/>
  <c r="I178" i="2"/>
  <c r="I179" i="2"/>
  <c r="I180" i="2"/>
  <c r="I181" i="2"/>
  <c r="I182" i="2"/>
  <c r="I183" i="2"/>
  <c r="I184" i="2"/>
  <c r="I185" i="2"/>
  <c r="I186" i="2"/>
  <c r="I187" i="2"/>
  <c r="I188" i="2"/>
  <c r="I189" i="2"/>
  <c r="I190" i="2"/>
  <c r="I191" i="2"/>
  <c r="I192" i="2"/>
  <c r="I193" i="2"/>
  <c r="I194" i="2"/>
  <c r="I195" i="2"/>
  <c r="I196" i="2"/>
  <c r="I197" i="2"/>
  <c r="I198" i="2"/>
  <c r="I199" i="2"/>
  <c r="I200" i="2"/>
  <c r="I201" i="2"/>
  <c r="I202" i="2"/>
  <c r="I203" i="2"/>
  <c r="I204" i="2"/>
  <c r="I205" i="2"/>
  <c r="I206" i="2"/>
  <c r="I207" i="2"/>
  <c r="I208" i="2"/>
  <c r="I209" i="2"/>
  <c r="I210" i="2"/>
  <c r="I211" i="2"/>
  <c r="I212" i="2"/>
  <c r="I213" i="2"/>
  <c r="I214" i="2"/>
  <c r="I215" i="2"/>
  <c r="I216" i="2"/>
  <c r="I217" i="2"/>
  <c r="I218" i="2"/>
  <c r="I219" i="2"/>
  <c r="I220" i="2"/>
  <c r="I221" i="2"/>
  <c r="I222" i="2"/>
  <c r="I223" i="2"/>
  <c r="I224" i="2"/>
  <c r="I225" i="2"/>
  <c r="I226" i="2"/>
  <c r="I227" i="2"/>
  <c r="I228" i="2"/>
  <c r="I229" i="2"/>
  <c r="I230" i="2"/>
  <c r="I231" i="2"/>
  <c r="I232" i="2"/>
  <c r="I233" i="2"/>
  <c r="I234" i="2"/>
  <c r="I235" i="2"/>
  <c r="I236" i="2"/>
  <c r="I237" i="2"/>
  <c r="I238" i="2"/>
  <c r="I239" i="2"/>
  <c r="I240" i="2"/>
  <c r="I241" i="2"/>
  <c r="I242" i="2"/>
  <c r="I243" i="2"/>
  <c r="I244" i="2"/>
  <c r="I245" i="2"/>
  <c r="I246" i="2"/>
  <c r="I247" i="2"/>
  <c r="I248" i="2"/>
  <c r="I249" i="2"/>
  <c r="I250" i="2"/>
  <c r="I251" i="2"/>
  <c r="I252" i="2"/>
  <c r="I253" i="2"/>
  <c r="I254" i="2"/>
  <c r="I255" i="2"/>
  <c r="I256" i="2"/>
  <c r="I257" i="2"/>
  <c r="I258" i="2"/>
  <c r="I259" i="2"/>
  <c r="I260" i="2"/>
  <c r="I261" i="2"/>
  <c r="I262" i="2"/>
  <c r="I263" i="2"/>
  <c r="I264" i="2"/>
  <c r="I265" i="2"/>
  <c r="I266" i="2"/>
  <c r="I267" i="2"/>
  <c r="I268" i="2"/>
  <c r="I269" i="2"/>
  <c r="I270" i="2"/>
  <c r="I271" i="2"/>
  <c r="I272" i="2"/>
  <c r="I273" i="2"/>
  <c r="I274" i="2"/>
  <c r="I275" i="2"/>
  <c r="I276" i="2"/>
  <c r="I277" i="2"/>
  <c r="I278" i="2"/>
  <c r="I279" i="2"/>
  <c r="I280" i="2"/>
  <c r="I281" i="2"/>
  <c r="I282" i="2"/>
  <c r="I283" i="2"/>
  <c r="I284" i="2"/>
  <c r="I285" i="2"/>
  <c r="I286" i="2"/>
  <c r="I287" i="2"/>
  <c r="I288" i="2"/>
  <c r="I289" i="2"/>
  <c r="I290" i="2"/>
  <c r="I291" i="2"/>
  <c r="I292" i="2"/>
  <c r="I293" i="2"/>
  <c r="I294" i="2"/>
  <c r="I295" i="2"/>
  <c r="I296" i="2"/>
  <c r="I297" i="2"/>
  <c r="I298" i="2"/>
  <c r="I299" i="2"/>
  <c r="I300" i="2"/>
  <c r="I301" i="2"/>
  <c r="I302" i="2"/>
  <c r="I303" i="2"/>
  <c r="I304" i="2"/>
  <c r="I305" i="2"/>
  <c r="I306" i="2"/>
  <c r="I307" i="2"/>
  <c r="I308" i="2"/>
  <c r="I309" i="2"/>
  <c r="I310" i="2"/>
  <c r="I311" i="2"/>
  <c r="I312" i="2"/>
  <c r="I313" i="2"/>
  <c r="I314" i="2"/>
  <c r="I315" i="2"/>
  <c r="I316" i="2"/>
  <c r="I317" i="2"/>
  <c r="I318" i="2"/>
  <c r="I319" i="2"/>
  <c r="I320" i="2"/>
  <c r="I321" i="2"/>
  <c r="I322" i="2"/>
  <c r="I323" i="2"/>
  <c r="I324" i="2"/>
  <c r="I325" i="2"/>
  <c r="I326" i="2"/>
  <c r="I327" i="2"/>
  <c r="I328" i="2"/>
  <c r="I329" i="2"/>
  <c r="I330" i="2"/>
  <c r="I331" i="2"/>
  <c r="I332" i="2"/>
  <c r="I333" i="2"/>
  <c r="I334" i="2"/>
  <c r="I335" i="2"/>
  <c r="I336" i="2"/>
  <c r="I337" i="2"/>
  <c r="I338" i="2"/>
  <c r="I339" i="2"/>
  <c r="I340" i="2"/>
  <c r="I341" i="2"/>
  <c r="I342" i="2"/>
  <c r="I343" i="2"/>
  <c r="I344" i="2"/>
  <c r="I345" i="2"/>
  <c r="I346" i="2"/>
  <c r="I347" i="2"/>
  <c r="I348" i="2"/>
  <c r="I349" i="2"/>
  <c r="I350" i="2"/>
  <c r="I351" i="2"/>
  <c r="I352" i="2"/>
  <c r="I353" i="2"/>
  <c r="I354" i="2"/>
  <c r="I355" i="2"/>
  <c r="I356" i="2"/>
  <c r="I357" i="2"/>
  <c r="I358" i="2"/>
  <c r="I359" i="2"/>
  <c r="I360" i="2"/>
  <c r="I361" i="2"/>
  <c r="I362" i="2"/>
  <c r="I363" i="2"/>
  <c r="I364" i="2"/>
  <c r="I365" i="2"/>
  <c r="I366" i="2"/>
  <c r="I367" i="2"/>
  <c r="I368" i="2"/>
  <c r="I369" i="2"/>
  <c r="I370" i="2"/>
  <c r="I371" i="2"/>
  <c r="I372" i="2"/>
  <c r="I373" i="2"/>
  <c r="I374" i="2"/>
  <c r="I375" i="2"/>
  <c r="I376" i="2"/>
  <c r="I377" i="2"/>
  <c r="I378" i="2"/>
  <c r="I379" i="2"/>
  <c r="I380" i="2"/>
  <c r="I381" i="2"/>
  <c r="I382" i="2"/>
  <c r="I383" i="2"/>
  <c r="I384" i="2"/>
  <c r="I385" i="2"/>
  <c r="I386" i="2"/>
  <c r="I387" i="2"/>
  <c r="I388" i="2"/>
  <c r="I389" i="2"/>
  <c r="I390" i="2"/>
  <c r="I391" i="2"/>
  <c r="I392" i="2"/>
  <c r="I393" i="2"/>
  <c r="I394" i="2"/>
  <c r="I395" i="2"/>
  <c r="I396" i="2"/>
  <c r="I397" i="2"/>
  <c r="I398" i="2"/>
  <c r="I399" i="2"/>
  <c r="I400" i="2"/>
  <c r="I401" i="2"/>
  <c r="I402" i="2"/>
  <c r="I403" i="2"/>
  <c r="I404" i="2"/>
  <c r="I405" i="2"/>
  <c r="I406" i="2"/>
  <c r="I407" i="2"/>
  <c r="I408" i="2"/>
  <c r="I409" i="2"/>
  <c r="I410" i="2"/>
  <c r="I411" i="2"/>
  <c r="I412" i="2"/>
  <c r="I413" i="2"/>
  <c r="I414" i="2"/>
  <c r="I415" i="2"/>
  <c r="I416" i="2"/>
  <c r="I417" i="2"/>
  <c r="I418" i="2"/>
  <c r="I419" i="2"/>
  <c r="I420" i="2"/>
  <c r="I421" i="2"/>
  <c r="I422" i="2"/>
  <c r="I423" i="2"/>
  <c r="I424" i="2"/>
  <c r="I425" i="2"/>
  <c r="I426" i="2"/>
  <c r="I427" i="2"/>
  <c r="I428" i="2"/>
  <c r="I429" i="2"/>
  <c r="I430" i="2"/>
  <c r="I431" i="2"/>
  <c r="I432" i="2"/>
  <c r="I433" i="2"/>
  <c r="I434" i="2"/>
  <c r="I435" i="2"/>
  <c r="I436" i="2"/>
  <c r="I437" i="2"/>
  <c r="I438" i="2"/>
  <c r="I439" i="2"/>
  <c r="I440" i="2"/>
  <c r="I441" i="2"/>
  <c r="I442" i="2"/>
  <c r="I443" i="2"/>
  <c r="I444" i="2"/>
  <c r="I445" i="2"/>
  <c r="I446" i="2"/>
  <c r="I447" i="2"/>
  <c r="I448" i="2"/>
  <c r="I449" i="2"/>
  <c r="I450" i="2"/>
  <c r="I451" i="2"/>
  <c r="I452" i="2"/>
  <c r="I453" i="2"/>
  <c r="I454" i="2"/>
  <c r="I455" i="2"/>
  <c r="I456" i="2"/>
  <c r="I457" i="2"/>
  <c r="I458" i="2"/>
  <c r="I459" i="2"/>
  <c r="I460" i="2"/>
  <c r="I461" i="2"/>
  <c r="I462" i="2"/>
  <c r="I463" i="2"/>
  <c r="I464" i="2"/>
  <c r="I465" i="2"/>
  <c r="I466" i="2"/>
  <c r="I467" i="2"/>
  <c r="I468" i="2"/>
  <c r="I469" i="2"/>
  <c r="I470" i="2"/>
  <c r="I471" i="2"/>
  <c r="I472" i="2"/>
  <c r="I473" i="2"/>
  <c r="I474" i="2"/>
  <c r="I475" i="2"/>
  <c r="I476" i="2"/>
  <c r="I477" i="2"/>
  <c r="I478" i="2"/>
  <c r="I479" i="2"/>
  <c r="I480" i="2"/>
  <c r="I481" i="2"/>
  <c r="I482" i="2"/>
  <c r="I483" i="2"/>
  <c r="I484" i="2"/>
  <c r="I485" i="2"/>
  <c r="I486" i="2"/>
  <c r="I487" i="2"/>
  <c r="I488" i="2"/>
  <c r="I489" i="2"/>
  <c r="I490" i="2"/>
  <c r="I491" i="2"/>
  <c r="I492" i="2"/>
  <c r="I493" i="2"/>
  <c r="I494" i="2"/>
  <c r="I495" i="2"/>
  <c r="I496" i="2"/>
  <c r="I497" i="2"/>
  <c r="I498" i="2"/>
  <c r="I499" i="2"/>
  <c r="I500" i="2"/>
  <c r="I501" i="2"/>
  <c r="I502" i="2"/>
  <c r="I503" i="2"/>
  <c r="I504" i="2"/>
  <c r="I505" i="2"/>
  <c r="I506" i="2"/>
  <c r="I507" i="2"/>
  <c r="I508" i="2"/>
  <c r="I509" i="2"/>
  <c r="I510" i="2"/>
  <c r="I511" i="2"/>
  <c r="I512" i="2"/>
  <c r="I513" i="2"/>
  <c r="I514" i="2"/>
  <c r="I515" i="2"/>
  <c r="I516" i="2"/>
  <c r="I517" i="2"/>
  <c r="I518" i="2"/>
  <c r="I519" i="2"/>
  <c r="I520" i="2"/>
  <c r="I521" i="2"/>
  <c r="I522" i="2"/>
  <c r="I523" i="2"/>
  <c r="I524" i="2"/>
  <c r="I525" i="2"/>
  <c r="I526" i="2"/>
  <c r="I527" i="2"/>
  <c r="I528" i="2"/>
  <c r="I529" i="2"/>
  <c r="I530" i="2"/>
  <c r="I531" i="2"/>
  <c r="I532" i="2"/>
  <c r="I533" i="2"/>
  <c r="I534" i="2"/>
  <c r="I535" i="2"/>
  <c r="I536" i="2"/>
  <c r="I537" i="2"/>
  <c r="I538" i="2"/>
  <c r="I539" i="2"/>
  <c r="I540" i="2"/>
  <c r="I541" i="2"/>
  <c r="I542" i="2"/>
  <c r="I543" i="2"/>
  <c r="I544" i="2"/>
  <c r="I545" i="2"/>
  <c r="I546" i="2"/>
  <c r="I547" i="2"/>
  <c r="I548" i="2"/>
  <c r="I549" i="2"/>
  <c r="I550" i="2"/>
  <c r="I551" i="2"/>
  <c r="I552" i="2"/>
  <c r="I553" i="2"/>
  <c r="I554" i="2"/>
  <c r="I555" i="2"/>
  <c r="I556" i="2"/>
  <c r="I557" i="2"/>
  <c r="I558" i="2"/>
  <c r="I559" i="2"/>
  <c r="I560" i="2"/>
  <c r="I561" i="2"/>
  <c r="I562" i="2"/>
  <c r="I563" i="2"/>
  <c r="I564" i="2"/>
  <c r="I565" i="2"/>
  <c r="I566" i="2"/>
  <c r="I567" i="2"/>
  <c r="I568" i="2"/>
  <c r="I569" i="2"/>
  <c r="I570" i="2"/>
  <c r="I571" i="2"/>
  <c r="I572" i="2"/>
  <c r="I573" i="2"/>
  <c r="I574" i="2"/>
  <c r="I575" i="2"/>
  <c r="I576" i="2"/>
  <c r="I577" i="2"/>
  <c r="I578" i="2"/>
  <c r="I579" i="2"/>
  <c r="I580" i="2"/>
  <c r="I581" i="2"/>
  <c r="I582" i="2"/>
  <c r="I583" i="2"/>
  <c r="I584" i="2"/>
  <c r="I585" i="2"/>
  <c r="I586" i="2"/>
  <c r="I587" i="2"/>
  <c r="I588" i="2"/>
  <c r="I589" i="2"/>
  <c r="I590" i="2"/>
  <c r="I591" i="2"/>
  <c r="I592" i="2"/>
  <c r="I593" i="2"/>
  <c r="I594" i="2"/>
  <c r="I595" i="2"/>
  <c r="I596" i="2"/>
  <c r="I597" i="2"/>
  <c r="I598" i="2"/>
  <c r="I599" i="2"/>
  <c r="I600" i="2"/>
  <c r="I601" i="2"/>
  <c r="I602" i="2"/>
  <c r="I603" i="2"/>
  <c r="I604" i="2"/>
  <c r="I605" i="2"/>
  <c r="I606" i="2"/>
  <c r="I607" i="2"/>
  <c r="I608" i="2"/>
  <c r="I609" i="2"/>
  <c r="I610" i="2"/>
  <c r="I611" i="2"/>
  <c r="I612" i="2"/>
  <c r="I613" i="2"/>
  <c r="I614" i="2"/>
  <c r="I615" i="2"/>
  <c r="I616" i="2"/>
  <c r="I617" i="2"/>
  <c r="I618" i="2"/>
  <c r="I619" i="2"/>
  <c r="I620" i="2"/>
  <c r="I621" i="2"/>
  <c r="I622" i="2"/>
  <c r="I623" i="2"/>
  <c r="I624" i="2"/>
  <c r="I625" i="2"/>
  <c r="I626" i="2"/>
  <c r="I627" i="2"/>
  <c r="I628" i="2"/>
  <c r="I629" i="2"/>
  <c r="I630" i="2"/>
  <c r="I631" i="2"/>
  <c r="I632" i="2"/>
  <c r="I633" i="2"/>
  <c r="I634" i="2"/>
  <c r="I635" i="2"/>
  <c r="I636" i="2"/>
  <c r="I637" i="2"/>
  <c r="I638" i="2"/>
  <c r="I639" i="2"/>
  <c r="I640" i="2"/>
  <c r="I641" i="2"/>
  <c r="I642" i="2"/>
  <c r="I643" i="2"/>
  <c r="I644" i="2"/>
  <c r="I645" i="2"/>
  <c r="I646" i="2"/>
  <c r="I647" i="2"/>
  <c r="I648" i="2"/>
  <c r="I649" i="2"/>
  <c r="I650" i="2"/>
  <c r="I651" i="2"/>
  <c r="I652" i="2"/>
  <c r="I653" i="2"/>
  <c r="I654" i="2"/>
  <c r="I655" i="2"/>
  <c r="I656" i="2"/>
  <c r="I657" i="2"/>
  <c r="I658" i="2"/>
  <c r="I659" i="2"/>
  <c r="I660" i="2"/>
  <c r="I661" i="2"/>
  <c r="I662" i="2"/>
  <c r="I663" i="2"/>
  <c r="I664" i="2"/>
  <c r="I665" i="2"/>
  <c r="I666" i="2"/>
  <c r="I667" i="2"/>
  <c r="I668" i="2"/>
  <c r="I669" i="2"/>
  <c r="I670" i="2"/>
  <c r="I671" i="2"/>
  <c r="I672" i="2"/>
  <c r="I673" i="2"/>
  <c r="I674" i="2"/>
  <c r="I675" i="2"/>
  <c r="I676" i="2"/>
  <c r="I677" i="2"/>
  <c r="I678" i="2"/>
  <c r="I679" i="2"/>
  <c r="I680" i="2"/>
  <c r="I681" i="2"/>
  <c r="I682" i="2"/>
  <c r="I683" i="2"/>
  <c r="I684" i="2"/>
  <c r="I685" i="2"/>
  <c r="I686" i="2"/>
  <c r="I687" i="2"/>
  <c r="I688" i="2"/>
  <c r="I689" i="2"/>
  <c r="I690" i="2"/>
  <c r="I691" i="2"/>
  <c r="I692" i="2"/>
  <c r="I693" i="2"/>
  <c r="I694" i="2"/>
  <c r="I695" i="2"/>
  <c r="I696" i="2"/>
  <c r="I697" i="2"/>
  <c r="I698" i="2"/>
  <c r="I699" i="2"/>
  <c r="I700" i="2"/>
  <c r="I701" i="2"/>
  <c r="I702" i="2"/>
  <c r="I703" i="2"/>
  <c r="I704" i="2"/>
  <c r="I705" i="2"/>
  <c r="I706" i="2"/>
  <c r="I707" i="2"/>
  <c r="I708" i="2"/>
  <c r="I709" i="2"/>
  <c r="I710" i="2"/>
  <c r="I711" i="2"/>
  <c r="I712" i="2"/>
  <c r="I713" i="2"/>
  <c r="I714" i="2"/>
  <c r="I715" i="2"/>
  <c r="I716" i="2"/>
  <c r="I717" i="2"/>
  <c r="I718" i="2"/>
  <c r="I719" i="2"/>
  <c r="I720" i="2"/>
  <c r="I721" i="2"/>
  <c r="I722" i="2"/>
  <c r="I723" i="2"/>
  <c r="I724" i="2"/>
  <c r="I725" i="2"/>
  <c r="I726" i="2"/>
  <c r="I727" i="2"/>
  <c r="I728" i="2"/>
  <c r="I729" i="2"/>
  <c r="I730" i="2"/>
  <c r="I731" i="2"/>
  <c r="I732" i="2"/>
  <c r="I733" i="2"/>
  <c r="I734" i="2"/>
  <c r="I735" i="2"/>
  <c r="I736" i="2"/>
  <c r="I737" i="2"/>
  <c r="I738" i="2"/>
  <c r="I739" i="2"/>
  <c r="I740" i="2"/>
  <c r="I741" i="2"/>
  <c r="I742" i="2"/>
  <c r="I743" i="2"/>
  <c r="I744" i="2"/>
  <c r="I745" i="2"/>
  <c r="I746" i="2"/>
  <c r="I747" i="2"/>
  <c r="I748" i="2"/>
  <c r="I749" i="2"/>
  <c r="I750" i="2"/>
  <c r="I751" i="2"/>
  <c r="I752" i="2"/>
  <c r="I753" i="2"/>
  <c r="I754" i="2"/>
  <c r="I755" i="2"/>
  <c r="I756" i="2"/>
  <c r="I757" i="2"/>
  <c r="I758" i="2"/>
  <c r="I759" i="2"/>
  <c r="I760" i="2"/>
  <c r="I761" i="2"/>
  <c r="I762" i="2"/>
  <c r="I763" i="2"/>
  <c r="I764" i="2"/>
  <c r="I765" i="2"/>
  <c r="I766" i="2"/>
  <c r="I767" i="2"/>
  <c r="I768" i="2"/>
  <c r="I769" i="2"/>
  <c r="I770" i="2"/>
  <c r="I771" i="2"/>
  <c r="I772" i="2"/>
  <c r="I773" i="2"/>
  <c r="I774" i="2"/>
  <c r="I775" i="2"/>
  <c r="I776" i="2"/>
  <c r="I777" i="2"/>
  <c r="I778" i="2"/>
  <c r="I779" i="2"/>
  <c r="I780" i="2"/>
  <c r="I781" i="2"/>
  <c r="I782" i="2"/>
  <c r="I783" i="2"/>
  <c r="I784" i="2"/>
  <c r="I785" i="2"/>
  <c r="I786" i="2"/>
  <c r="I787" i="2"/>
  <c r="I788" i="2"/>
  <c r="I789" i="2"/>
  <c r="I790" i="2"/>
  <c r="I791" i="2"/>
  <c r="I792" i="2"/>
  <c r="I793" i="2"/>
  <c r="I794" i="2"/>
  <c r="I795" i="2"/>
  <c r="I796" i="2"/>
  <c r="I797" i="2"/>
  <c r="I798" i="2"/>
  <c r="I799" i="2"/>
  <c r="I800" i="2"/>
  <c r="I801" i="2"/>
  <c r="I802" i="2"/>
  <c r="I803" i="2"/>
  <c r="I804" i="2"/>
  <c r="I805" i="2"/>
  <c r="I806" i="2"/>
  <c r="I807" i="2"/>
  <c r="I808" i="2"/>
  <c r="I809" i="2"/>
  <c r="I810" i="2"/>
  <c r="I811" i="2"/>
  <c r="I812" i="2"/>
  <c r="I813" i="2"/>
  <c r="I814" i="2"/>
  <c r="I815" i="2"/>
  <c r="I816" i="2"/>
  <c r="I817" i="2"/>
  <c r="I818" i="2"/>
  <c r="I819" i="2"/>
  <c r="I820" i="2"/>
  <c r="I821" i="2"/>
  <c r="I822" i="2"/>
  <c r="I823" i="2"/>
  <c r="I824" i="2"/>
  <c r="I825" i="2"/>
  <c r="I826" i="2"/>
  <c r="I827" i="2"/>
  <c r="I828" i="2"/>
  <c r="I829" i="2"/>
  <c r="I830" i="2"/>
  <c r="I831" i="2"/>
  <c r="I832" i="2"/>
  <c r="I833" i="2"/>
  <c r="I834" i="2"/>
  <c r="I835" i="2"/>
  <c r="I836" i="2"/>
  <c r="I837" i="2"/>
  <c r="I838" i="2"/>
  <c r="I839" i="2"/>
  <c r="I840" i="2"/>
  <c r="I841" i="2"/>
  <c r="I842" i="2"/>
  <c r="I843" i="2"/>
  <c r="I844" i="2"/>
  <c r="I845" i="2"/>
  <c r="I846" i="2"/>
  <c r="I847" i="2"/>
  <c r="I848" i="2"/>
  <c r="I849" i="2"/>
  <c r="I850" i="2"/>
  <c r="I851" i="2"/>
  <c r="I852" i="2"/>
  <c r="I853" i="2"/>
  <c r="I854" i="2"/>
  <c r="I855" i="2"/>
  <c r="I856" i="2"/>
  <c r="I857" i="2"/>
  <c r="I858" i="2"/>
  <c r="I859" i="2"/>
  <c r="I860" i="2"/>
  <c r="I861" i="2"/>
  <c r="I862" i="2"/>
  <c r="I863" i="2"/>
  <c r="I864" i="2"/>
  <c r="I865" i="2"/>
  <c r="I866" i="2"/>
  <c r="I867" i="2"/>
  <c r="I868" i="2"/>
  <c r="I869" i="2"/>
  <c r="I870" i="2"/>
  <c r="I871" i="2"/>
  <c r="I872" i="2"/>
  <c r="I873" i="2"/>
  <c r="I874" i="2"/>
  <c r="I875" i="2"/>
  <c r="I876" i="2"/>
  <c r="I877" i="2"/>
  <c r="I878" i="2"/>
  <c r="I879" i="2"/>
  <c r="I880" i="2"/>
  <c r="I881" i="2"/>
  <c r="I882" i="2"/>
  <c r="I883" i="2"/>
  <c r="I884" i="2"/>
  <c r="I885" i="2"/>
  <c r="I886" i="2"/>
  <c r="I887" i="2"/>
  <c r="I888" i="2"/>
  <c r="I889" i="2"/>
  <c r="I890" i="2"/>
  <c r="I891" i="2"/>
  <c r="I892" i="2"/>
  <c r="I893" i="2"/>
  <c r="I894" i="2"/>
  <c r="I895" i="2"/>
  <c r="I896" i="2"/>
  <c r="I897" i="2"/>
  <c r="I898" i="2"/>
  <c r="I899" i="2"/>
  <c r="I900" i="2"/>
  <c r="I901" i="2"/>
  <c r="I902" i="2"/>
  <c r="I903" i="2"/>
  <c r="I904" i="2"/>
  <c r="I905" i="2"/>
  <c r="I906" i="2"/>
  <c r="I907" i="2"/>
  <c r="I908" i="2"/>
  <c r="I909" i="2"/>
  <c r="I910" i="2"/>
  <c r="I911" i="2"/>
  <c r="I912" i="2"/>
  <c r="I913" i="2"/>
  <c r="I914" i="2"/>
  <c r="I915" i="2"/>
  <c r="I916" i="2"/>
  <c r="I917" i="2"/>
  <c r="I918" i="2"/>
  <c r="I919" i="2"/>
  <c r="I920" i="2"/>
  <c r="I921" i="2"/>
  <c r="I922" i="2"/>
  <c r="I923" i="2"/>
  <c r="I924" i="2"/>
  <c r="I925" i="2"/>
  <c r="I926" i="2"/>
  <c r="I927" i="2"/>
  <c r="I928" i="2"/>
  <c r="I929" i="2"/>
  <c r="I930" i="2"/>
  <c r="I931" i="2"/>
  <c r="I932" i="2"/>
  <c r="I933" i="2"/>
  <c r="I934" i="2"/>
  <c r="I935" i="2"/>
  <c r="I936" i="2"/>
  <c r="I937" i="2"/>
  <c r="I938" i="2"/>
  <c r="I939" i="2"/>
  <c r="I940" i="2"/>
  <c r="I941" i="2"/>
  <c r="I942" i="2"/>
  <c r="I943" i="2"/>
  <c r="I944" i="2"/>
  <c r="I945" i="2"/>
  <c r="I946" i="2"/>
  <c r="I947" i="2"/>
  <c r="I948" i="2"/>
  <c r="I949" i="2"/>
  <c r="I950" i="2"/>
  <c r="I951" i="2"/>
  <c r="I952" i="2"/>
  <c r="I953" i="2"/>
  <c r="I954" i="2"/>
  <c r="I955" i="2"/>
  <c r="I956" i="2"/>
  <c r="I957" i="2"/>
  <c r="I958" i="2"/>
  <c r="I959" i="2"/>
  <c r="I960" i="2"/>
  <c r="I961" i="2"/>
  <c r="I962" i="2"/>
  <c r="I963" i="2"/>
  <c r="I964" i="2"/>
  <c r="I965" i="2"/>
  <c r="I966" i="2"/>
  <c r="I967" i="2"/>
  <c r="I968" i="2"/>
  <c r="I969" i="2"/>
  <c r="I970" i="2"/>
  <c r="I971" i="2"/>
  <c r="I972" i="2"/>
  <c r="I973" i="2"/>
  <c r="I974" i="2"/>
  <c r="I975" i="2"/>
  <c r="I976" i="2"/>
  <c r="I977" i="2"/>
  <c r="I978" i="2"/>
  <c r="I979" i="2"/>
  <c r="I980" i="2"/>
  <c r="I981" i="2"/>
  <c r="I982" i="2"/>
  <c r="I983" i="2"/>
  <c r="I984" i="2"/>
  <c r="I985" i="2"/>
  <c r="I986" i="2"/>
  <c r="I987" i="2"/>
  <c r="I988" i="2"/>
  <c r="I989" i="2"/>
  <c r="I990" i="2"/>
  <c r="I991" i="2"/>
  <c r="I992" i="2"/>
  <c r="I993" i="2"/>
  <c r="I994" i="2"/>
  <c r="I995" i="2"/>
  <c r="I996" i="2"/>
  <c r="I997" i="2"/>
  <c r="I998" i="2"/>
  <c r="I999" i="2"/>
  <c r="I1000" i="2"/>
  <c r="I1001" i="2"/>
  <c r="I1002" i="2"/>
  <c r="I1003" i="2"/>
  <c r="I1004" i="2"/>
  <c r="I1005" i="2"/>
  <c r="I1006" i="2"/>
  <c r="I1007" i="2"/>
  <c r="I1008" i="2"/>
  <c r="I1009" i="2"/>
  <c r="I1010" i="2"/>
  <c r="I1011" i="2"/>
  <c r="I1012" i="2"/>
  <c r="I1013" i="2"/>
  <c r="I1014" i="2"/>
  <c r="I1015" i="2"/>
  <c r="I1016" i="2"/>
  <c r="I1017" i="2"/>
  <c r="I1018" i="2"/>
  <c r="I1019" i="2"/>
  <c r="I1020" i="2"/>
  <c r="I1021" i="2"/>
  <c r="I1022" i="2"/>
  <c r="I1023" i="2"/>
  <c r="I1024" i="2"/>
  <c r="I1025" i="2"/>
  <c r="I1026" i="2"/>
  <c r="I1027" i="2"/>
  <c r="I1028" i="2"/>
  <c r="I1029" i="2"/>
  <c r="I1030" i="2"/>
  <c r="I1031" i="2"/>
  <c r="I1032" i="2"/>
  <c r="I1033" i="2"/>
  <c r="I1034" i="2"/>
  <c r="I1035" i="2"/>
  <c r="I1036" i="2"/>
  <c r="I1037" i="2"/>
  <c r="I1038" i="2"/>
  <c r="I1039" i="2"/>
  <c r="I1040" i="2"/>
  <c r="I1041" i="2"/>
  <c r="I1042" i="2"/>
  <c r="I1043" i="2"/>
  <c r="I1044" i="2"/>
  <c r="I1045" i="2"/>
  <c r="I1046" i="2"/>
  <c r="I1047" i="2"/>
  <c r="I1048" i="2"/>
  <c r="I1049" i="2"/>
  <c r="I1050" i="2"/>
  <c r="I1051" i="2"/>
  <c r="I1052" i="2"/>
  <c r="I1053" i="2"/>
  <c r="I1054" i="2"/>
  <c r="I1055" i="2"/>
  <c r="I1056" i="2"/>
  <c r="I1057" i="2"/>
  <c r="I1058" i="2"/>
  <c r="I1059" i="2"/>
  <c r="I1060" i="2"/>
  <c r="I1061" i="2"/>
  <c r="I1062" i="2"/>
  <c r="I1063" i="2"/>
  <c r="I1064" i="2"/>
  <c r="I1065" i="2"/>
  <c r="I1066" i="2"/>
  <c r="I1067" i="2"/>
  <c r="I1068" i="2"/>
  <c r="I1069" i="2"/>
  <c r="I1070" i="2"/>
  <c r="I1071" i="2"/>
  <c r="I1072" i="2"/>
  <c r="I1073" i="2"/>
  <c r="I1074" i="2"/>
  <c r="I1075" i="2"/>
  <c r="I1076" i="2"/>
  <c r="I1077" i="2"/>
  <c r="I1078" i="2"/>
  <c r="I1079" i="2"/>
  <c r="I1080" i="2"/>
  <c r="I1081" i="2"/>
  <c r="I1082" i="2"/>
  <c r="I1083" i="2"/>
  <c r="I1084" i="2"/>
  <c r="I1085" i="2"/>
  <c r="I1086" i="2"/>
  <c r="I1087" i="2"/>
  <c r="I1088" i="2"/>
  <c r="I1089" i="2"/>
  <c r="I1090" i="2"/>
  <c r="I1091" i="2"/>
  <c r="I1092" i="2"/>
  <c r="I1093" i="2"/>
  <c r="I1094" i="2"/>
  <c r="I1095" i="2"/>
  <c r="I1096" i="2"/>
  <c r="I1097" i="2"/>
  <c r="I1098" i="2"/>
  <c r="I1099" i="2"/>
  <c r="I1100" i="2"/>
  <c r="I1101" i="2"/>
  <c r="I1102" i="2"/>
  <c r="I1103" i="2"/>
  <c r="I1104" i="2"/>
  <c r="I1105" i="2"/>
  <c r="I1106" i="2"/>
  <c r="I1107" i="2"/>
  <c r="I1108" i="2"/>
  <c r="I1109" i="2"/>
  <c r="I1110" i="2"/>
  <c r="I1111" i="2"/>
  <c r="I1112" i="2"/>
  <c r="I1113" i="2"/>
  <c r="I1114" i="2"/>
  <c r="I1115" i="2"/>
  <c r="I1116" i="2"/>
  <c r="I1117" i="2"/>
  <c r="I1118" i="2"/>
  <c r="I1119" i="2"/>
  <c r="I1120" i="2"/>
  <c r="I1121" i="2"/>
  <c r="I1122" i="2"/>
  <c r="I1123" i="2"/>
  <c r="I1124" i="2"/>
  <c r="I1125" i="2"/>
  <c r="I1126" i="2"/>
  <c r="I1127" i="2"/>
  <c r="I1128" i="2"/>
  <c r="I1129" i="2"/>
  <c r="I1130" i="2"/>
  <c r="I1131" i="2"/>
  <c r="I1132" i="2"/>
  <c r="I1133" i="2"/>
  <c r="I1134" i="2"/>
  <c r="I1135" i="2"/>
  <c r="I1136" i="2"/>
  <c r="I1137" i="2"/>
  <c r="I1138" i="2"/>
  <c r="I1139" i="2"/>
  <c r="I1140" i="2"/>
  <c r="I1141" i="2"/>
  <c r="I1142" i="2"/>
  <c r="I1143" i="2"/>
  <c r="I1144" i="2"/>
  <c r="I1145" i="2"/>
  <c r="I1146" i="2"/>
  <c r="I1147" i="2"/>
  <c r="I1148" i="2"/>
  <c r="I1149" i="2"/>
  <c r="I1150" i="2"/>
  <c r="I1151" i="2"/>
  <c r="I1152" i="2"/>
  <c r="I1153" i="2"/>
  <c r="I1154" i="2"/>
  <c r="I1155" i="2"/>
  <c r="I1156" i="2"/>
  <c r="I1157" i="2"/>
  <c r="I1158" i="2"/>
  <c r="I1159" i="2"/>
  <c r="I1160" i="2"/>
  <c r="I1161" i="2"/>
  <c r="I1162" i="2"/>
  <c r="I1163" i="2"/>
  <c r="I1164" i="2"/>
  <c r="I1165" i="2"/>
  <c r="I1166" i="2"/>
  <c r="I1167" i="2"/>
  <c r="I1168" i="2"/>
  <c r="I1169" i="2"/>
  <c r="I1170" i="2"/>
  <c r="I1171" i="2"/>
  <c r="I1172" i="2"/>
  <c r="I1173" i="2"/>
  <c r="I1174" i="2"/>
  <c r="I1175" i="2"/>
  <c r="I1176" i="2"/>
  <c r="I1177" i="2"/>
  <c r="I1178" i="2"/>
  <c r="I1179" i="2"/>
  <c r="I1180" i="2"/>
  <c r="I1181" i="2"/>
  <c r="I1182" i="2"/>
  <c r="I1183" i="2"/>
  <c r="I1184" i="2"/>
  <c r="I1185" i="2"/>
  <c r="I1186" i="2"/>
  <c r="I1187" i="2"/>
  <c r="I1188" i="2"/>
  <c r="I1189" i="2"/>
  <c r="I1190" i="2"/>
  <c r="I1191" i="2"/>
  <c r="I1192" i="2"/>
  <c r="I1193" i="2"/>
  <c r="I1194" i="2"/>
  <c r="I1195" i="2"/>
  <c r="I1196" i="2"/>
  <c r="I1197" i="2"/>
  <c r="I1198" i="2"/>
  <c r="I1199" i="2"/>
  <c r="I1200" i="2"/>
  <c r="I1201" i="2"/>
  <c r="I1202" i="2"/>
  <c r="I1203" i="2"/>
  <c r="I1204" i="2"/>
  <c r="I1205" i="2"/>
  <c r="I1206" i="2"/>
  <c r="D1" i="3"/>
  <c r="D1" i="2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3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</futureMetadata>
  <valueMetadata count="3">
    <bk>
      <rc t="1" v="0"/>
    </bk>
    <bk>
      <rc t="1" v="1"/>
    </bk>
    <bk>
      <rc t="1" v="2"/>
    </bk>
  </valueMetadata>
</metadata>
</file>

<file path=xl/sharedStrings.xml><?xml version="1.0" encoding="utf-8"?>
<sst xmlns="http://schemas.openxmlformats.org/spreadsheetml/2006/main" count="15611" uniqueCount="4299">
  <si>
    <t>obowiązujący od dnia:</t>
  </si>
  <si>
    <t>GRUPA</t>
  </si>
  <si>
    <t>WPISZ RABAT %</t>
  </si>
  <si>
    <t>OPRAWY PRZEMYSŁOWE</t>
  </si>
  <si>
    <t>OPRAWY DOMOWE</t>
  </si>
  <si>
    <t>AKCESORIA</t>
  </si>
  <si>
    <t>ceny cennikowe zawierają opłaty KGO</t>
  </si>
  <si>
    <t>ceny cennikowe nie zawierają podatku VAT (ceny netto)</t>
  </si>
  <si>
    <t>BDO: 000003217</t>
  </si>
  <si>
    <t>www.kobi.pl</t>
  </si>
  <si>
    <t>Cennik obowiązujący od dnia:</t>
  </si>
  <si>
    <t>ŹRÓDŁA ŚWIATŁA</t>
  </si>
  <si>
    <t>EEI</t>
  </si>
  <si>
    <t>KOBI LIGHT SP. Z O.O.</t>
  </si>
  <si>
    <t/>
  </si>
  <si>
    <t>MEBLOWE</t>
  </si>
  <si>
    <t>LED2B</t>
  </si>
  <si>
    <t>NAŚWIETLACZE</t>
  </si>
  <si>
    <t>HIGH BAY</t>
  </si>
  <si>
    <t>PRZEDŁUŻACZE</t>
  </si>
  <si>
    <t>5902846013709</t>
  </si>
  <si>
    <t>5900605095768</t>
  </si>
  <si>
    <t>5902846010579</t>
  </si>
  <si>
    <t>5900605095751</t>
  </si>
  <si>
    <t>5902846016472</t>
  </si>
  <si>
    <t>5902846016960</t>
  </si>
  <si>
    <t>5902201300338</t>
  </si>
  <si>
    <t>5902846010586</t>
  </si>
  <si>
    <t>5902201369892</t>
  </si>
  <si>
    <t>5902201307436</t>
  </si>
  <si>
    <t>5902201307443</t>
  </si>
  <si>
    <t>5902201305951</t>
  </si>
  <si>
    <t>5902201305968</t>
  </si>
  <si>
    <t>5902201364972</t>
  </si>
  <si>
    <t>5902201364989</t>
  </si>
  <si>
    <t>5902201364996</t>
  </si>
  <si>
    <t>5900605095720</t>
  </si>
  <si>
    <t>5900605097137</t>
  </si>
  <si>
    <t>5900605097144</t>
  </si>
  <si>
    <t>5902846016816</t>
  </si>
  <si>
    <t>5902846016823</t>
  </si>
  <si>
    <t>5900605095287</t>
  </si>
  <si>
    <t>5900605095294</t>
  </si>
  <si>
    <t>5900605095300</t>
  </si>
  <si>
    <t>5902846018766</t>
  </si>
  <si>
    <t>5902846015864</t>
  </si>
  <si>
    <t>5902846015871</t>
  </si>
  <si>
    <t>5902846015987</t>
  </si>
  <si>
    <t>5902201302349</t>
  </si>
  <si>
    <t>5902201304503</t>
  </si>
  <si>
    <t>5902201304510</t>
  </si>
  <si>
    <t>5900605094471</t>
  </si>
  <si>
    <t>5900605094488</t>
  </si>
  <si>
    <t>5900605094495</t>
  </si>
  <si>
    <t>5900605094501</t>
  </si>
  <si>
    <t>5900605094518</t>
  </si>
  <si>
    <t>5900605094525</t>
  </si>
  <si>
    <t>5900605095317</t>
  </si>
  <si>
    <t>5900605095324</t>
  </si>
  <si>
    <t>5900605095331</t>
  </si>
  <si>
    <t>5902846018681</t>
  </si>
  <si>
    <t>5902846018698</t>
  </si>
  <si>
    <t>5902846018704</t>
  </si>
  <si>
    <t>5900605092767</t>
  </si>
  <si>
    <t>5900605098264</t>
  </si>
  <si>
    <t>5900605093115</t>
  </si>
  <si>
    <t>5902201301960</t>
  </si>
  <si>
    <t>5902201301977</t>
  </si>
  <si>
    <t>5902201301984</t>
  </si>
  <si>
    <t>5900605098295</t>
  </si>
  <si>
    <t>5900605098301</t>
  </si>
  <si>
    <t>5900605098318</t>
  </si>
  <si>
    <t>5902201300727</t>
  </si>
  <si>
    <t>5902201300734</t>
  </si>
  <si>
    <t>5902201300741</t>
  </si>
  <si>
    <t>5900605093467</t>
  </si>
  <si>
    <t>5900605097717</t>
  </si>
  <si>
    <t>5900605093474</t>
  </si>
  <si>
    <t>5902846019107</t>
  </si>
  <si>
    <t>5902846019114</t>
  </si>
  <si>
    <t>5902846019121</t>
  </si>
  <si>
    <t>5902201305876</t>
  </si>
  <si>
    <t>5902201305883</t>
  </si>
  <si>
    <t>5902201305890</t>
  </si>
  <si>
    <t>5902201308334</t>
  </si>
  <si>
    <t>5902201308341</t>
  </si>
  <si>
    <t>5902201308228</t>
  </si>
  <si>
    <t>5902201308235</t>
  </si>
  <si>
    <t>5900605091333</t>
  </si>
  <si>
    <t>5902846013839</t>
  </si>
  <si>
    <t>5900605097090</t>
  </si>
  <si>
    <t>5900605094136</t>
  </si>
  <si>
    <t>5900605097519</t>
  </si>
  <si>
    <t>5900605095553</t>
  </si>
  <si>
    <t>5902846017554</t>
  </si>
  <si>
    <t>5902846011224</t>
  </si>
  <si>
    <t>5902846011231</t>
  </si>
  <si>
    <t>5902846012993</t>
  </si>
  <si>
    <t>5900605091340</t>
  </si>
  <si>
    <t>5902846015277</t>
  </si>
  <si>
    <t>5900605097106</t>
  </si>
  <si>
    <t>5900605094143</t>
  </si>
  <si>
    <t>5900605097540</t>
  </si>
  <si>
    <t>5900605095560</t>
  </si>
  <si>
    <t>5902846017547</t>
  </si>
  <si>
    <t>5902846011248</t>
  </si>
  <si>
    <t>5902846011255</t>
  </si>
  <si>
    <t>5902846013006</t>
  </si>
  <si>
    <t>5902846015895</t>
  </si>
  <si>
    <t>5902846015901</t>
  </si>
  <si>
    <t>5902846015918</t>
  </si>
  <si>
    <t>5900605095126</t>
  </si>
  <si>
    <t>5900605097601</t>
  </si>
  <si>
    <t>5900605095133</t>
  </si>
  <si>
    <t>5900605098127</t>
  </si>
  <si>
    <t>5902201301519</t>
  </si>
  <si>
    <t>5900605093801</t>
  </si>
  <si>
    <t>5900605091319</t>
  </si>
  <si>
    <t>5900605098066</t>
  </si>
  <si>
    <t>5900605097113</t>
  </si>
  <si>
    <t>5900605094112</t>
  </si>
  <si>
    <t>5900605097526</t>
  </si>
  <si>
    <t>5900605095539</t>
  </si>
  <si>
    <t>5902846011200</t>
  </si>
  <si>
    <t>5902846011217</t>
  </si>
  <si>
    <t>5902846012979</t>
  </si>
  <si>
    <t>5900605094129</t>
  </si>
  <si>
    <t>5900605097533</t>
  </si>
  <si>
    <t>5900605095546</t>
  </si>
  <si>
    <t>5902846017561</t>
  </si>
  <si>
    <t>5902201300970</t>
  </si>
  <si>
    <t>5902846012085</t>
  </si>
  <si>
    <t>5906340213740</t>
  </si>
  <si>
    <t>5902846012986</t>
  </si>
  <si>
    <t>5900605097564</t>
  </si>
  <si>
    <t>5902201301632</t>
  </si>
  <si>
    <t>5902201365139</t>
  </si>
  <si>
    <t>5902201365146</t>
  </si>
  <si>
    <t>5902201365153</t>
  </si>
  <si>
    <t>5902201365160</t>
  </si>
  <si>
    <t>5902201365177</t>
  </si>
  <si>
    <t>5902201365184</t>
  </si>
  <si>
    <t>5902846010685</t>
  </si>
  <si>
    <t>5902846015802</t>
  </si>
  <si>
    <t>5902846015819</t>
  </si>
  <si>
    <t>5902846016724</t>
  </si>
  <si>
    <t>5902846016731</t>
  </si>
  <si>
    <t>5902201371147</t>
  </si>
  <si>
    <t>5902201371154</t>
  </si>
  <si>
    <t>5902201371161</t>
  </si>
  <si>
    <t>5902201371178</t>
  </si>
  <si>
    <t>5902201371185</t>
  </si>
  <si>
    <t>5902201371192</t>
  </si>
  <si>
    <t>5902201359251</t>
  </si>
  <si>
    <t>5902201359244</t>
  </si>
  <si>
    <t>5902201300796</t>
  </si>
  <si>
    <t>5902201300819</t>
  </si>
  <si>
    <t>5902846015475</t>
  </si>
  <si>
    <t>5902201364194</t>
  </si>
  <si>
    <t>5902201359589</t>
  </si>
  <si>
    <t>5900605092569</t>
  </si>
  <si>
    <t>5900605098837</t>
  </si>
  <si>
    <t>5902846011774</t>
  </si>
  <si>
    <t>5900605098486</t>
  </si>
  <si>
    <t>5900605098493</t>
  </si>
  <si>
    <t>5900605098462</t>
  </si>
  <si>
    <t>5902846010357</t>
  </si>
  <si>
    <t>5900605098097</t>
  </si>
  <si>
    <t>5900605098479</t>
  </si>
  <si>
    <t>5900605098011</t>
  </si>
  <si>
    <t>5902846010371</t>
  </si>
  <si>
    <t>5900605099278</t>
  </si>
  <si>
    <t>5906340215225</t>
  </si>
  <si>
    <t>5900605098813</t>
  </si>
  <si>
    <t>5902201301649</t>
  </si>
  <si>
    <t>5900605098806</t>
  </si>
  <si>
    <t>5900605098790</t>
  </si>
  <si>
    <t>5902201301656</t>
  </si>
  <si>
    <t>5902201305722</t>
  </si>
  <si>
    <t>5906340215997</t>
  </si>
  <si>
    <t>5902846018872</t>
  </si>
  <si>
    <t>5902846013761</t>
  </si>
  <si>
    <t>5902201304268</t>
  </si>
  <si>
    <t>5900605096628</t>
  </si>
  <si>
    <t>5902846018834</t>
  </si>
  <si>
    <t>5902846018827</t>
  </si>
  <si>
    <t>5902846011361</t>
  </si>
  <si>
    <t>5902846012221</t>
  </si>
  <si>
    <t>5902201364613</t>
  </si>
  <si>
    <t>5902201375596</t>
  </si>
  <si>
    <t>5902201375602</t>
  </si>
  <si>
    <t>5902201375619</t>
  </si>
  <si>
    <t>5900605099384</t>
  </si>
  <si>
    <t>5900605099391</t>
  </si>
  <si>
    <t>5900605099407</t>
  </si>
  <si>
    <t>5900605099360</t>
  </si>
  <si>
    <t>5900605099377</t>
  </si>
  <si>
    <t>5900605099353</t>
  </si>
  <si>
    <t>5900605096116</t>
  </si>
  <si>
    <t>5900605096123</t>
  </si>
  <si>
    <t>5902846016861</t>
  </si>
  <si>
    <t>5902201305739</t>
  </si>
  <si>
    <t>5902201305746</t>
  </si>
  <si>
    <t>5902201365023</t>
  </si>
  <si>
    <t>5902201375961</t>
  </si>
  <si>
    <t>5902201375954</t>
  </si>
  <si>
    <t>5902201375978</t>
  </si>
  <si>
    <t>5902846018124</t>
  </si>
  <si>
    <t>5902201300468</t>
  </si>
  <si>
    <t>5902846018131</t>
  </si>
  <si>
    <t>5902846018155</t>
  </si>
  <si>
    <t>5902846013815</t>
  </si>
  <si>
    <t>5902846013822</t>
  </si>
  <si>
    <t>5902846015697</t>
  </si>
  <si>
    <t>5902846018216</t>
  </si>
  <si>
    <t>5902201300505</t>
  </si>
  <si>
    <t>5902846018223</t>
  </si>
  <si>
    <t>5902846018261</t>
  </si>
  <si>
    <t>5902846018278</t>
  </si>
  <si>
    <t>5902201303803</t>
  </si>
  <si>
    <t>5902201303797</t>
  </si>
  <si>
    <t>5902201368673</t>
  </si>
  <si>
    <t>5902201368680</t>
  </si>
  <si>
    <t>5902201368697</t>
  </si>
  <si>
    <t>5902846010265</t>
  </si>
  <si>
    <t>5902201371208</t>
  </si>
  <si>
    <t>5902201371215</t>
  </si>
  <si>
    <t>5902201359343</t>
  </si>
  <si>
    <t>5902201359350</t>
  </si>
  <si>
    <t>5902201359367</t>
  </si>
  <si>
    <t>5902201359374</t>
  </si>
  <si>
    <t>5902201359381</t>
  </si>
  <si>
    <t>5902201374414</t>
  </si>
  <si>
    <t>5902201364552</t>
  </si>
  <si>
    <t>5902201375572</t>
  </si>
  <si>
    <t>5902201375565</t>
  </si>
  <si>
    <t>5902201375558</t>
  </si>
  <si>
    <t>5902201375541</t>
  </si>
  <si>
    <t>5902201301267</t>
  </si>
  <si>
    <t>5902201301274</t>
  </si>
  <si>
    <t>5902201301281</t>
  </si>
  <si>
    <t>5902201301212</t>
  </si>
  <si>
    <t>5902201301229</t>
  </si>
  <si>
    <t>5902201301243</t>
  </si>
  <si>
    <t>5902201305661</t>
  </si>
  <si>
    <t>5900605090626</t>
  </si>
  <si>
    <t>5902846015741</t>
  </si>
  <si>
    <t>5902846015758</t>
  </si>
  <si>
    <t>5902846015734</t>
  </si>
  <si>
    <t>5902846015727</t>
  </si>
  <si>
    <t>5900605097892</t>
  </si>
  <si>
    <t>5906340216987</t>
  </si>
  <si>
    <t>5906340218882</t>
  </si>
  <si>
    <t>5906340219599</t>
  </si>
  <si>
    <t>5902201359190</t>
  </si>
  <si>
    <t>5906340219131</t>
  </si>
  <si>
    <t>5906340218875</t>
  </si>
  <si>
    <t>5902201368253</t>
  </si>
  <si>
    <t>5902201368246</t>
  </si>
  <si>
    <t>5902201366280</t>
  </si>
  <si>
    <t>5902201366273</t>
  </si>
  <si>
    <t>5902201366310</t>
  </si>
  <si>
    <t>5902201366242</t>
  </si>
  <si>
    <t>5902201366303</t>
  </si>
  <si>
    <t>5902201366297</t>
  </si>
  <si>
    <t>5902201366235</t>
  </si>
  <si>
    <t>5902201366266</t>
  </si>
  <si>
    <t>5902201366259</t>
  </si>
  <si>
    <t>5902201366334</t>
  </si>
  <si>
    <t>5902201366372</t>
  </si>
  <si>
    <t>5902201366228</t>
  </si>
  <si>
    <t>5902201366389</t>
  </si>
  <si>
    <t>5902201366365</t>
  </si>
  <si>
    <t>5902201366358</t>
  </si>
  <si>
    <t>5902201366327</t>
  </si>
  <si>
    <t>5902201366341</t>
  </si>
  <si>
    <t>5902846013723</t>
  </si>
  <si>
    <t>5902846015444</t>
  </si>
  <si>
    <t>5900605096758</t>
  </si>
  <si>
    <t>5900605097670</t>
  </si>
  <si>
    <t>5900605098684</t>
  </si>
  <si>
    <t>5900605098714</t>
  </si>
  <si>
    <t>5902846014362</t>
  </si>
  <si>
    <t>5902846014379</t>
  </si>
  <si>
    <t>5900605097700</t>
  </si>
  <si>
    <t>5900605097694</t>
  </si>
  <si>
    <t>5902846014409</t>
  </si>
  <si>
    <t>5902846014584</t>
  </si>
  <si>
    <t>5902846014607</t>
  </si>
  <si>
    <t>5902846014638</t>
  </si>
  <si>
    <t>5900605098110</t>
  </si>
  <si>
    <t>5900605095515</t>
  </si>
  <si>
    <t>5900605095522</t>
  </si>
  <si>
    <t>5902201373752</t>
  </si>
  <si>
    <t>5902201373769</t>
  </si>
  <si>
    <t>5902846019350</t>
  </si>
  <si>
    <t>5902846019367</t>
  </si>
  <si>
    <t>5902201374292</t>
  </si>
  <si>
    <t>5902201374308</t>
  </si>
  <si>
    <t>5902201378177</t>
  </si>
  <si>
    <t>5902201369946</t>
  </si>
  <si>
    <t>5902201369953</t>
  </si>
  <si>
    <t>5902201369960</t>
  </si>
  <si>
    <t>5902201369977</t>
  </si>
  <si>
    <t>5906340214853</t>
  </si>
  <si>
    <t>5906340214860</t>
  </si>
  <si>
    <t>5902846011149</t>
  </si>
  <si>
    <t>5902846011156</t>
  </si>
  <si>
    <t>5900605098325</t>
  </si>
  <si>
    <t>5900605098363</t>
  </si>
  <si>
    <t>5902846013174</t>
  </si>
  <si>
    <t>5902846013181</t>
  </si>
  <si>
    <t>5906340214914</t>
  </si>
  <si>
    <t>5906340214921</t>
  </si>
  <si>
    <t>5900605097366</t>
  </si>
  <si>
    <t>5900605097373</t>
  </si>
  <si>
    <t>5900605097403</t>
  </si>
  <si>
    <t>5900605097410</t>
  </si>
  <si>
    <t>5902846011446</t>
  </si>
  <si>
    <t>5902846011439</t>
  </si>
  <si>
    <t>5902846011422</t>
  </si>
  <si>
    <t>5902846013198</t>
  </si>
  <si>
    <t>5902846013204</t>
  </si>
  <si>
    <t>5900605098332</t>
  </si>
  <si>
    <t>5900605098370</t>
  </si>
  <si>
    <t>5906340215034</t>
  </si>
  <si>
    <t>5906340215041</t>
  </si>
  <si>
    <t>5906340210879</t>
  </si>
  <si>
    <t>5906340210824</t>
  </si>
  <si>
    <t>5906340210862</t>
  </si>
  <si>
    <t>5902201304879</t>
  </si>
  <si>
    <t>5906340216185</t>
  </si>
  <si>
    <t>5900605092965</t>
  </si>
  <si>
    <t>5900605093641</t>
  </si>
  <si>
    <t>5900605093443</t>
  </si>
  <si>
    <t>5902846011279</t>
  </si>
  <si>
    <t>5902846011262</t>
  </si>
  <si>
    <t>5900605093429</t>
  </si>
  <si>
    <t>5902846011293</t>
  </si>
  <si>
    <t>5902846011286</t>
  </si>
  <si>
    <t>5900605097830</t>
  </si>
  <si>
    <t>5902201305470</t>
  </si>
  <si>
    <t>5902846011354</t>
  </si>
  <si>
    <t>5906340210947</t>
  </si>
  <si>
    <t>5906340210893</t>
  </si>
  <si>
    <t>5906340210930</t>
  </si>
  <si>
    <t>5902201304886</t>
  </si>
  <si>
    <t>5906340217977</t>
  </si>
  <si>
    <t>5900605094785</t>
  </si>
  <si>
    <t>5900605093573</t>
  </si>
  <si>
    <t>5900605093580</t>
  </si>
  <si>
    <t>5900605097809</t>
  </si>
  <si>
    <t>5902201304916</t>
  </si>
  <si>
    <t>5900605093597</t>
  </si>
  <si>
    <t>5900605093603</t>
  </si>
  <si>
    <t>5902201304923</t>
  </si>
  <si>
    <t>5902201305463</t>
  </si>
  <si>
    <t>5902201305999</t>
  </si>
  <si>
    <t>5902201305708</t>
  </si>
  <si>
    <t>5902201373707</t>
  </si>
  <si>
    <t>5902201373714</t>
  </si>
  <si>
    <t>5902201373721</t>
  </si>
  <si>
    <t>5902201373738</t>
  </si>
  <si>
    <t>5902201373745</t>
  </si>
  <si>
    <t>5902201370881</t>
  </si>
  <si>
    <t>5902201370997</t>
  </si>
  <si>
    <t>5902201370935</t>
  </si>
  <si>
    <t>5902201371079</t>
  </si>
  <si>
    <t>5902201371116</t>
  </si>
  <si>
    <t>5902201370928</t>
  </si>
  <si>
    <t>5902201371062</t>
  </si>
  <si>
    <t>5902201371093</t>
  </si>
  <si>
    <t>5902201371086</t>
  </si>
  <si>
    <t>5902201301076</t>
  </si>
  <si>
    <t>5902846012801</t>
  </si>
  <si>
    <t>5902846012634</t>
  </si>
  <si>
    <t>5902846012641</t>
  </si>
  <si>
    <t>5902846012658</t>
  </si>
  <si>
    <t>5902846012665</t>
  </si>
  <si>
    <t>5902846012672</t>
  </si>
  <si>
    <t>5902846012689</t>
  </si>
  <si>
    <t>5902846012795</t>
  </si>
  <si>
    <t>5902846018865</t>
  </si>
  <si>
    <t>5902846012696</t>
  </si>
  <si>
    <t>5902846012702</t>
  </si>
  <si>
    <t>5902846012719</t>
  </si>
  <si>
    <t>5902846012726</t>
  </si>
  <si>
    <t>5902846012771</t>
  </si>
  <si>
    <t>5902846012788</t>
  </si>
  <si>
    <t>5902201301694</t>
  </si>
  <si>
    <t>5902201301182</t>
  </si>
  <si>
    <t>5902846015246</t>
  </si>
  <si>
    <t>5902846015239</t>
  </si>
  <si>
    <t>5902846012757</t>
  </si>
  <si>
    <t>5902846012764</t>
  </si>
  <si>
    <t>5902846012733</t>
  </si>
  <si>
    <t>5902846012740</t>
  </si>
  <si>
    <t>5900605092347</t>
  </si>
  <si>
    <t>5900605090589</t>
  </si>
  <si>
    <t>5900605090572</t>
  </si>
  <si>
    <t>5906340219285</t>
  </si>
  <si>
    <t>5906340218301</t>
  </si>
  <si>
    <t>5900605093849</t>
  </si>
  <si>
    <t>5900605093832</t>
  </si>
  <si>
    <t>5900605095225</t>
  </si>
  <si>
    <t>5902201375985</t>
  </si>
  <si>
    <t>5902201382907</t>
  </si>
  <si>
    <t>5902201376005</t>
  </si>
  <si>
    <t>5906340210091</t>
  </si>
  <si>
    <t>5906340210107</t>
  </si>
  <si>
    <t>5906340213719</t>
  </si>
  <si>
    <t>5900605092828</t>
  </si>
  <si>
    <t>5900605092835</t>
  </si>
  <si>
    <t>5900605092804</t>
  </si>
  <si>
    <t>5902201369748</t>
  </si>
  <si>
    <t>5902201369755</t>
  </si>
  <si>
    <t>5906340211883</t>
  </si>
  <si>
    <t>5902201308075</t>
  </si>
  <si>
    <t>5902201308082</t>
  </si>
  <si>
    <t>5902201308167</t>
  </si>
  <si>
    <t>5902201308099</t>
  </si>
  <si>
    <t>5902201308174</t>
  </si>
  <si>
    <t>5902201308105</t>
  </si>
  <si>
    <t>5902201308112</t>
  </si>
  <si>
    <t>5902201308129</t>
  </si>
  <si>
    <t>5902201308136</t>
  </si>
  <si>
    <t>5902201308143</t>
  </si>
  <si>
    <t>5902201308181</t>
  </si>
  <si>
    <t>5902201308150</t>
  </si>
  <si>
    <t>5902201308198</t>
  </si>
  <si>
    <t>5902846018889</t>
  </si>
  <si>
    <t>5902201304589</t>
  </si>
  <si>
    <t>5902201304206</t>
  </si>
  <si>
    <t>5902201304596</t>
  </si>
  <si>
    <t>5902201376753</t>
  </si>
  <si>
    <t>5902201376760</t>
  </si>
  <si>
    <t>5902201376777</t>
  </si>
  <si>
    <t>5902201376746</t>
  </si>
  <si>
    <t>5902201378948</t>
  </si>
  <si>
    <t>5902201376852</t>
  </si>
  <si>
    <t>5902201376869</t>
  </si>
  <si>
    <t>5902201376876</t>
  </si>
  <si>
    <t>5902201376883</t>
  </si>
  <si>
    <t>5902201376890</t>
  </si>
  <si>
    <t>5902201376906</t>
  </si>
  <si>
    <t>5902201376821</t>
  </si>
  <si>
    <t>5902201376838</t>
  </si>
  <si>
    <t>5902201376845</t>
  </si>
  <si>
    <t>5902201378184</t>
  </si>
  <si>
    <t>5902201378191</t>
  </si>
  <si>
    <t>5902201378207</t>
  </si>
  <si>
    <t>5902201378214</t>
  </si>
  <si>
    <t>5902201378221</t>
  </si>
  <si>
    <t>5902201378245</t>
  </si>
  <si>
    <t>5902201378252</t>
  </si>
  <si>
    <t>5902201378276</t>
  </si>
  <si>
    <t>5902201378283</t>
  </si>
  <si>
    <t>5902201378290</t>
  </si>
  <si>
    <t>5902201378313</t>
  </si>
  <si>
    <t>5902201378320</t>
  </si>
  <si>
    <t>5902201378399</t>
  </si>
  <si>
    <t>5902201378405</t>
  </si>
  <si>
    <t>5902201378412</t>
  </si>
  <si>
    <t>5902201378436</t>
  </si>
  <si>
    <t>5902201378429</t>
  </si>
  <si>
    <t>5902201378306</t>
  </si>
  <si>
    <t>5902201380705</t>
  </si>
  <si>
    <t>5902201380712</t>
  </si>
  <si>
    <t>5902201381887</t>
  </si>
  <si>
    <t>5902201384307</t>
  </si>
  <si>
    <t>5902201384185</t>
  </si>
  <si>
    <t>5902201384192</t>
  </si>
  <si>
    <t>5902201384208</t>
  </si>
  <si>
    <t>5902201384215</t>
  </si>
  <si>
    <t>5902201384222</t>
  </si>
  <si>
    <t>5902201384239</t>
  </si>
  <si>
    <t>5902201384246</t>
  </si>
  <si>
    <t>5902201384253</t>
  </si>
  <si>
    <t>5902201384260</t>
  </si>
  <si>
    <t>5902201384277</t>
  </si>
  <si>
    <t>5902201384284</t>
  </si>
  <si>
    <t>5902201384291</t>
  </si>
  <si>
    <t>5902201369847</t>
  </si>
  <si>
    <t>5902201369854</t>
  </si>
  <si>
    <t>5902201380835</t>
  </si>
  <si>
    <t>5902201383829</t>
  </si>
  <si>
    <t>5902201383836</t>
  </si>
  <si>
    <t>5902201383867</t>
  </si>
  <si>
    <t>5902201383874</t>
  </si>
  <si>
    <t>5902201383904</t>
  </si>
  <si>
    <t>5902201383911</t>
  </si>
  <si>
    <t>5902201383942</t>
  </si>
  <si>
    <t>5902201383843</t>
  </si>
  <si>
    <t>5902201383850</t>
  </si>
  <si>
    <t>5902201383881</t>
  </si>
  <si>
    <t>5902201383898</t>
  </si>
  <si>
    <t>5902201383928</t>
  </si>
  <si>
    <t>5902201383935</t>
  </si>
  <si>
    <t>5902201383959</t>
  </si>
  <si>
    <t>5902201382945</t>
  </si>
  <si>
    <t>5902201382938</t>
  </si>
  <si>
    <t>5902201382921</t>
  </si>
  <si>
    <t>5902201383164</t>
  </si>
  <si>
    <t>5902201382914</t>
  </si>
  <si>
    <t>5902201383171</t>
  </si>
  <si>
    <t>5902201383195</t>
  </si>
  <si>
    <t>5902201383188</t>
  </si>
  <si>
    <t>5902201383218</t>
  </si>
  <si>
    <t>5902201383201</t>
  </si>
  <si>
    <t>5902201383010</t>
  </si>
  <si>
    <t>5902201383034</t>
  </si>
  <si>
    <t>5902201383058</t>
  </si>
  <si>
    <t>5902201383126</t>
  </si>
  <si>
    <t>5902201383102</t>
  </si>
  <si>
    <t>5902201383096</t>
  </si>
  <si>
    <t>5902201383119</t>
  </si>
  <si>
    <t>5902201383072</t>
  </si>
  <si>
    <t>5902201383089</t>
  </si>
  <si>
    <t>5902201383027</t>
  </si>
  <si>
    <t>5902201383041</t>
  </si>
  <si>
    <t>5902201383065</t>
  </si>
  <si>
    <t>5902201383140</t>
  </si>
  <si>
    <t>5902201383157</t>
  </si>
  <si>
    <t>5902201380767</t>
  </si>
  <si>
    <t>5902201380774</t>
  </si>
  <si>
    <t>5902201380781</t>
  </si>
  <si>
    <t>5902201380798</t>
  </si>
  <si>
    <t>5902201380804</t>
  </si>
  <si>
    <t>5902201380811</t>
  </si>
  <si>
    <t>5902201380842</t>
  </si>
  <si>
    <t>5902201380859</t>
  </si>
  <si>
    <t>5902201380866</t>
  </si>
  <si>
    <t>5902201380873</t>
  </si>
  <si>
    <t>5902201380897</t>
  </si>
  <si>
    <t>5902846017387</t>
  </si>
  <si>
    <t>5902201386271</t>
  </si>
  <si>
    <t>5902201386264</t>
  </si>
  <si>
    <t>5902201384420</t>
  </si>
  <si>
    <t>CZUJNIK RUCHU BLUETOOTH ZHAGA</t>
  </si>
  <si>
    <t>5902201386288</t>
  </si>
  <si>
    <t>5902201386295</t>
  </si>
  <si>
    <t>5902201386301</t>
  </si>
  <si>
    <t>5902201387124</t>
  </si>
  <si>
    <t>5902201387117</t>
  </si>
  <si>
    <t>5902201387131</t>
  </si>
  <si>
    <t>5902201387148</t>
  </si>
  <si>
    <t>5902201387155</t>
  </si>
  <si>
    <t>5902201389050</t>
  </si>
  <si>
    <t>5902201385977</t>
  </si>
  <si>
    <t>5902201385984</t>
  </si>
  <si>
    <t>5902201386530</t>
  </si>
  <si>
    <t>5902201386523</t>
  </si>
  <si>
    <t>5902201386547</t>
  </si>
  <si>
    <t>5902201386394</t>
  </si>
  <si>
    <t>5902201386400</t>
  </si>
  <si>
    <t>5902201386417</t>
  </si>
  <si>
    <t>5902201386387</t>
  </si>
  <si>
    <t>5902201386462</t>
  </si>
  <si>
    <t>5902201386431</t>
  </si>
  <si>
    <t>5902201386479</t>
  </si>
  <si>
    <t>5902201386370</t>
  </si>
  <si>
    <t>Marka</t>
  </si>
  <si>
    <t>Kod</t>
  </si>
  <si>
    <t>Kategoria</t>
  </si>
  <si>
    <t>Podkategoria</t>
  </si>
  <si>
    <t>Artykuł</t>
  </si>
  <si>
    <t>Grupa rabatowa</t>
  </si>
  <si>
    <t>Cena cennikowa</t>
  </si>
  <si>
    <t>Cena po rabacie</t>
  </si>
  <si>
    <t>Kod EAN</t>
  </si>
  <si>
    <t>jm</t>
  </si>
  <si>
    <t>Ilość w opakowaniu zbiorczym</t>
  </si>
  <si>
    <t>Ilość na palecie</t>
  </si>
  <si>
    <t>Gwarancja</t>
  </si>
  <si>
    <t>Eprel</t>
  </si>
  <si>
    <t>Kobi Professional</t>
  </si>
  <si>
    <t>Panele</t>
  </si>
  <si>
    <t>High bay</t>
  </si>
  <si>
    <t>Naświetlacze solarne</t>
  </si>
  <si>
    <t>Plafony</t>
  </si>
  <si>
    <t>Plafon LED ORBIS 10W 4000K LX IP44 Kobi Pro</t>
  </si>
  <si>
    <t>000089</t>
  </si>
  <si>
    <t>LINIOWE LED</t>
  </si>
  <si>
    <t>Nexus</t>
  </si>
  <si>
    <t>Oprawa liniowa hermetyczna LED HPL1 30W IP65 120° Kobi Pro</t>
  </si>
  <si>
    <t>000030</t>
  </si>
  <si>
    <t>Liniowe LED</t>
  </si>
  <si>
    <t>Oprawa liniowa hermetyczna LED HPL1 30W IP65 90° Kobi Pro</t>
  </si>
  <si>
    <t>000031</t>
  </si>
  <si>
    <t>Oprawa liniowa hermetyczna LED HPL1 45W IP65 120° Kobi Pro</t>
  </si>
  <si>
    <t>000032</t>
  </si>
  <si>
    <t>Oprawa liniowa hermetyczna LED HPL1 45W IP65 90° Kobi Pro</t>
  </si>
  <si>
    <t>000034</t>
  </si>
  <si>
    <t>Oprawa liniowa hermetyczna LED HPL1 75W IP65 120° Kobi Pro</t>
  </si>
  <si>
    <t>000035</t>
  </si>
  <si>
    <t>Oprawa liniowa hermetyczna LED HPL1 75W IP65 90° Kobi Pro</t>
  </si>
  <si>
    <t>000037</t>
  </si>
  <si>
    <t>Oprawa liniowa hermetyczna LED HPL2 120W IP65 120° Kobi Pro</t>
  </si>
  <si>
    <t>000039</t>
  </si>
  <si>
    <t>Oprawa liniowa hermetyczna LED HPL2 120W IP65 90° Kobi Pro</t>
  </si>
  <si>
    <t>000040</t>
  </si>
  <si>
    <t>Oprawa liniowa hermetyczna LED HPL2 150W IP65 120° Kobi Pro</t>
  </si>
  <si>
    <t>000041</t>
  </si>
  <si>
    <t>Oprawa liniowa hermetyczna LED HPL1 60W IP65 120° Kobi Pro</t>
  </si>
  <si>
    <t>000042</t>
  </si>
  <si>
    <t>000055</t>
  </si>
  <si>
    <t>Kobi Premium</t>
  </si>
  <si>
    <t>Downlight LED NEXEYE NE1 15W 4000K IP44 Kobi Pro</t>
  </si>
  <si>
    <t>000061</t>
  </si>
  <si>
    <t>Downlight</t>
  </si>
  <si>
    <t>Downlight LED NEXEYE NE1 30W 4000K IP44 Kobi Pro</t>
  </si>
  <si>
    <t>000065</t>
  </si>
  <si>
    <t>Downlight LED SIGARO CIRCLE PT 6W 4000K Kobi Premium</t>
  </si>
  <si>
    <t>001852</t>
  </si>
  <si>
    <t>Downlight LED SIGARO CIRCLE PT 12W 4000K Kobi Premium</t>
  </si>
  <si>
    <t>001849</t>
  </si>
  <si>
    <t>Downlight LED SIGARO CIRCLE PT 24W 4000K Kobi Premium</t>
  </si>
  <si>
    <t>001851</t>
  </si>
  <si>
    <t>Kobi</t>
  </si>
  <si>
    <t>003778</t>
  </si>
  <si>
    <t>Akcesoria</t>
  </si>
  <si>
    <t>OSPRZĘT ELEKTROINSTALACYJNY</t>
  </si>
  <si>
    <t>Czujnik ruchu LX01 160° PIR biały Kobi Premium</t>
  </si>
  <si>
    <t>002334</t>
  </si>
  <si>
    <t>Czujnik ruchu LX06 360° PIR Kobi Premium</t>
  </si>
  <si>
    <t>002335</t>
  </si>
  <si>
    <t>Czujnik ruchu LX39 IP44 180° PIR biały Kobi Premium</t>
  </si>
  <si>
    <t>002337</t>
  </si>
  <si>
    <t>Czujnik ruchu LX39 IP44 180° PIR czarny Kobi Premium</t>
  </si>
  <si>
    <t>002338</t>
  </si>
  <si>
    <t>Czujnik ruchu LX40 IP44 180° PIR biały Kobi Premium</t>
  </si>
  <si>
    <t>002339</t>
  </si>
  <si>
    <t>Czujnik ruchu LX40 IP44 180° PIR czarny Kobi Premium</t>
  </si>
  <si>
    <t>002340</t>
  </si>
  <si>
    <t>Czujnik ruchu LX42 360° PIR Kobi Premium</t>
  </si>
  <si>
    <t>002342</t>
  </si>
  <si>
    <t>Czujnik ruchu LX701 360° MIC Kobi Pro</t>
  </si>
  <si>
    <t>002344</t>
  </si>
  <si>
    <t>002343</t>
  </si>
  <si>
    <t>Downlight LED HALO 5W 3000K Kobi</t>
  </si>
  <si>
    <t>002128</t>
  </si>
  <si>
    <t>Dekoracyjne podtynkowe</t>
  </si>
  <si>
    <t>Downlight LED HALO 5W 4000K Kobi</t>
  </si>
  <si>
    <t>002129</t>
  </si>
  <si>
    <t>Kobi Design</t>
  </si>
  <si>
    <t>Girlanda BAJA LED SET 10x1W 10m  E27 Kobi Design</t>
  </si>
  <si>
    <t>002218</t>
  </si>
  <si>
    <t>Girlandy</t>
  </si>
  <si>
    <t>Girlanda BAJA LED SET 15x1W 15m E27 Kobi Design</t>
  </si>
  <si>
    <t>002220</t>
  </si>
  <si>
    <t>Girlanda BAJA LED SET 20x1W 20m E27 Kobi Design</t>
  </si>
  <si>
    <t>002221</t>
  </si>
  <si>
    <t>Girlanda BAJA LED SET 20x1W E27 10m  Kobi Design</t>
  </si>
  <si>
    <t>002219</t>
  </si>
  <si>
    <t>Girlanda MIMOSA 2 10m 10xE27 Kobi</t>
  </si>
  <si>
    <t>002326</t>
  </si>
  <si>
    <t>Girlanda MIMOSA 10m 20xE27 Kobi</t>
  </si>
  <si>
    <t>002322</t>
  </si>
  <si>
    <t>Girlanda MIMOSA 20m 20xE27 Kobi</t>
  </si>
  <si>
    <t>002324</t>
  </si>
  <si>
    <t>Girlanda MIMOSA LED SET 10m 10x1W E27 Kobi</t>
  </si>
  <si>
    <t>002321</t>
  </si>
  <si>
    <t>Girlanda MIMOSA LED SET 20m 20x1W E27 Kobi</t>
  </si>
  <si>
    <t>002325</t>
  </si>
  <si>
    <t>High Bay LED ANICA 100W 4000K IP65 90° Kobi Pro</t>
  </si>
  <si>
    <t>001553</t>
  </si>
  <si>
    <t>High Bay LED ANICA 100W 4000K IP65 120° Kobi Pro</t>
  </si>
  <si>
    <t>001552</t>
  </si>
  <si>
    <t>High Bay LED ANICA 200W 4000K IP65 90° Kobi Pro</t>
  </si>
  <si>
    <t>001557</t>
  </si>
  <si>
    <t>High Bay LED ANICA 200W 4000K IP65 120° Kobi Pro</t>
  </si>
  <si>
    <t>001556</t>
  </si>
  <si>
    <t>High Bay LED NICO 120W 4000K IP65 60x90° Kobi Pro</t>
  </si>
  <si>
    <t>001770</t>
  </si>
  <si>
    <t>High Bay LED RIO PRO 200W 2CCT Kobi Pro</t>
  </si>
  <si>
    <t>001842</t>
  </si>
  <si>
    <t>Kinkiet ELIPSE ELEGANCE K 2xG9 Kobi Design</t>
  </si>
  <si>
    <t>001541</t>
  </si>
  <si>
    <t>Lampy wiszące</t>
  </si>
  <si>
    <t>Kinkiet GLOBE ELEGANCE BL GOLD K 1xG9 Kobi Design</t>
  </si>
  <si>
    <t>001536</t>
  </si>
  <si>
    <t>Kinkiet GLOBE ELEGANCE GOLD K 1xG9 Kobi Design</t>
  </si>
  <si>
    <t>001535</t>
  </si>
  <si>
    <t>001529</t>
  </si>
  <si>
    <t>Kinkiet LED LUMIREFLECT 8W 4000K czarny Kobi Design</t>
  </si>
  <si>
    <t>001461</t>
  </si>
  <si>
    <t>Kinkiet LED LUMIREFLECT 10W 4000K czarny Kobi Design</t>
  </si>
  <si>
    <t>001462</t>
  </si>
  <si>
    <t>Kinkiet LED LUMIREFLECT 12W 4000K czarny Kobi Design</t>
  </si>
  <si>
    <t>001463</t>
  </si>
  <si>
    <t>Kinkiet ogrodowy LED OME 10W 4000K LX IP54 czarny LED2B</t>
  </si>
  <si>
    <t>003704</t>
  </si>
  <si>
    <t>Ogrodowe</t>
  </si>
  <si>
    <t>003708</t>
  </si>
  <si>
    <t>Kinkiet ogrodowy LO4101 1xE27 IP54 biały Kobi</t>
  </si>
  <si>
    <t>002247</t>
  </si>
  <si>
    <t>Kinkiet ogrodowy LO4101 1xE27 IP54 czarny Kobi</t>
  </si>
  <si>
    <t>002248</t>
  </si>
  <si>
    <t>Kinkiet ogrodowy LO4101 1xE27 IP54 złoty Kobi</t>
  </si>
  <si>
    <t>002250</t>
  </si>
  <si>
    <t>Kinkiet ogrodowy LO4102 1xE27 IP54 biały Kobi</t>
  </si>
  <si>
    <t>002251</t>
  </si>
  <si>
    <t>Kinkiet ogrodowy LO4102 1xE27 IP54 czarny Kobi</t>
  </si>
  <si>
    <t>002252</t>
  </si>
  <si>
    <t>Kinkiet ogrodowy LO4102 1xE27 IP54 złoty Kobi</t>
  </si>
  <si>
    <t>002254</t>
  </si>
  <si>
    <t>Kinkiet ogrodowy QUAZAR 7 2xGU10 IP44 czarny Kobi</t>
  </si>
  <si>
    <t>002287</t>
  </si>
  <si>
    <t>Kinkiet ogrodowy QUAZAR 7 2xGU10 IP44 szary Kobi</t>
  </si>
  <si>
    <t>002288</t>
  </si>
  <si>
    <t>Kinkiet ogrodowy QUAZAR 9 2xGU10 IP44 szary Kobi</t>
  </si>
  <si>
    <t>002292</t>
  </si>
  <si>
    <t>Kinkiet ogrodowy QUAZAR 11 1xGU10 IP44 czarny Kobi</t>
  </si>
  <si>
    <t>002265</t>
  </si>
  <si>
    <t>Kinkiet ogrodowy QUAZAR 11 1xGU10 IP44 szary Kobi</t>
  </si>
  <si>
    <t>002266</t>
  </si>
  <si>
    <t>Kinkiet ogrodowy QUAZAR 15 1xGU10 IP44 czarny Kobi</t>
  </si>
  <si>
    <t>002273</t>
  </si>
  <si>
    <t>Kinkiet ogrodowy QUAZAR 15 1xGU10 IP44 szary Kobi</t>
  </si>
  <si>
    <t>002278</t>
  </si>
  <si>
    <t>Kinkiet ogrodowy QUERK 3 2xGU10 IP54 czarna LED2B</t>
  </si>
  <si>
    <t>002307</t>
  </si>
  <si>
    <t>Kinkiet ogrodowy QUERK 4 2xGU10 IP54 czarna LED2B</t>
  </si>
  <si>
    <t>002308</t>
  </si>
  <si>
    <t>Kinkiet ogrodowy QUERK 5 2xGU10 IP54 czarna LED2B</t>
  </si>
  <si>
    <t>002309</t>
  </si>
  <si>
    <t>Kinkiet ogrodowy QUERK 6 1xGU10 IP54 czarny LED2B</t>
  </si>
  <si>
    <t>003706</t>
  </si>
  <si>
    <t>Kinkiet ogrodowy QUERK 7 2xGU10 IP54 czarny LED2B</t>
  </si>
  <si>
    <t>003707</t>
  </si>
  <si>
    <t>Kinkiet ogrodowy TEVIO KD 1xE27 IP54 czarny LED2B</t>
  </si>
  <si>
    <t>003701</t>
  </si>
  <si>
    <t>Kinkiet ogrodowy TEVIO KG 1xE27 IP54 czarny LED2B</t>
  </si>
  <si>
    <t>003699</t>
  </si>
  <si>
    <t>Kinkiet ogrodowy TEVIO KG 1xE27 LX IP54 czarny LED2B</t>
  </si>
  <si>
    <t>003700</t>
  </si>
  <si>
    <t>002274</t>
  </si>
  <si>
    <t>002275</t>
  </si>
  <si>
    <t>Ogrodowe solarne</t>
  </si>
  <si>
    <t>Kostka halogenowa K001 G5,3 Kobi</t>
  </si>
  <si>
    <t>002367</t>
  </si>
  <si>
    <t>Kostka halogenowa K002 GU10 Kobi</t>
  </si>
  <si>
    <t>002368</t>
  </si>
  <si>
    <t>WZROST ROŚLIN</t>
  </si>
  <si>
    <t>Lampa do roślin LED BLOOM 20W 3500K Kobi Design</t>
  </si>
  <si>
    <t>001456</t>
  </si>
  <si>
    <t>Wzrost roślin</t>
  </si>
  <si>
    <t>Lampa do roślin LED VERDI 5W 3200K Kobi Design</t>
  </si>
  <si>
    <t>001457</t>
  </si>
  <si>
    <t>Lampa do roślin LED VERDI 10W 3200K Kobi Design</t>
  </si>
  <si>
    <t>001458</t>
  </si>
  <si>
    <t>Lampa do roślin LED VITARO 3 CLIP 10W Kobi Design</t>
  </si>
  <si>
    <t>001513</t>
  </si>
  <si>
    <t>Lampa do roślin LED VITARO 3 ST MINI 10W Kobi Design</t>
  </si>
  <si>
    <t>001515</t>
  </si>
  <si>
    <t>Lampa do roślin LED VITARO 4 CLIP 10W Kobi Design</t>
  </si>
  <si>
    <t>001514</t>
  </si>
  <si>
    <t>Lampa do roślin LED VITARO 4 ST 30W Kobi Design</t>
  </si>
  <si>
    <t>001517</t>
  </si>
  <si>
    <t>Lampa do roślin LED VITARO 4 ST MINI 10W Kobi Design</t>
  </si>
  <si>
    <t>001516</t>
  </si>
  <si>
    <t>Lampa ogrodowa BLAKE 2 1xGU10 IP65 czarna Kobi</t>
  </si>
  <si>
    <t>002263</t>
  </si>
  <si>
    <t>Lampa ogrodowa GARDEN BALL L 1xE27 IP65 Kobi</t>
  </si>
  <si>
    <t>002225</t>
  </si>
  <si>
    <t>Lampa ogrodowa GARDEN BALL M 1xE27 IP65 Kobi</t>
  </si>
  <si>
    <t>002226</t>
  </si>
  <si>
    <t>Lampa ogrodowa GARDEN BALL S 1xE27 IP65 Kobi</t>
  </si>
  <si>
    <t>002227</t>
  </si>
  <si>
    <t>Lampa ogrodowa QUERK 1 1xGU10 IP54 czarna LED2B</t>
  </si>
  <si>
    <t>002305</t>
  </si>
  <si>
    <t>Lampa ogrodowa QUERK 2 1xGU10 IP54 czarna LED2B</t>
  </si>
  <si>
    <t>002306</t>
  </si>
  <si>
    <t>Lampa ogrodowa Solar LED GARDEN BALL 30cm 3000K+RGB Kobi Design</t>
  </si>
  <si>
    <t>003696</t>
  </si>
  <si>
    <t>003697</t>
  </si>
  <si>
    <t>Lampa ogrodowa solar LED HARMONY 3000K IP44 LED2B</t>
  </si>
  <si>
    <t>002241</t>
  </si>
  <si>
    <t>Lampa ogrodowa solar LED SPECTRA 2700K IP44 LED2B</t>
  </si>
  <si>
    <t>002310</t>
  </si>
  <si>
    <t>Lampa ogrodowa solar LED SWAY 6000K IP44 LED2B</t>
  </si>
  <si>
    <t>002318</t>
  </si>
  <si>
    <t>Lampa podłogowa AURIQ ST 1xE27 czarna LED2B</t>
  </si>
  <si>
    <t>001969</t>
  </si>
  <si>
    <t>Lampki biurkowe</t>
  </si>
  <si>
    <t>Lampa podłogowa PLAY SL 6W RGB Kobi Design</t>
  </si>
  <si>
    <t>001459</t>
  </si>
  <si>
    <t>Lampa solarna SOLAR 50 LED LUME RGB LED2B</t>
  </si>
  <si>
    <t>002245</t>
  </si>
  <si>
    <t>Latarka LED X-MPR 5W 6000K IP54 LED2B</t>
  </si>
  <si>
    <t>001430</t>
  </si>
  <si>
    <t>Latarka LED X-MPR MICRO CCT LED2B</t>
  </si>
  <si>
    <t>001431</t>
  </si>
  <si>
    <t>001488</t>
  </si>
  <si>
    <t>001501</t>
  </si>
  <si>
    <t>001502</t>
  </si>
  <si>
    <t>001492</t>
  </si>
  <si>
    <t>Lampa sufitowa ELIPSE ELEGANCE S3 3xG9 Kobi Design</t>
  </si>
  <si>
    <t>001542</t>
  </si>
  <si>
    <t>Lampa sufitowa GLOBE ELEGANCE ASH S3 3xG9 Kobi Design</t>
  </si>
  <si>
    <t>001530</t>
  </si>
  <si>
    <t>Lampa sufitowa GLOBE ELEGANCE ASH S4 4xG9 Kobi Design</t>
  </si>
  <si>
    <t>001531</t>
  </si>
  <si>
    <t>Lampa sufitowa GLOBE ELEGANCE SMOKE S6 6xE14 Kobi Design</t>
  </si>
  <si>
    <t>001527</t>
  </si>
  <si>
    <t>Przedłużacz CONNECTO 4gn+USB/1,5m/Zu+W/1,5mm czarny Kobi Design</t>
  </si>
  <si>
    <t>001450</t>
  </si>
  <si>
    <t>Przedłużacz CONNECTO 4gn+USB/1,5m/Zu+W/1,5mm biały Kobi Design</t>
  </si>
  <si>
    <t>001451</t>
  </si>
  <si>
    <t>Lampa wisząca BOHO BAKU L 1xE27 Kobi Design</t>
  </si>
  <si>
    <t>001475</t>
  </si>
  <si>
    <t>Przedłużacz CONNECTO 4gn+USB/3m/Zu+W/1,5mm czarny Kobi Design</t>
  </si>
  <si>
    <t>001452</t>
  </si>
  <si>
    <t>Lampa wisząca BOHO BAKU M 1xE27 Kobi Design</t>
  </si>
  <si>
    <t>002159</t>
  </si>
  <si>
    <t>Przedłużacz CONNECTO 4gn+USB/3m/Zu+W/1,5mm biały Kobi Design</t>
  </si>
  <si>
    <t>001453</t>
  </si>
  <si>
    <t>Lampa wisząca BOHO BAKU S 1xE27 Kobi Design</t>
  </si>
  <si>
    <t>002160</t>
  </si>
  <si>
    <t>Przedłużacz CONNECTO 4gn+USB/5m/Zu+W/1,5mm czarny Kobi Design</t>
  </si>
  <si>
    <t>001454</t>
  </si>
  <si>
    <t>Lampa wisząca BOHO BEIRUT 1xE27 Kobi Design</t>
  </si>
  <si>
    <t>002158</t>
  </si>
  <si>
    <t>Przedłużacz CONNECTO 4gn+USB/5m/Zu+W/1,5mm biały Kobi Design</t>
  </si>
  <si>
    <t>001455</t>
  </si>
  <si>
    <t>Lampa wisząca BOHO BELMO 1xE27 Kobi Design</t>
  </si>
  <si>
    <t>001480</t>
  </si>
  <si>
    <t>Lampa wisząca BOHO BERN 1xE27 Kobi Design</t>
  </si>
  <si>
    <t>002156</t>
  </si>
  <si>
    <t>Lampa wisząca BOHO BIMINI 1xE27 Kobi Design</t>
  </si>
  <si>
    <t>002153</t>
  </si>
  <si>
    <t>Lampa wisząca BOHO BONN 1xE27 Kobi Design</t>
  </si>
  <si>
    <t>002157</t>
  </si>
  <si>
    <t>Lampa wisząca BOHO BONN RB 1xE27 Kobi Design</t>
  </si>
  <si>
    <t>001469</t>
  </si>
  <si>
    <t>Lampka na monitor LED LUME-IQ 5W CCT Kobi Design</t>
  </si>
  <si>
    <t>001460</t>
  </si>
  <si>
    <t>Lampa wisząca BOHO BONN RW 1xE27 Kobi Design</t>
  </si>
  <si>
    <t>001470</t>
  </si>
  <si>
    <t>Lampa wisząca BOHO BRAGA 1xE27 Kobi Design</t>
  </si>
  <si>
    <t>002152</t>
  </si>
  <si>
    <t>Lampa wisząca BOHO BRUGIA L RB 1xE27 Kobi Design</t>
  </si>
  <si>
    <t>001473</t>
  </si>
  <si>
    <t>Lampa wisząca BOHO BRUGIA L RW 1xE27 Kobi Design</t>
  </si>
  <si>
    <t>001474</t>
  </si>
  <si>
    <t>Przedłużacz FLOWFLEXER ORANGE W 2gn+USB/1,4m/Zu/1,5mm biały Kobi Design</t>
  </si>
  <si>
    <t>001464</t>
  </si>
  <si>
    <t>Lampa wisząca BOHO BRUGIA M 1xE27 Kobi Design</t>
  </si>
  <si>
    <t>002154</t>
  </si>
  <si>
    <t>Przedłużacz FLOWFLEXER ORANGE B 2gn+USB/1,4m/Zu/1,5mm czarny Kobi Design</t>
  </si>
  <si>
    <t>001465</t>
  </si>
  <si>
    <t>Lampa wisząca BOHO BRUGIA M RB 1xE27 Kobi Design</t>
  </si>
  <si>
    <t>001471</t>
  </si>
  <si>
    <t>Lampa wisząca BOHO BRUGIA M RW 1xE27 Kobi Design</t>
  </si>
  <si>
    <t>001472</t>
  </si>
  <si>
    <t>Lampa wisząca BOHO BRUGIA S 1xE27 Kobi Design</t>
  </si>
  <si>
    <t>002155</t>
  </si>
  <si>
    <t>Lampa wisząca BOHO RANGO 1xE27 Kobi Design</t>
  </si>
  <si>
    <t>002163</t>
  </si>
  <si>
    <t>Lampa wisząca BOHO RENNES  1xE27 Kobi Design</t>
  </si>
  <si>
    <t>002164</t>
  </si>
  <si>
    <t>Lampa wisząca BOHO RIGA 1xE27 Kobi Design</t>
  </si>
  <si>
    <t>002161</t>
  </si>
  <si>
    <t>Lampa wisząca BOHO RONDA 1xE27 Kobi Design</t>
  </si>
  <si>
    <t>002162</t>
  </si>
  <si>
    <t>Lampa wisząca BOHO SIBU 1xE27 Kobi Design</t>
  </si>
  <si>
    <t>002166</t>
  </si>
  <si>
    <t>Lampa wisząca BOHO SIENA 3xE27 Kobi Design</t>
  </si>
  <si>
    <t>002165</t>
  </si>
  <si>
    <t>Lampa wisząca BOHO VERONA 1xE27 Kobi Design</t>
  </si>
  <si>
    <t>002167</t>
  </si>
  <si>
    <t>Lampa wisząca BOHO VIENNA 1xE27 Kobi Design</t>
  </si>
  <si>
    <t>002168</t>
  </si>
  <si>
    <t>Lampa wisząca ELIPSE ELEGANCE S 1xG9 Kobi  Design</t>
  </si>
  <si>
    <t>001540</t>
  </si>
  <si>
    <t>Lampa wisząca GLOBE ELEGANCE ASH S 1xG9 Kobi Design</t>
  </si>
  <si>
    <t>001528</t>
  </si>
  <si>
    <t>Lampa wisząca GLOBE ELEGANCE GOLD S5 5xG9 Kobi Design</t>
  </si>
  <si>
    <t>001533</t>
  </si>
  <si>
    <t>Lampka biurkowa PLANTY CLIP W 1xE27 biała Kobi Design</t>
  </si>
  <si>
    <t>001506</t>
  </si>
  <si>
    <t>Lampka biurkowa PLANTY CLIP B 1xE27 czarna Kobi Design</t>
  </si>
  <si>
    <t>001507</t>
  </si>
  <si>
    <t>Lampa wisząca ogrodowa LO4105 1xE27 IP54 biała Kobi</t>
  </si>
  <si>
    <t>002259</t>
  </si>
  <si>
    <t>Lampa wisząca ogrodowa LO4105 1xE27 IP54 czarna Kobi</t>
  </si>
  <si>
    <t>002260</t>
  </si>
  <si>
    <t>Lampa wisząca ogrodowa LO4105 1xE27 IP54 złota Kobi</t>
  </si>
  <si>
    <t>002262</t>
  </si>
  <si>
    <t>Lampa wisząca ogrodowa TEVIO W 1xE27 IP54 czarna LED2B</t>
  </si>
  <si>
    <t>003702</t>
  </si>
  <si>
    <t>Lampka biurkowa AURIQ 1xE27 biała LED2B</t>
  </si>
  <si>
    <t>001967</t>
  </si>
  <si>
    <t>Lampka biurkowa AURIQ 1xE27 czarna LED2B</t>
  </si>
  <si>
    <t>001968</t>
  </si>
  <si>
    <t>Lampka biurkowa LED LIZBONA 3,5W IP54 Biała Kobi Premium</t>
  </si>
  <si>
    <t>001965</t>
  </si>
  <si>
    <t>Lampka biurkowa LED LIZBONA 3,5W IP54 Czarna Kobi Premium</t>
  </si>
  <si>
    <t>001966</t>
  </si>
  <si>
    <t>001970</t>
  </si>
  <si>
    <t>Panel LED BRISBANE 36W 60x60 4000K biały Kobi Premium</t>
  </si>
  <si>
    <t>001559</t>
  </si>
  <si>
    <t>Panel LED BRISBANE 36W 60x60 4000K czarny Kobi Premium</t>
  </si>
  <si>
    <t>001560</t>
  </si>
  <si>
    <t>Panel LED BRISBANE 36W 30x120 4000K biały Kobi Premium</t>
  </si>
  <si>
    <t>001561</t>
  </si>
  <si>
    <t>Panel LED BRISBANE 36W 30x120 4000K czarny Kobi Premium</t>
  </si>
  <si>
    <t>001562</t>
  </si>
  <si>
    <t>001972</t>
  </si>
  <si>
    <t>001973</t>
  </si>
  <si>
    <t>Lampka biurkowa LED VISUA DESK 5W biała LED2B</t>
  </si>
  <si>
    <t>001974</t>
  </si>
  <si>
    <t>Lampka biurkowa LED VISUA DESK 5W czarna LED2B</t>
  </si>
  <si>
    <t>001975</t>
  </si>
  <si>
    <t>Lampka biurkowa LED VISUA DESK 5W miętowa LED2B</t>
  </si>
  <si>
    <t>001976</t>
  </si>
  <si>
    <t>Panel LED CAPRI 40W 60x60 4000K IP65 Kobi Pro</t>
  </si>
  <si>
    <t>001576</t>
  </si>
  <si>
    <t>Lampka biurkowa LED VISUA DESK 5W niebieska LED2B</t>
  </si>
  <si>
    <t>001977</t>
  </si>
  <si>
    <t>Lampka biurkowa LED VISUA DESK 5W różowa LED2B</t>
  </si>
  <si>
    <t>001978</t>
  </si>
  <si>
    <t>Lampka biurkowa LED VISUA DESK 5W szara LED2B</t>
  </si>
  <si>
    <t>001979</t>
  </si>
  <si>
    <t>Oprawa drogowa LED CYOTO 100W 4000K LX Kobi Premium</t>
  </si>
  <si>
    <t>001580</t>
  </si>
  <si>
    <t>Uliczne</t>
  </si>
  <si>
    <t>Lampka biurkowa ŚMIESZEK 1xE27 biała Kobi</t>
  </si>
  <si>
    <t>001958</t>
  </si>
  <si>
    <t>Plafon LED DEFENDER 24W 4000K IP66 Kobi Pro</t>
  </si>
  <si>
    <t>001594</t>
  </si>
  <si>
    <t>Lampka biurkowa ŚMIESZEK 1xE27 czarna Kobi</t>
  </si>
  <si>
    <t>001959</t>
  </si>
  <si>
    <t>Plafon LED DEFENDER 18W 4000K LX IP66 Kobi Pro</t>
  </si>
  <si>
    <t>001595</t>
  </si>
  <si>
    <t>Lampka biurkowa ŚMIESZEK 1xE27 czerwona Kobi</t>
  </si>
  <si>
    <t>001960</t>
  </si>
  <si>
    <t>Lampka biurkowa ŚMIESZEK 1xE27 niebieska Kobi</t>
  </si>
  <si>
    <t>001961</t>
  </si>
  <si>
    <t>Lampka biurkowa ŚMIESZEK 1xE27 różowa Kobi</t>
  </si>
  <si>
    <t>001962</t>
  </si>
  <si>
    <t>Lampka biurkowa ŚMIESZEK 1xE27 zielona Kobi</t>
  </si>
  <si>
    <t>001963</t>
  </si>
  <si>
    <t>Lampka biurkowa ŚMIESZEK 1xE27 żółta Kobi</t>
  </si>
  <si>
    <t>001964</t>
  </si>
  <si>
    <t>Oprawa hermetyczna HERMETIC 1x120 IP65 Kobi</t>
  </si>
  <si>
    <t>001602</t>
  </si>
  <si>
    <t>Liniowe hermetyczne</t>
  </si>
  <si>
    <t>Oprawa hermetyczna HERMETIC 1x150 IP65 Kobi</t>
  </si>
  <si>
    <t>001603</t>
  </si>
  <si>
    <t>Oprawa hermetyczna HERMETIC 1x60 IP65 Kobi</t>
  </si>
  <si>
    <t>001604</t>
  </si>
  <si>
    <t>Linka do panelu LED Kobi</t>
  </si>
  <si>
    <t>001777</t>
  </si>
  <si>
    <t>Oprawa hermetyczna HERMETIC 2x120 IP65 Kobi</t>
  </si>
  <si>
    <t>001605</t>
  </si>
  <si>
    <t>002814</t>
  </si>
  <si>
    <t>Szynoprzewód i akcesoria</t>
  </si>
  <si>
    <t>Oprawa hermetyczna HERMETIC 2x150 IP65 Kobi</t>
  </si>
  <si>
    <t>001606</t>
  </si>
  <si>
    <t>002815</t>
  </si>
  <si>
    <t>Oprawa hermetyczna HERMETIC 2x60 IP65 Kobi</t>
  </si>
  <si>
    <t>001607</t>
  </si>
  <si>
    <t>Łącznik do szynoprzewodu 3-obwodowy I wewnętrzny biały Kobi</t>
  </si>
  <si>
    <t>002816</t>
  </si>
  <si>
    <t>Oprawa hermetyczna HERMIC 1x120 IP65 Kobi</t>
  </si>
  <si>
    <t>001608</t>
  </si>
  <si>
    <t>Łącznik do szynoprzewodu 3-obwodowy I wewnętrzny czarny Kobi</t>
  </si>
  <si>
    <t>002817</t>
  </si>
  <si>
    <t>Oprawa hermetyczna HERMIC 2x120 IP65 Kobi</t>
  </si>
  <si>
    <t>001610</t>
  </si>
  <si>
    <t>Łącznik do szynoprzewodu 3-obwodowy I zewnętrzny biały Kobi</t>
  </si>
  <si>
    <t>002818</t>
  </si>
  <si>
    <t>Oprawa parkowa HYBRID LED FUSION 14W 4000K IP65 Kobi Pro</t>
  </si>
  <si>
    <t>001613</t>
  </si>
  <si>
    <t>Uliczne solarne</t>
  </si>
  <si>
    <t>Łącznik do szynoprzewodu 3-obwodowy I zewnętrzny czarny Kobi</t>
  </si>
  <si>
    <t>002819</t>
  </si>
  <si>
    <t>Oprawa linowa LED KOLINE K1 20W 4000K biała Kobi Pro</t>
  </si>
  <si>
    <t>001615</t>
  </si>
  <si>
    <t>002824</t>
  </si>
  <si>
    <t>002825</t>
  </si>
  <si>
    <t>002826</t>
  </si>
  <si>
    <t>Oprawa linowa LED KOLINE K1 20W 4000K czarna Kobi Pro</t>
  </si>
  <si>
    <t>001618</t>
  </si>
  <si>
    <t>002827</t>
  </si>
  <si>
    <t>002820</t>
  </si>
  <si>
    <t>Oprawa linowa LED KOLINE K1 40W 4000K biała Kobi Pro</t>
  </si>
  <si>
    <t>001620</t>
  </si>
  <si>
    <t>002821</t>
  </si>
  <si>
    <t>002822</t>
  </si>
  <si>
    <t>002823</t>
  </si>
  <si>
    <t>Łącznik PROSTY do LED KOLINE K2 Kobi</t>
  </si>
  <si>
    <t>003721</t>
  </si>
  <si>
    <t>Oprawa hermetyczna LED MIVRO 36W 4000K IP65 LED2B</t>
  </si>
  <si>
    <t>001634</t>
  </si>
  <si>
    <t>Łącznik T do LED KOLINE K2 biały Kobi Pro</t>
  </si>
  <si>
    <t>003717</t>
  </si>
  <si>
    <t>Łącznik T do LED KOLINE K2 czarny Kobi Pro</t>
  </si>
  <si>
    <t>003718</t>
  </si>
  <si>
    <t>Łącznik X do LED KOLINE K2 biały Kobi Pro</t>
  </si>
  <si>
    <t>003715</t>
  </si>
  <si>
    <t>Łącznik X do LED KOLINE K2 czarny Kobi Pro</t>
  </si>
  <si>
    <t>003716</t>
  </si>
  <si>
    <t>LED2B Red</t>
  </si>
  <si>
    <t>Naświetlacze LED</t>
  </si>
  <si>
    <t>Miernik poboru energii KOBI PMM 2 czarny Kobi</t>
  </si>
  <si>
    <t>002353</t>
  </si>
  <si>
    <t>Naświetlacz LED MH 10W 3000K IP65 czarny LED2B</t>
  </si>
  <si>
    <t>001642</t>
  </si>
  <si>
    <t>Miernik poboru energii KOBI PMM 3 biały Kobi</t>
  </si>
  <si>
    <t>002354</t>
  </si>
  <si>
    <t>Naświetlacz LED MH 10W 4000K IP65 czarny LED2B</t>
  </si>
  <si>
    <t>001643</t>
  </si>
  <si>
    <t>Czujnik ruchu ZHAGA HD06VCRH7C</t>
  </si>
  <si>
    <t>002347</t>
  </si>
  <si>
    <t>Naświetlacz LED MH 10W 4000K IP65 czarny LED2B RED</t>
  </si>
  <si>
    <t>001644</t>
  </si>
  <si>
    <t>Naświetlacz LED MH 10W 6500K IP65 czarny LED2B</t>
  </si>
  <si>
    <t>001645</t>
  </si>
  <si>
    <t>Naświetlacz LED MH 10W 6500K IP65 czarny LED2B RED</t>
  </si>
  <si>
    <t>001646</t>
  </si>
  <si>
    <t>Naświetlacz LED KOBI SEUL 150W 4000K IP65 Kobi Pro</t>
  </si>
  <si>
    <t>001854</t>
  </si>
  <si>
    <t>Naświetlacz LED MH 20W 4000K IP65 czarny LED2B RED</t>
  </si>
  <si>
    <t>001649</t>
  </si>
  <si>
    <t>Naświetlacz LED MH 20W 6500K IP65 czarny LED2B</t>
  </si>
  <si>
    <t>001650</t>
  </si>
  <si>
    <t>Naświetlacz LED MH 20W 6500K IP65 czarny LED2B RED</t>
  </si>
  <si>
    <t>001651</t>
  </si>
  <si>
    <t>Naświetlacz LED MH 30W 4000K IP65 czarny LED2B RED</t>
  </si>
  <si>
    <t>001654</t>
  </si>
  <si>
    <t>Naświetlacz LED MH 30W 6500K IP65 czarny LED2B RED</t>
  </si>
  <si>
    <t>001656</t>
  </si>
  <si>
    <t>Naświetlacz LED MH 50W 6500K IP65 czarny LED2B RED</t>
  </si>
  <si>
    <t>001661</t>
  </si>
  <si>
    <t>Naświetlacz LED MHC 10W 3000K IP44 czarny LED2B</t>
  </si>
  <si>
    <t>001663</t>
  </si>
  <si>
    <t>001664</t>
  </si>
  <si>
    <t>001665</t>
  </si>
  <si>
    <t>001666</t>
  </si>
  <si>
    <t>001667</t>
  </si>
  <si>
    <t>001670</t>
  </si>
  <si>
    <t>001672</t>
  </si>
  <si>
    <t>001676</t>
  </si>
  <si>
    <t>001677</t>
  </si>
  <si>
    <t>Naświetlacz LED MHC 50W 3000K IP44 czarny LED2B</t>
  </si>
  <si>
    <t>001678</t>
  </si>
  <si>
    <t>Oprawa drogowa LED MASTER STREET 35W 4000K IP66 MB Kobi Pro</t>
  </si>
  <si>
    <t>001690</t>
  </si>
  <si>
    <t>Oprawa drogowa LED MASTER STREET 35W 4000K IP66 WB Kobi Pro</t>
  </si>
  <si>
    <t>001691</t>
  </si>
  <si>
    <t>Plafon LED NAIROS G2 12W 3CCT IP65 biały Kobi Premium</t>
  </si>
  <si>
    <t>001694</t>
  </si>
  <si>
    <t>Plafon LED NAIROS G2 12W 3CCT IP65 czarny Kobi Premium</t>
  </si>
  <si>
    <t>001695</t>
  </si>
  <si>
    <t>Plafon LED NAIROS G2 18W 3CCT IP65 biały Kobi Premium</t>
  </si>
  <si>
    <t>001696</t>
  </si>
  <si>
    <t>Plafon LED NAIROS G2 18W 3CCT IP65 czarny Kobi Premium</t>
  </si>
  <si>
    <t>001697</t>
  </si>
  <si>
    <t>Plafon LED NAIROS G2 24W 3CCT IP65 biały Kobi Premium</t>
  </si>
  <si>
    <t>001698</t>
  </si>
  <si>
    <t>Plafon LED NAIROS G2 24W 3CCT IP65 czarny Kobi Premium</t>
  </si>
  <si>
    <t>001699</t>
  </si>
  <si>
    <t>Plafon LED NAIROS G2 36W 3CCT IP65 biały Kobi Premium</t>
  </si>
  <si>
    <t>001700</t>
  </si>
  <si>
    <t>Plafon LED NAIROS G2 12W 3CCT LX IP65 biały Kobi Premium</t>
  </si>
  <si>
    <t>001701</t>
  </si>
  <si>
    <t>Plafon LED NAIROS G2 12W 3CCT LX IP65 czarny Kobi Premium</t>
  </si>
  <si>
    <t>001702</t>
  </si>
  <si>
    <t>Plafon LED NAIROS G2 18W 3CCT LX IP65 biały Kobi Premium</t>
  </si>
  <si>
    <t>001703</t>
  </si>
  <si>
    <t>Plafon LED NAIROS G2 18W 3CCT LX IP65 czarny Kobi Premium</t>
  </si>
  <si>
    <t>001704</t>
  </si>
  <si>
    <t>Plafon LED NAIROS G2 24W 3CCT LX IP65 biały Kobi Premium</t>
  </si>
  <si>
    <t>001705</t>
  </si>
  <si>
    <t>Plafon LED NAIROS G2 24W 3CCT LX IP65 czarny Kobi Premium</t>
  </si>
  <si>
    <t>001706</t>
  </si>
  <si>
    <t>Plafon LED NAIROS G2 36W 3CCT LX IP65 biały Kobi Premium</t>
  </si>
  <si>
    <t>001707</t>
  </si>
  <si>
    <t>Naświetlacz LED US 300W 5000K IP65 60° DIM Kobi Pro</t>
  </si>
  <si>
    <t>001866</t>
  </si>
  <si>
    <t>Naświetlacz LED US 300W 5000K IP65 90° DIM Kobi Pro</t>
  </si>
  <si>
    <t>001867</t>
  </si>
  <si>
    <t>Naświetlacz LED US 500W 5000K IP66 60° DIM Kobi Pro</t>
  </si>
  <si>
    <t>001869</t>
  </si>
  <si>
    <t>Osłona do LED NINA HB 200W Kobi</t>
  </si>
  <si>
    <t>001716</t>
  </si>
  <si>
    <t>Naświetlacz solar LED PHOTON 3000K IP44 8-pak LED2B</t>
  </si>
  <si>
    <t>002304</t>
  </si>
  <si>
    <t>001726</t>
  </si>
  <si>
    <t>001727</t>
  </si>
  <si>
    <t>001728</t>
  </si>
  <si>
    <t>003693</t>
  </si>
  <si>
    <t>Naświetlacz Solar LED KOBI NEW PHOENIX 13W 4000K IP65 Kobi</t>
  </si>
  <si>
    <t>001810</t>
  </si>
  <si>
    <t>Naświetlacz Solar LED MHC 5W 4000K IP65 Kobi</t>
  </si>
  <si>
    <t>001807</t>
  </si>
  <si>
    <t>Naświetlacz Solar LED MHC 10W 4000K IP65 Kobi</t>
  </si>
  <si>
    <t>001805</t>
  </si>
  <si>
    <t>003670</t>
  </si>
  <si>
    <t>002005</t>
  </si>
  <si>
    <t>Dekoracyjne natynkowe</t>
  </si>
  <si>
    <t>Oprawa liniowa hermetyczna LED NEGRO 20W 4000K Kobi Premium</t>
  </si>
  <si>
    <t>001790</t>
  </si>
  <si>
    <t>Oprawa liniowa hermetyczna LED NEGRO 36W 6000K Kobi Premium</t>
  </si>
  <si>
    <t>001792</t>
  </si>
  <si>
    <t>002002</t>
  </si>
  <si>
    <t>Oprawa liniowa hermetyczna LED NEGRO 60W 4000K Kobi Premium</t>
  </si>
  <si>
    <t>001793</t>
  </si>
  <si>
    <t>002004</t>
  </si>
  <si>
    <t>Oprawa drogowa Solar LED STREET 15W 4000K IP65 Kobi</t>
  </si>
  <si>
    <t>001819</t>
  </si>
  <si>
    <t>Oprawa do nadbudowania OH36 biała Kobi</t>
  </si>
  <si>
    <t>002089</t>
  </si>
  <si>
    <t>Oprawa do nadbudowania OH36 czarna Kobi</t>
  </si>
  <si>
    <t>002091</t>
  </si>
  <si>
    <t>Oprawa do nadbudowania OH36 L biała Kobi</t>
  </si>
  <si>
    <t>002092</t>
  </si>
  <si>
    <t>Plafon LED SIGARO CIRCLE 24W 4000K Kobi Premium</t>
  </si>
  <si>
    <t>001848</t>
  </si>
  <si>
    <t>Oprawa do nadbudowania OH36 L czarna Kobi</t>
  </si>
  <si>
    <t>002094</t>
  </si>
  <si>
    <t>Oprawa do nadbudowania OH36 S biała Kobi</t>
  </si>
  <si>
    <t>002095</t>
  </si>
  <si>
    <t>Oprawa do nadbudowania OH36 S czarna Kobi</t>
  </si>
  <si>
    <t>002097</t>
  </si>
  <si>
    <t>Oprawa do nadbudowania OH37 chrom  Kobi</t>
  </si>
  <si>
    <t>002099</t>
  </si>
  <si>
    <t>Oprawa do nadbudowania OH37 czarna Kobi</t>
  </si>
  <si>
    <t>002100</t>
  </si>
  <si>
    <t>Plafon LED SIGARO SQUARE 18W 4000K Kobi Premium</t>
  </si>
  <si>
    <t>001862</t>
  </si>
  <si>
    <t>Plafon LED SIGARO SQUARE 24W 4000K Kobi Premium</t>
  </si>
  <si>
    <t>001863</t>
  </si>
  <si>
    <t>Oprawa do nadbudowania OH37 S czarna Kobi</t>
  </si>
  <si>
    <t>002106</t>
  </si>
  <si>
    <t>Plafon LED SOFI 13W 4000K LX  Kobi Premium</t>
  </si>
  <si>
    <t>001864</t>
  </si>
  <si>
    <t>Oprawa drogowa LED VESPA PRO 100W 4000K IP66 Kobi Pro</t>
  </si>
  <si>
    <t>001876</t>
  </si>
  <si>
    <t>Oprawa drogowa LED VESPA PRO 150W 4000K IP66 Kobi Pro</t>
  </si>
  <si>
    <t>001877</t>
  </si>
  <si>
    <t>Oprawa drogowa LED VESPA PRO 200W 4000K IP66 Kobi Pro</t>
  </si>
  <si>
    <t>001878</t>
  </si>
  <si>
    <t>Oprawa drogowa LED VESPA PRO 40W 4000K IP66 Kobi Pro</t>
  </si>
  <si>
    <t>001881</t>
  </si>
  <si>
    <t>Oprawa drogowa LED VESPA PRO 60W 4000K IP66 Kobi Pro</t>
  </si>
  <si>
    <t>001882</t>
  </si>
  <si>
    <t>Liniowe niehermetyczne</t>
  </si>
  <si>
    <t>001903</t>
  </si>
  <si>
    <t>001904</t>
  </si>
  <si>
    <t>001905</t>
  </si>
  <si>
    <t>001906</t>
  </si>
  <si>
    <t>Oprawa drogowa Solar LED SOLIT 11W 4000K IP54 Kobi</t>
  </si>
  <si>
    <t>003694</t>
  </si>
  <si>
    <t>001907</t>
  </si>
  <si>
    <t>001908</t>
  </si>
  <si>
    <t>Oprawa drogowa Solar LED STREET 30W 2CCT IP65 Kobi Premium</t>
  </si>
  <si>
    <t>001820</t>
  </si>
  <si>
    <t>001909</t>
  </si>
  <si>
    <t>001910</t>
  </si>
  <si>
    <t>Oprawa drogowa Solar LED URBI 8W 6500K IP54 LED2B</t>
  </si>
  <si>
    <t>003687</t>
  </si>
  <si>
    <t>001911</t>
  </si>
  <si>
    <t>001912</t>
  </si>
  <si>
    <t>001913</t>
  </si>
  <si>
    <t>001914</t>
  </si>
  <si>
    <t>001915</t>
  </si>
  <si>
    <t>001916</t>
  </si>
  <si>
    <t>001917</t>
  </si>
  <si>
    <t>001918</t>
  </si>
  <si>
    <t>001919</t>
  </si>
  <si>
    <t>001920</t>
  </si>
  <si>
    <t>001921</t>
  </si>
  <si>
    <t>001922</t>
  </si>
  <si>
    <t>001923</t>
  </si>
  <si>
    <t>001924</t>
  </si>
  <si>
    <t>001925</t>
  </si>
  <si>
    <t>Oprawa hermetyczna LED CORTEZ 18W 4000K IP65 LED2B</t>
  </si>
  <si>
    <t>003671</t>
  </si>
  <si>
    <t>001926</t>
  </si>
  <si>
    <t>Oprawa hermetyczna LED CORTEZ 36W 4000K IP65 LED2B</t>
  </si>
  <si>
    <t>003672</t>
  </si>
  <si>
    <t>001927</t>
  </si>
  <si>
    <t>Oprawa hermetyczna LED CORTEZ 48W 4000K IP65 LED2B</t>
  </si>
  <si>
    <t>003673</t>
  </si>
  <si>
    <t>Oprawa kanałowa SOMA PC 1xE27 60 siatka metal Kobi</t>
  </si>
  <si>
    <t>001947</t>
  </si>
  <si>
    <t>Oprawy techniczne</t>
  </si>
  <si>
    <t>Oprawa kanałowa SOMA PC 1xE27 60 siatka plastik Kobi</t>
  </si>
  <si>
    <t>001948</t>
  </si>
  <si>
    <t>Oprawa kanałowa SOMA PC 1xE27 100 siatka metal Kobi</t>
  </si>
  <si>
    <t>001945</t>
  </si>
  <si>
    <t>Plafon ROMERO 2xE27 chrom Kobi</t>
  </si>
  <si>
    <t>001942</t>
  </si>
  <si>
    <t>Oprawa kanałowa SOMA PC 1xE27 100 siatka plastik Kobi</t>
  </si>
  <si>
    <t>001946</t>
  </si>
  <si>
    <t>001943</t>
  </si>
  <si>
    <t>Plafon ROMERO 2xE27 czarna Kobi</t>
  </si>
  <si>
    <t>001944</t>
  </si>
  <si>
    <t>Plafon SAMIRA B 2xE27 chrom Kobi</t>
  </si>
  <si>
    <t>001949</t>
  </si>
  <si>
    <t>Plafon SAMIRA S 2xE27 chrom Kobi</t>
  </si>
  <si>
    <t>001951</t>
  </si>
  <si>
    <t>Plafon SAMIRA S 2xE27 czarny Kobi</t>
  </si>
  <si>
    <t>001952</t>
  </si>
  <si>
    <t>Plafon WEGA PC 1xE27 biała Kobi</t>
  </si>
  <si>
    <t>001953</t>
  </si>
  <si>
    <t>Oprawa liniowa LED KOLINE K2 20W  3CCT  czarna Kobi Pro</t>
  </si>
  <si>
    <t>003710</t>
  </si>
  <si>
    <t>Oprawa liniowa LED KOLINE K2 30W  3CCT  UGR&lt;19 biała Kobi Pro</t>
  </si>
  <si>
    <t>003713</t>
  </si>
  <si>
    <t>Oprawa liniowa LED KOLINE K2 30W  3CCT  UGR&lt;19 czarna Kobi Pro</t>
  </si>
  <si>
    <t>003714</t>
  </si>
  <si>
    <t>Oprawa liniowa LED KOLINE K2 40W  3CCT  biała Kobi Pro</t>
  </si>
  <si>
    <t>003711</t>
  </si>
  <si>
    <t>Oprawa meblowa LED CORREA 3,4W 3000K LX Kobi</t>
  </si>
  <si>
    <t>001984</t>
  </si>
  <si>
    <t>Meblowe</t>
  </si>
  <si>
    <t>Oprawa meblowa LED CLICK 1,5W CCT Kobi Premium</t>
  </si>
  <si>
    <t>001986</t>
  </si>
  <si>
    <t>Oprawa meblowa LED WL 8W 3CCT Kobi</t>
  </si>
  <si>
    <t>003831</t>
  </si>
  <si>
    <t>Oprawa najazdowa ENTRADA 1 1xGU10 kwadrat Kobi</t>
  </si>
  <si>
    <t>002332</t>
  </si>
  <si>
    <t>Oprawa najazdowa ENTRADA 2 1xGU10 okragła Kobi</t>
  </si>
  <si>
    <t>002333</t>
  </si>
  <si>
    <t>Pierścień ozdobny OH14 biały Kobi</t>
  </si>
  <si>
    <t>002034</t>
  </si>
  <si>
    <t>Oprawa najazdowa INGRESS 1xGU10 kwadratowa IP67 LED2B</t>
  </si>
  <si>
    <t>002243</t>
  </si>
  <si>
    <t>Pierścień ozdobny OH14 chrom Kobi</t>
  </si>
  <si>
    <t>002035</t>
  </si>
  <si>
    <t>Oprawa najazdowa INGRESS 1xGU10 okrągła IP67 LED2B</t>
  </si>
  <si>
    <t>002242</t>
  </si>
  <si>
    <t>Pierścień ozdobny OH14 mat chrom Kobi</t>
  </si>
  <si>
    <t>002037</t>
  </si>
  <si>
    <t>Pierścień ozdobny OH14 mat czarny Kobi</t>
  </si>
  <si>
    <t>002038</t>
  </si>
  <si>
    <t>Pierścień ozdobny OH14 patyna Kobi</t>
  </si>
  <si>
    <t>002039</t>
  </si>
  <si>
    <t>Pierścień ozdobny OH15 biały Kobi</t>
  </si>
  <si>
    <t>002040</t>
  </si>
  <si>
    <t>Pierścień ozdobny OH15 chrom Kobi</t>
  </si>
  <si>
    <t>002041</t>
  </si>
  <si>
    <t>Pierścień ozdobny OH15 mat chrom Kobi</t>
  </si>
  <si>
    <t>002043</t>
  </si>
  <si>
    <t>Pierścień ozdobny OH15 mat czarny Kobi</t>
  </si>
  <si>
    <t>002044</t>
  </si>
  <si>
    <t>Pierścień ozdobny OH15 patyna Kobi</t>
  </si>
  <si>
    <t>002046</t>
  </si>
  <si>
    <t>Pierścień ozdobny OH21 chrom Kobi</t>
  </si>
  <si>
    <t>002051</t>
  </si>
  <si>
    <t>Pierścień ozdobny OH21 czarny Kobi</t>
  </si>
  <si>
    <t>002052</t>
  </si>
  <si>
    <t>Pierścień ozdobny OH228 czarny Kobi</t>
  </si>
  <si>
    <t>002056</t>
  </si>
  <si>
    <t>Pierścień ozdobny OH26 czarny Kobi</t>
  </si>
  <si>
    <t>002064</t>
  </si>
  <si>
    <t>Pierścień ozdobny OH26N przeźroczysty Kobi</t>
  </si>
  <si>
    <t>002065</t>
  </si>
  <si>
    <t>Pierścień ozdobny OH26N czarny Kobi</t>
  </si>
  <si>
    <t>002066</t>
  </si>
  <si>
    <t>Pierścień ozdobny OH27 czarny Kobi</t>
  </si>
  <si>
    <t>002068</t>
  </si>
  <si>
    <t>Pierścień ozdobny OH27N przeźroczysty Kobi</t>
  </si>
  <si>
    <t>002069</t>
  </si>
  <si>
    <t>Pierścień ozdobny OH27N czarny Kobi</t>
  </si>
  <si>
    <t>002070</t>
  </si>
  <si>
    <t>Pierścień ozdobny OH28 chrom Kobi</t>
  </si>
  <si>
    <t>002071</t>
  </si>
  <si>
    <t>Pierścień ozdobny OH28 czarny Kobi</t>
  </si>
  <si>
    <t>002072</t>
  </si>
  <si>
    <t>Pierścień ozdobny OH28 mat biały Kobi</t>
  </si>
  <si>
    <t>002073</t>
  </si>
  <si>
    <t>Pierścień ozdobny OH28 mat czarny Kobi</t>
  </si>
  <si>
    <t>002074</t>
  </si>
  <si>
    <t>Pierścień ozdobny OH29 chrom Kobi</t>
  </si>
  <si>
    <t>002075</t>
  </si>
  <si>
    <t>Pierścień ozdobny OH29 czarny Kobi</t>
  </si>
  <si>
    <t>002076</t>
  </si>
  <si>
    <t>Pierścień ozdobny OH29 mat biały Kobi</t>
  </si>
  <si>
    <t>002077</t>
  </si>
  <si>
    <t>Pierścień ozdobny OH29 mat czarny Kobi</t>
  </si>
  <si>
    <t>002078</t>
  </si>
  <si>
    <t>Oprawka halogenowa OH33 biały Kobi</t>
  </si>
  <si>
    <t>002081</t>
  </si>
  <si>
    <t>Pierścień ozdobny OH34 IP44 chrom Kobi</t>
  </si>
  <si>
    <t>002083</t>
  </si>
  <si>
    <t>Pierścień ozdobny OH34 IP44 mat czarny Kobi</t>
  </si>
  <si>
    <t>002085</t>
  </si>
  <si>
    <t>Oprawka porcelanowa z blaszką K003 E27 Kobi</t>
  </si>
  <si>
    <t>002369</t>
  </si>
  <si>
    <t>Osłona do LED ANICA 100W Kobi</t>
  </si>
  <si>
    <t>003680</t>
  </si>
  <si>
    <t>Pierścień ozdobny OH50 czarny Kobi</t>
  </si>
  <si>
    <t>002116</t>
  </si>
  <si>
    <t>Osłona do LED ANICA 150W Kobi</t>
  </si>
  <si>
    <t>003681</t>
  </si>
  <si>
    <t>Pierścień ozdobny OH51 przeźroczysty Kobi</t>
  </si>
  <si>
    <t>002117</t>
  </si>
  <si>
    <t>Osłona do LED ANICA 200W Kobi</t>
  </si>
  <si>
    <t>003682</t>
  </si>
  <si>
    <t>Osłona do NEO 150W/200W Kobi Pro</t>
  </si>
  <si>
    <t>002772</t>
  </si>
  <si>
    <t>Panel LED CAPRI G2 25-36-40W 60x60 3CCT IP44 Kobi Pro</t>
  </si>
  <si>
    <t>003821</t>
  </si>
  <si>
    <t>Panel LED CAPRI G2 25-36-40W 60x60 3CCT IP44 UGR&lt;19 Kobi Pro</t>
  </si>
  <si>
    <t>003822</t>
  </si>
  <si>
    <t>Pilot do czujnika ruchu ZHAGA HD05R</t>
  </si>
  <si>
    <t>002345</t>
  </si>
  <si>
    <t>Programator PC24 Kobi</t>
  </si>
  <si>
    <t>002350</t>
  </si>
  <si>
    <t>Ramka 45mm do panelu LED 30x60 klik Kobi</t>
  </si>
  <si>
    <t>001786</t>
  </si>
  <si>
    <t>Ramka 45mm do panelu LED 30x120 klik Kobi</t>
  </si>
  <si>
    <t>001785</t>
  </si>
  <si>
    <t>Ramka 45mm do panelu LED 60x60 klik Kobi</t>
  </si>
  <si>
    <t>001787</t>
  </si>
  <si>
    <t>Ramka 63mm do panelu LED 30x120 klik Kobi</t>
  </si>
  <si>
    <t>001782</t>
  </si>
  <si>
    <t>Ramka 63mm do panelu LED 60x60 klik Kobi</t>
  </si>
  <si>
    <t>001783</t>
  </si>
  <si>
    <t>Ramka 70mm do panelu LED 60x60 klik Kobi</t>
  </si>
  <si>
    <t>001780</t>
  </si>
  <si>
    <t>Reflektor szynowy 3-obwodowy NEXTRACK S-LINE 1xGU10 biały Kobi</t>
  </si>
  <si>
    <t>001729</t>
  </si>
  <si>
    <t>Oprawy na szynoprzewód</t>
  </si>
  <si>
    <t>Reflektor szynowy 3-obwodowy NEXTRACK S-LINE 1xGU10 czarny Kobi</t>
  </si>
  <si>
    <t>001730</t>
  </si>
  <si>
    <t>Reflektor szynowy LED NEXTRACK CORE 10W 3CCT 36° biały Kobi Pro</t>
  </si>
  <si>
    <t>001720</t>
  </si>
  <si>
    <t>Reflektor szynowy LED NEXTRACK CORE 10W 3CCT 36° czarny Kobi Pro</t>
  </si>
  <si>
    <t>001721</t>
  </si>
  <si>
    <t>Reflektor szynowy LED NEXTRACK CORE 20W 3CCT 36° biały Kobi Pro</t>
  </si>
  <si>
    <t>001722</t>
  </si>
  <si>
    <t>Reflektor szynowy LED NEXTRACK CORE 20W 3CCT 36° czarny Kobi Pro</t>
  </si>
  <si>
    <t>001723</t>
  </si>
  <si>
    <t>Reflektor szynowy LED NEXTRACK CORE 35W 3CCT 36° biały Kobi Pro</t>
  </si>
  <si>
    <t>001724</t>
  </si>
  <si>
    <t>Reflektor szynowy LED NEXTRACK CORE 35W 3CCT 36° czarny Kobi Pro</t>
  </si>
  <si>
    <t>001725</t>
  </si>
  <si>
    <t>001824</t>
  </si>
  <si>
    <t>001825</t>
  </si>
  <si>
    <t>001826</t>
  </si>
  <si>
    <t>001827</t>
  </si>
  <si>
    <t>001828</t>
  </si>
  <si>
    <t>001829</t>
  </si>
  <si>
    <t>Słup BASE SG 3m Fi 60mm Kobi</t>
  </si>
  <si>
    <t>003691</t>
  </si>
  <si>
    <t>Słup BASE SG 4m Fi 60mm Kobi</t>
  </si>
  <si>
    <t>003692</t>
  </si>
  <si>
    <t>Słupek ogrodowy QUAZAR 12 1xGU10 IP44 czarny Kobi</t>
  </si>
  <si>
    <t>002267</t>
  </si>
  <si>
    <t>Słupek ogrodowy QUAZAR 12 1xGU10 IP44 szary Kobi</t>
  </si>
  <si>
    <t>002268</t>
  </si>
  <si>
    <t>Słupek ogrodowy QUAZAR 15S 1xGU10 IP44 czarny Kobi</t>
  </si>
  <si>
    <t>002276</t>
  </si>
  <si>
    <t>Słupek ogrodowy QUAZAR 15S 1xGU10 IP44 szary Kobi</t>
  </si>
  <si>
    <t>002277</t>
  </si>
  <si>
    <t>Słupek ogrodowy solar LED FUSION 6500K IP44 12-pak LED2B</t>
  </si>
  <si>
    <t>002237</t>
  </si>
  <si>
    <t>Słupek ogrodowy solar LED LANCE 6000K IP44 LED2B</t>
  </si>
  <si>
    <t>002246</t>
  </si>
  <si>
    <t>Słupek ogrodowy solar LED SPIKE 6500K IP44 LED2B</t>
  </si>
  <si>
    <t>002311</t>
  </si>
  <si>
    <t>Słupek ogrodowy solar LED ZEN 6000K IP44 10-pak LED2B</t>
  </si>
  <si>
    <t>002319</t>
  </si>
  <si>
    <t>Słupek ogrodowy TEVIO S 1xE27 IP54 czarny LED2B</t>
  </si>
  <si>
    <t>003703</t>
  </si>
  <si>
    <t>Starter do LED T8 Kobi</t>
  </si>
  <si>
    <t>002401</t>
  </si>
  <si>
    <t>Sterownik LED ST06FP 5-24V 6A z pilotem Kobi</t>
  </si>
  <si>
    <t>002403</t>
  </si>
  <si>
    <t>Szynoprzewód 3-obwodowy 1m biały Kobi</t>
  </si>
  <si>
    <t>003657</t>
  </si>
  <si>
    <t>Szynoprzewód 3-obwodowy 1m czarny Kobi</t>
  </si>
  <si>
    <t>003658</t>
  </si>
  <si>
    <t>Szynoprzewód 3-obwodowy 2m biały Kobi</t>
  </si>
  <si>
    <t>002830</t>
  </si>
  <si>
    <t>Szynoprzewód 3-obwodowy 2m czarny Kobi</t>
  </si>
  <si>
    <t>002831</t>
  </si>
  <si>
    <t>Ściemniacz LED SC02DP 5-24V 6A z pilotem Kobi</t>
  </si>
  <si>
    <t>002387</t>
  </si>
  <si>
    <t>Tuby LED T8</t>
  </si>
  <si>
    <t>Świetlówka LED T8 9W 60CM 4000K LED2B RED</t>
  </si>
  <si>
    <t>001318</t>
  </si>
  <si>
    <t>Świetlówka LED T8 9W 60CM 6500K LED2B RED</t>
  </si>
  <si>
    <t>001320</t>
  </si>
  <si>
    <t>Świetlówka LED T8 18W 120CM 4000K LED2B RED</t>
  </si>
  <si>
    <t>001309</t>
  </si>
  <si>
    <t>Świetlówka LED T8 18W 120CM 6500K LED2B RED</t>
  </si>
  <si>
    <t>001310</t>
  </si>
  <si>
    <t>Świetlówka LED T8 22W 150CM 4000K LED2B RED</t>
  </si>
  <si>
    <t>001313</t>
  </si>
  <si>
    <t>Świetlówka LED T8 22W 150CM 6500K LED2B RED</t>
  </si>
  <si>
    <t>001315</t>
  </si>
  <si>
    <t>Świetlówka LED T8 G2 9W 60cm 4000K Kobi Premium</t>
  </si>
  <si>
    <t>003924</t>
  </si>
  <si>
    <t>Świetlówka LED T8 G2 9W 60cm 6500K Kobi Premium</t>
  </si>
  <si>
    <t>003925</t>
  </si>
  <si>
    <t>Świetlówka LED T8 G2 18W 120cm 3000K Kobi Premium</t>
  </si>
  <si>
    <t>003926</t>
  </si>
  <si>
    <t>Świetlówka LED T8 G2 18W 120cm 4000K Kobi Premium</t>
  </si>
  <si>
    <t>003927</t>
  </si>
  <si>
    <t>Świetlówka LED T8 G2 18W 120cm 6500K Kobi Premium</t>
  </si>
  <si>
    <t>003928</t>
  </si>
  <si>
    <t>Świetlówka LED T8 G2 22W 150cm 4000K Kobi Premium</t>
  </si>
  <si>
    <t>003929</t>
  </si>
  <si>
    <t>Świetlówka LED T8 G2 22W 150cm 6500K Kobi Premium</t>
  </si>
  <si>
    <t>003930</t>
  </si>
  <si>
    <t>001446</t>
  </si>
  <si>
    <t>Taśmy LED</t>
  </si>
  <si>
    <t>001447</t>
  </si>
  <si>
    <t>001448</t>
  </si>
  <si>
    <t>001449</t>
  </si>
  <si>
    <t>001423</t>
  </si>
  <si>
    <t>001420</t>
  </si>
  <si>
    <t>001424</t>
  </si>
  <si>
    <t>001421</t>
  </si>
  <si>
    <t>001425</t>
  </si>
  <si>
    <t>001422</t>
  </si>
  <si>
    <t>Uchwyt do LED RIO PRO 150W Kobi</t>
  </si>
  <si>
    <t>001845</t>
  </si>
  <si>
    <t>Uchwyt do LED RIO PRO 200W Kobi</t>
  </si>
  <si>
    <t>001846</t>
  </si>
  <si>
    <t>003698</t>
  </si>
  <si>
    <t>Uchwyt ścienny BASE SE 500mm Fi 48mm LED2B</t>
  </si>
  <si>
    <t>003689</t>
  </si>
  <si>
    <t>001789</t>
  </si>
  <si>
    <t>001788</t>
  </si>
  <si>
    <t>Uniwersalny uchwyt do High Bay M10 Kobi Pro</t>
  </si>
  <si>
    <t>001558</t>
  </si>
  <si>
    <t>Wkład LED INSERT 5W 3000K mleczny Kobi</t>
  </si>
  <si>
    <t>001239</t>
  </si>
  <si>
    <t>Żarówki LED</t>
  </si>
  <si>
    <t>Wkład LED INSERT 5W 4000K mleczny Kobi</t>
  </si>
  <si>
    <t>001240</t>
  </si>
  <si>
    <t>Wkład LED INSERT 5W 6000K mleczny Kobi</t>
  </si>
  <si>
    <t>001241</t>
  </si>
  <si>
    <t>Wkład LED INSERT 6,5W 3000K mleczny Kobi</t>
  </si>
  <si>
    <t>001242</t>
  </si>
  <si>
    <t>Wkład LED INSERT 6,5W 4000K mleczny Kobi</t>
  </si>
  <si>
    <t>001243</t>
  </si>
  <si>
    <t>Wzmacniacz LED ST07F 5-24V 12A z pilotem Kobi</t>
  </si>
  <si>
    <t>002404</t>
  </si>
  <si>
    <t>002405</t>
  </si>
  <si>
    <t>002410</t>
  </si>
  <si>
    <t>002411</t>
  </si>
  <si>
    <t>Zasilacz do Panelu LED 36W LF-GIF040YS900H</t>
  </si>
  <si>
    <t>001891</t>
  </si>
  <si>
    <t>Zasilacz do Panelu LED 40W LF-GIF040YS1000H</t>
  </si>
  <si>
    <t>001892</t>
  </si>
  <si>
    <t>Zasilacz LF-GSD020YC LIFUD DALI</t>
  </si>
  <si>
    <t>001893</t>
  </si>
  <si>
    <t>Zasilacz LF-GSD040YC DALI Lifud</t>
  </si>
  <si>
    <t>001579</t>
  </si>
  <si>
    <t>Zasilanie do szynoprzewodu 3-obwodowego LEWE białe Kobi</t>
  </si>
  <si>
    <t>002834</t>
  </si>
  <si>
    <t>Zasilanie do szynoprzewodu 3-obwodowego LEWE czarne Kobi</t>
  </si>
  <si>
    <t>002835</t>
  </si>
  <si>
    <t>Zasilanie do szynoprzewodu 3-obwodowego PRAWE białe Kobi</t>
  </si>
  <si>
    <t>002836</t>
  </si>
  <si>
    <t>Zasilanie do szynoprzewodu 3-obwodowego PRAWE czarne Kobi</t>
  </si>
  <si>
    <t>002837</t>
  </si>
  <si>
    <t>Zaślepka do szynoprzewodu 3-obwodowego biała Kobi</t>
  </si>
  <si>
    <t>002832</t>
  </si>
  <si>
    <t>Zaślepka do szynoprzewodu 3-obwodowego czarna Kobi</t>
  </si>
  <si>
    <t>002833</t>
  </si>
  <si>
    <t>Zestaw do zwieszania szynoprzewodu 3-obwodowego biały Kobi</t>
  </si>
  <si>
    <t>002838</t>
  </si>
  <si>
    <t>Zestaw do zwieszania szynoprzewodu 3-obwodowego czarny Kobi</t>
  </si>
  <si>
    <t>002839</t>
  </si>
  <si>
    <t>Zestaw HERMETIC 2x120 + LED T8 18W 4000K IP65 Kobi</t>
  </si>
  <si>
    <t>001599</t>
  </si>
  <si>
    <t>Zestaw HERMETIC 2x120 + LED T8 18W 6500K IP65 Kobi</t>
  </si>
  <si>
    <t>001600</t>
  </si>
  <si>
    <t>003678</t>
  </si>
  <si>
    <t>003679</t>
  </si>
  <si>
    <t>Żarówka do roślin LED PLANTY B 9W E27 1200K czarna Kobi Design</t>
  </si>
  <si>
    <t>001505</t>
  </si>
  <si>
    <t>Żarówka do roślin LED PLANTY FGS 8W E27 1200K Kobi Design</t>
  </si>
  <si>
    <t>001512</t>
  </si>
  <si>
    <t>Żarówka do roślin LED PLANTY W 9W E27 1200K biała Kobi Design</t>
  </si>
  <si>
    <t>001504</t>
  </si>
  <si>
    <t>Kobi 360 Line</t>
  </si>
  <si>
    <t>001134</t>
  </si>
  <si>
    <t>001138</t>
  </si>
  <si>
    <t>001139</t>
  </si>
  <si>
    <t>001145</t>
  </si>
  <si>
    <t>001144</t>
  </si>
  <si>
    <t>001146</t>
  </si>
  <si>
    <t>001149</t>
  </si>
  <si>
    <t>Żarówka LED ES111 15W GU10 4000K Kobi</t>
  </si>
  <si>
    <t>001133</t>
  </si>
  <si>
    <t>Żarówka LED G4 1,5W 3000K Kobi</t>
  </si>
  <si>
    <t>001152</t>
  </si>
  <si>
    <t>Żarówka LED G4 1,5W 4000K Kobi</t>
  </si>
  <si>
    <t>001153</t>
  </si>
  <si>
    <t>Żarówka LED G4 2W 3000K Kobi</t>
  </si>
  <si>
    <t>001158</t>
  </si>
  <si>
    <t>Żarówka LED G4 2W 4000K Kobi</t>
  </si>
  <si>
    <t>001159</t>
  </si>
  <si>
    <t>Żarówka LED G9 3W 3000K Kobi</t>
  </si>
  <si>
    <t>001161</t>
  </si>
  <si>
    <t>Żarówka LED G9 3W 4000K Kobi</t>
  </si>
  <si>
    <t>001162</t>
  </si>
  <si>
    <t>Żarówka LED G9 3W 6000K Kobi</t>
  </si>
  <si>
    <t>001163</t>
  </si>
  <si>
    <t>Żarówka LED G9 4W 3000K Kobi</t>
  </si>
  <si>
    <t>001164</t>
  </si>
  <si>
    <t>Żarówka LED G9 4W 4000K Kobi</t>
  </si>
  <si>
    <t>001165</t>
  </si>
  <si>
    <t>Żarówka LED G9 4W 6000K Kobi</t>
  </si>
  <si>
    <t>001166</t>
  </si>
  <si>
    <t>Żarówka LED G120 24W E27 3000K Kobi</t>
  </si>
  <si>
    <t>001150</t>
  </si>
  <si>
    <t>Żarówka LED G120 24W E27 4000K Kobi</t>
  </si>
  <si>
    <t>001151</t>
  </si>
  <si>
    <t>Żarówka LED GS 7W E27 3000K Kobi</t>
  </si>
  <si>
    <t>001190</t>
  </si>
  <si>
    <t>Żarówka LED GS 7W E27 4000K Kobi</t>
  </si>
  <si>
    <t>001191</t>
  </si>
  <si>
    <t>Żarówka LED GS 7W E27 6000K Kobi</t>
  </si>
  <si>
    <t>001192</t>
  </si>
  <si>
    <t>Żarówka LED GS 7W E27 6500K LED2B</t>
  </si>
  <si>
    <t>001270</t>
  </si>
  <si>
    <t>Żarówka LED GS 8,5W E27 3000K LED2B</t>
  </si>
  <si>
    <t>001271</t>
  </si>
  <si>
    <t>Żarówka LED GS 8,5W E27 4000K LED2B</t>
  </si>
  <si>
    <t>001272</t>
  </si>
  <si>
    <t>Żarówka LED GS 8,5W E27 6500K LED2B</t>
  </si>
  <si>
    <t>001273</t>
  </si>
  <si>
    <t>Żarówka LED GS 10,5W E27 3000K LED2B</t>
  </si>
  <si>
    <t>001254</t>
  </si>
  <si>
    <t>Żarówka LED GS 10,5W E27 4000K LED2B</t>
  </si>
  <si>
    <t>001255</t>
  </si>
  <si>
    <t>Żarówka LED GS 10,5W E27 6500K LED2B</t>
  </si>
  <si>
    <t>001256</t>
  </si>
  <si>
    <t>Żarówka LED GS 10W E27 3000K Kobi</t>
  </si>
  <si>
    <t>001171</t>
  </si>
  <si>
    <t>Żarówka LED GS 10W E27 4000K Kobi</t>
  </si>
  <si>
    <t>001172</t>
  </si>
  <si>
    <t>Żarówka LED GS 10W E27 6000K Kobi</t>
  </si>
  <si>
    <t>001173</t>
  </si>
  <si>
    <t>Żarówka LED GS 13W E27 3000K Kobi</t>
  </si>
  <si>
    <t>001178</t>
  </si>
  <si>
    <t>Żarówka LED GS 13W E27 4000K Kobi</t>
  </si>
  <si>
    <t>001180</t>
  </si>
  <si>
    <t>001181</t>
  </si>
  <si>
    <t>Żarówka LED GS 15W E27 3000K Kobi</t>
  </si>
  <si>
    <t>001182</t>
  </si>
  <si>
    <t>Żarówka LED GS 15W E27 4000K Kobi</t>
  </si>
  <si>
    <t>001184</t>
  </si>
  <si>
    <t>001186</t>
  </si>
  <si>
    <t>Żarówka LED GS 18W E27 3000K Kobi</t>
  </si>
  <si>
    <t>001187</t>
  </si>
  <si>
    <t>Żarówka LED GS 18W E27 4000K Kobi</t>
  </si>
  <si>
    <t>001188</t>
  </si>
  <si>
    <t>Żarówka LED GS 18W E27 6000K Kobi</t>
  </si>
  <si>
    <t>001189</t>
  </si>
  <si>
    <t>Żarówka LED GU10 1W 3000K Kobi</t>
  </si>
  <si>
    <t>001199</t>
  </si>
  <si>
    <t>Żarówka LED GU10 1W 4000K Kobi</t>
  </si>
  <si>
    <t>001200</t>
  </si>
  <si>
    <t>Żarówka LED GU10 1W 6000K Kobi</t>
  </si>
  <si>
    <t>001201</t>
  </si>
  <si>
    <t>Żarówka LED GU10 3W 3000K Kobi Premium</t>
  </si>
  <si>
    <t>001205</t>
  </si>
  <si>
    <t>Żarówka LED GU10 3W 4000K Kobi Premium</t>
  </si>
  <si>
    <t>001206</t>
  </si>
  <si>
    <t>Żarówka LED GU10 3W 6200K Kobi Premium</t>
  </si>
  <si>
    <t>001208</t>
  </si>
  <si>
    <t>Żarówka LED GU10 5W 3000K Kobi</t>
  </si>
  <si>
    <t>001215</t>
  </si>
  <si>
    <t>Żarówka LED GU10 5W 3000K Kobi Premium</t>
  </si>
  <si>
    <t>001216</t>
  </si>
  <si>
    <t>Żarówka LED GU10 5W 4000K  Kobi Premium</t>
  </si>
  <si>
    <t>001218</t>
  </si>
  <si>
    <t>Żarówka LED GU10 5W 4000K Kobi</t>
  </si>
  <si>
    <t>001217</t>
  </si>
  <si>
    <t>Żarówka LED GU10 5W 6000K Kobi</t>
  </si>
  <si>
    <t>001220</t>
  </si>
  <si>
    <t>Żarówka LED GU10 5W 6500K Kobi Premium</t>
  </si>
  <si>
    <t>001221</t>
  </si>
  <si>
    <t>Żarówka LED GU10 7W 3000K Kobi</t>
  </si>
  <si>
    <t>001226</t>
  </si>
  <si>
    <t>Żarówka LED GU10 7W 3000K Kobi Premium</t>
  </si>
  <si>
    <t>001227</t>
  </si>
  <si>
    <t>Żarówka LED GU10 7W 4000K Kobi</t>
  </si>
  <si>
    <t>001228</t>
  </si>
  <si>
    <t>Żarówka LED GU10 7W 4000K Kobi Premium</t>
  </si>
  <si>
    <t>001229</t>
  </si>
  <si>
    <t>Żarówka LED GU10 7W 6000K Kobi</t>
  </si>
  <si>
    <t>001230</t>
  </si>
  <si>
    <t>Żarówka LED GU10 7W 6500K Kobi Premium</t>
  </si>
  <si>
    <t>001231</t>
  </si>
  <si>
    <t>Żarówka LED GU10 8,5W 3000K LED2B</t>
  </si>
  <si>
    <t>003810</t>
  </si>
  <si>
    <t>Żarówka LED GU10 8,5W 4000K LED2B</t>
  </si>
  <si>
    <t>003811</t>
  </si>
  <si>
    <t>Żarówka LED GU10 8,5W 6500K LED2B</t>
  </si>
  <si>
    <t>003812</t>
  </si>
  <si>
    <t>Żarówka LED GU10 9W 3000K Kobi Premium</t>
  </si>
  <si>
    <t>001235</t>
  </si>
  <si>
    <t>Żarówka LED GU10 9W 4000K Kobi Premium</t>
  </si>
  <si>
    <t>001236</t>
  </si>
  <si>
    <t>Żarówka LED GU10 9W 6000K Kobi Premium</t>
  </si>
  <si>
    <t>001237</t>
  </si>
  <si>
    <t>Żarówka LED J78 8W R7S 3000K Kobi</t>
  </si>
  <si>
    <t>001249</t>
  </si>
  <si>
    <t>Żarówka LED J78 8W R7S 4000K Kobi</t>
  </si>
  <si>
    <t>001250</t>
  </si>
  <si>
    <t>Żarówka LED J118 15W R7S 3000K Kobi</t>
  </si>
  <si>
    <t>001246</t>
  </si>
  <si>
    <t>Żarówka LED J118 15W R7S 4000K Kobi</t>
  </si>
  <si>
    <t>001247</t>
  </si>
  <si>
    <t>Żarówka LED MB 4,5W E14 3000K Kobi</t>
  </si>
  <si>
    <t>001325</t>
  </si>
  <si>
    <t>Żarówka LED MB 4,5W E14 4000K Kobi</t>
  </si>
  <si>
    <t>001326</t>
  </si>
  <si>
    <t>Żarówka LED MB 4,5W E14 6000K Kobi</t>
  </si>
  <si>
    <t>001327</t>
  </si>
  <si>
    <t>Żarówka LED MB 4,5W E27 3000K Kobi</t>
  </si>
  <si>
    <t>001334</t>
  </si>
  <si>
    <t>Żarówka LED MB 4,5W E27 4000K Kobi</t>
  </si>
  <si>
    <t>001335</t>
  </si>
  <si>
    <t>Żarówka LED MB 4,5W E27 6000K Kobi</t>
  </si>
  <si>
    <t>001336</t>
  </si>
  <si>
    <t>Żarówka LED MB 6W E14 3000K Kobi</t>
  </si>
  <si>
    <t>001328</t>
  </si>
  <si>
    <t>Żarówka LED MB 6W E14 4000K Kobi</t>
  </si>
  <si>
    <t>001329</t>
  </si>
  <si>
    <t>Żarówka LED MB 6W E14 6000K Kobi</t>
  </si>
  <si>
    <t>001330</t>
  </si>
  <si>
    <t>Żarówka LED MB 6W E27 3000K Kobi</t>
  </si>
  <si>
    <t>001337</t>
  </si>
  <si>
    <t>Żarówka LED MB 6W E27 4000K Kobi</t>
  </si>
  <si>
    <t>001338</t>
  </si>
  <si>
    <t>Żarówka LED MB 6W E27 6000K Kobi</t>
  </si>
  <si>
    <t>001339</t>
  </si>
  <si>
    <t>Żarówka LED MB 7W E14 3000K LED2B</t>
  </si>
  <si>
    <t>001281</t>
  </si>
  <si>
    <t>Żarówka LED MB 7W E27 3000K LED2B</t>
  </si>
  <si>
    <t>001289</t>
  </si>
  <si>
    <t>Żarówka LED MB 8,5W E14 3000K LED2B</t>
  </si>
  <si>
    <t>001284</t>
  </si>
  <si>
    <t>Żarówka LED MB 8,5W E14 4000K LED2B</t>
  </si>
  <si>
    <t>001285</t>
  </si>
  <si>
    <t>Żarówka LED MB 8,5W E14 6500K LED2B</t>
  </si>
  <si>
    <t>001286</t>
  </si>
  <si>
    <t>Żarówka LED MB 8,5W E27 3000K LED2B</t>
  </si>
  <si>
    <t>001292</t>
  </si>
  <si>
    <t>Żarówka LED MB 8,5W E27 4000K LED2B</t>
  </si>
  <si>
    <t>001293</t>
  </si>
  <si>
    <t>Żarówka LED MB 8,5W E27 6500K LED2B</t>
  </si>
  <si>
    <t>001294</t>
  </si>
  <si>
    <t>Żarówka LED MB 9W E14 3000K Kobi Premium</t>
  </si>
  <si>
    <t>001331</t>
  </si>
  <si>
    <t>Żarówka LED MB 9W E14 4000K Kobi Premium</t>
  </si>
  <si>
    <t>001332</t>
  </si>
  <si>
    <t>Żarówka LED MB 9W E14 6000K Kobi Premium</t>
  </si>
  <si>
    <t>001333</t>
  </si>
  <si>
    <t>Żarówka LED MB 9W E27 3000K Kobi Premium</t>
  </si>
  <si>
    <t>001340</t>
  </si>
  <si>
    <t>Żarówka LED MB 9W E27 4000K Kobi Premium</t>
  </si>
  <si>
    <t>001341</t>
  </si>
  <si>
    <t>Żarówka LED MB 9W E27 6000K Kobi Premium</t>
  </si>
  <si>
    <t>001342</t>
  </si>
  <si>
    <t>Żarówka LED MR11 4W GU10 3000K Kobi</t>
  </si>
  <si>
    <t>001322</t>
  </si>
  <si>
    <t>Żarówka LED MR11 4W GU10 4000K Kobi</t>
  </si>
  <si>
    <t>001323</t>
  </si>
  <si>
    <t>Żarówka LED MR11 4W GU10 6000K Kobi</t>
  </si>
  <si>
    <t>001324</t>
  </si>
  <si>
    <t>Żarówka LED R50 5W E14 3000K Kobi</t>
  </si>
  <si>
    <t>001352</t>
  </si>
  <si>
    <t>Żarówka LED R50 5W E14 4000K Kobi</t>
  </si>
  <si>
    <t>001353</t>
  </si>
  <si>
    <t>Żarówka LED R63 8W E27 3000K Kobi</t>
  </si>
  <si>
    <t>001355</t>
  </si>
  <si>
    <t>Żarówka LED R63 8W E27 4000K Kobi</t>
  </si>
  <si>
    <t>001356</t>
  </si>
  <si>
    <t>Żarówka LED ST45 1W E27 2700K LED2B</t>
  </si>
  <si>
    <t>001251</t>
  </si>
  <si>
    <t>Żarówka LED SW 1,5W E14 6000K Kobi</t>
  </si>
  <si>
    <t>001360</t>
  </si>
  <si>
    <t>Żarówka LED SW 3W E14 3000K Kobi</t>
  </si>
  <si>
    <t>001361</t>
  </si>
  <si>
    <t>Żarówka LED SW 4,5W E14 3000K Kobi</t>
  </si>
  <si>
    <t>001362</t>
  </si>
  <si>
    <t>Żarówka LED SW 4,5W E14 4000K Kobi</t>
  </si>
  <si>
    <t>001363</t>
  </si>
  <si>
    <t>Żarówka LED SW 4,5W E14 6000K Kobi</t>
  </si>
  <si>
    <t>001364</t>
  </si>
  <si>
    <t>Żarówka LED SW 6W E14 3000K Kobi</t>
  </si>
  <si>
    <t>001365</t>
  </si>
  <si>
    <t>Żarówka LED SW 6W E14 4000K Kobi</t>
  </si>
  <si>
    <t>001366</t>
  </si>
  <si>
    <t>Żarówka LED SW 6W E14 6000K Kobi</t>
  </si>
  <si>
    <t>001367</t>
  </si>
  <si>
    <t>Żarówka LED SW 6W E27 3000K Kobi</t>
  </si>
  <si>
    <t>001374</t>
  </si>
  <si>
    <t>Żarówka LED SW 6W E27 4000K Kobi</t>
  </si>
  <si>
    <t>001375</t>
  </si>
  <si>
    <t>Żarówka LED SW 6W E27 6000K Kobi</t>
  </si>
  <si>
    <t>001376</t>
  </si>
  <si>
    <t>Żarówka LED SW 7W E27 3000K LED2B</t>
  </si>
  <si>
    <t>001301</t>
  </si>
  <si>
    <t>Żarówka LED SW 7W E27 6500K LED2B</t>
  </si>
  <si>
    <t>001303</t>
  </si>
  <si>
    <t>Żarówka LED SW 8,5W E14 3000K LED2B</t>
  </si>
  <si>
    <t>001298</t>
  </si>
  <si>
    <t>Żarówka LED SW 8,5W E14 4000K LED2B</t>
  </si>
  <si>
    <t>001299</t>
  </si>
  <si>
    <t>Żarówka LED SW 8,5W E14 6500K LED2B</t>
  </si>
  <si>
    <t>001300</t>
  </si>
  <si>
    <t>Żarówka LED SW 8,5W E27 3000K LED2B</t>
  </si>
  <si>
    <t>001304</t>
  </si>
  <si>
    <t>Żarówka LED SW 8,5W E27 4000K LED2B</t>
  </si>
  <si>
    <t>001305</t>
  </si>
  <si>
    <t>Żarówka LED SW 8,5W E27 6500K LED2B</t>
  </si>
  <si>
    <t>001306</t>
  </si>
  <si>
    <t>Żarówka LED SW 9W E14 3000K Kobi Premium</t>
  </si>
  <si>
    <t>001370</t>
  </si>
  <si>
    <t>Żarówka LED SW 9W E14 4000K Kobi Premium</t>
  </si>
  <si>
    <t>001371</t>
  </si>
  <si>
    <t>Żarówka LED SW 9W E14 6000K Kobi Premium</t>
  </si>
  <si>
    <t>001372</t>
  </si>
  <si>
    <t>Żarówka LED SW 9W E27 3000K Kobi Premium</t>
  </si>
  <si>
    <t>001377</t>
  </si>
  <si>
    <t>Żarówka LED SW 9W E27 4000K Kobi Premium</t>
  </si>
  <si>
    <t>001378</t>
  </si>
  <si>
    <t>Żarówka LED SW 9W E27 6000K Kobi Premium</t>
  </si>
  <si>
    <t>001379</t>
  </si>
  <si>
    <t>Żarówka LED T 2W E14 4000K Kobi</t>
  </si>
  <si>
    <t>001388</t>
  </si>
  <si>
    <t>Żarówka LED T 4,2W E14 4000K Kobi</t>
  </si>
  <si>
    <t>001389</t>
  </si>
  <si>
    <t>Żarówka LED GS 9W E27 3000K LX Kobi Premium</t>
  </si>
  <si>
    <t>001195</t>
  </si>
  <si>
    <t>Żarówka LED GS 9W E27 4000K LX Kobi Premium</t>
  </si>
  <si>
    <t>001197</t>
  </si>
  <si>
    <t>Żarówka LED GS 9W E27 6500K LX Kobi Premium</t>
  </si>
  <si>
    <t>001198</t>
  </si>
  <si>
    <t>Oprawa liniowa LED NEXLINE1 31W P Kobi Pro</t>
  </si>
  <si>
    <t>000051</t>
  </si>
  <si>
    <t>JVS</t>
  </si>
  <si>
    <t>DECORO C-0001R</t>
  </si>
  <si>
    <t>000867</t>
  </si>
  <si>
    <t>Lampa podłogowa BOHO BONN ST 1xE27 Kobi Design</t>
  </si>
  <si>
    <t>001466</t>
  </si>
  <si>
    <t>Lampka biurkowa BOHO BONN MINI 1xE27 Kobi Design</t>
  </si>
  <si>
    <t>001467</t>
  </si>
  <si>
    <t>Lampka biurkowa BOHO BONN ST MINI 1xE27 Kobi Design</t>
  </si>
  <si>
    <t>001468</t>
  </si>
  <si>
    <t>Lampa wisząca BOHO BERN M 1xE27 Kobi Design</t>
  </si>
  <si>
    <t>001476</t>
  </si>
  <si>
    <t>Lampa wisząca BOHO BOSU 1xE27 Kobi Design</t>
  </si>
  <si>
    <t>001481</t>
  </si>
  <si>
    <t>Lampa wisząca BOHO RENNI N 1xE27 Kobi Design</t>
  </si>
  <si>
    <t>001484</t>
  </si>
  <si>
    <t>Lampa wisząca BOHO BAYOS 1xE27 Kobi Design</t>
  </si>
  <si>
    <t>001485</t>
  </si>
  <si>
    <t>Lampa wisząca BOHO BARSO 1xE27 Kobi Design</t>
  </si>
  <si>
    <t>001487</t>
  </si>
  <si>
    <t>001489</t>
  </si>
  <si>
    <t>001493</t>
  </si>
  <si>
    <t>001495</t>
  </si>
  <si>
    <t>Kinkiet BOHO SIBU WALL 1xE27 Kobi Design</t>
  </si>
  <si>
    <t>001496</t>
  </si>
  <si>
    <t>Lampka biurkowa BOHO SIMBU LS 1xE27 Kobi Design</t>
  </si>
  <si>
    <t>001498</t>
  </si>
  <si>
    <t>Lampka biurkowa BOHO SIBU ST 1xE27 Kobi Design</t>
  </si>
  <si>
    <t>001500</t>
  </si>
  <si>
    <t>001503</t>
  </si>
  <si>
    <t>Kinkiet CURVE-36 1xR7s JVS</t>
  </si>
  <si>
    <t>001982</t>
  </si>
  <si>
    <t>Downlight ESF-001-R 1xGU10 mat chrom JVS</t>
  </si>
  <si>
    <t>002022</t>
  </si>
  <si>
    <t>Pierścień ozdobny OH20 czarny Kobi</t>
  </si>
  <si>
    <t>002050</t>
  </si>
  <si>
    <t>Pierścień ozdobny OH228 chrom Kobi</t>
  </si>
  <si>
    <t>002055</t>
  </si>
  <si>
    <t>Kinkiet ogrodowy QUAZAR 8 1xGU10 IP44 czarny Kobi</t>
  </si>
  <si>
    <t>002289</t>
  </si>
  <si>
    <t>Kinkiet ogrodowy QUAZAR 8 1xGU10 IP44 szary Kobi</t>
  </si>
  <si>
    <t>002290</t>
  </si>
  <si>
    <t>Kinkiet ogrodowy QUAZAR 9 2xGU10 IP44 czarny Kobi</t>
  </si>
  <si>
    <t>002291</t>
  </si>
  <si>
    <t>Lampka biurkowa BOHO BITAVIA MINI 1xE27 Kobi Design</t>
  </si>
  <si>
    <t>001479</t>
  </si>
  <si>
    <t>Lampa wisząca BOHO BONTI 1xE27 Kobi Design</t>
  </si>
  <si>
    <t>001482</t>
  </si>
  <si>
    <t>Lampa wisząca BOHO BINDUM 1xE27 Kobi Design</t>
  </si>
  <si>
    <t>001483</t>
  </si>
  <si>
    <t>Lampa wisząca BOHO BANDIGO 1xE27 Kobi Design</t>
  </si>
  <si>
    <t>001486</t>
  </si>
  <si>
    <t>Lampa wisząca BOHO BEMIDI M 1xE27 Kobi Design</t>
  </si>
  <si>
    <t>001491</t>
  </si>
  <si>
    <t>001494</t>
  </si>
  <si>
    <t>Lampka biurkowa BOHO SIMBU HS 1xE27 Kobi Design</t>
  </si>
  <si>
    <t>001497</t>
  </si>
  <si>
    <t>Lampa wisząca BOHO SILVON 1xE27 Kobi Design</t>
  </si>
  <si>
    <t>001499</t>
  </si>
  <si>
    <t>Oprawa drogowa Solar LED URBI 11W 6500K IP54 LED2B</t>
  </si>
  <si>
    <t>003688</t>
  </si>
  <si>
    <t>Kinkiet ogrodowy LED LENTERO 12W 4000K LX IP54 czarny LED2B</t>
  </si>
  <si>
    <t>003705</t>
  </si>
  <si>
    <t>Oprawa liniowa hermetyczna LED HPL2 90W IP65 120° Kobi Pro</t>
  </si>
  <si>
    <t>004134</t>
  </si>
  <si>
    <t>E</t>
  </si>
  <si>
    <t>szt</t>
  </si>
  <si>
    <t>5 lat</t>
  </si>
  <si>
    <t>nie dotyczy</t>
  </si>
  <si>
    <t>F</t>
  </si>
  <si>
    <t>C</t>
  </si>
  <si>
    <t>2 lata</t>
  </si>
  <si>
    <t>3 lata</t>
  </si>
  <si>
    <t>G</t>
  </si>
  <si>
    <t>B</t>
  </si>
  <si>
    <t>7 lat</t>
  </si>
  <si>
    <t>D</t>
  </si>
  <si>
    <t>5902201391404</t>
  </si>
  <si>
    <t>5902201391442</t>
  </si>
  <si>
    <t>5902201382334</t>
  </si>
  <si>
    <t>5902201382327</t>
  </si>
  <si>
    <t>5902201391428</t>
  </si>
  <si>
    <t>5902201391435</t>
  </si>
  <si>
    <t>5902201391374</t>
  </si>
  <si>
    <t>5902201391350</t>
  </si>
  <si>
    <t>5902201391367</t>
  </si>
  <si>
    <t>kpl</t>
  </si>
  <si>
    <t>5902201390940</t>
  </si>
  <si>
    <t>5902201390957</t>
  </si>
  <si>
    <t>5902201381696</t>
  </si>
  <si>
    <t>5902201381825</t>
  </si>
  <si>
    <t>5902201381849</t>
  </si>
  <si>
    <t>5902201381733</t>
  </si>
  <si>
    <t>5902201381559</t>
  </si>
  <si>
    <t>5902201381610</t>
  </si>
  <si>
    <t>5902201381498</t>
  </si>
  <si>
    <t>5902201381504</t>
  </si>
  <si>
    <t>5902201381535</t>
  </si>
  <si>
    <t>5902201381542</t>
  </si>
  <si>
    <t>5902201381511</t>
  </si>
  <si>
    <t>5902201381528</t>
  </si>
  <si>
    <t>5902201382341</t>
  </si>
  <si>
    <t>5902201391381</t>
  </si>
  <si>
    <t>5902201393583</t>
  </si>
  <si>
    <t>5902201393576</t>
  </si>
  <si>
    <t>5902201393538</t>
  </si>
  <si>
    <t>5902201393545</t>
  </si>
  <si>
    <t>5902201393514</t>
  </si>
  <si>
    <t>5902201393521</t>
  </si>
  <si>
    <t>5902201380729</t>
  </si>
  <si>
    <t>5902201390919</t>
  </si>
  <si>
    <t>5902201390926</t>
  </si>
  <si>
    <t>5902201389241</t>
  </si>
  <si>
    <t>5902201390858</t>
  </si>
  <si>
    <t>5902201393460</t>
  </si>
  <si>
    <t>5902201393491</t>
  </si>
  <si>
    <t>5902201393507</t>
  </si>
  <si>
    <t>5902201393477</t>
  </si>
  <si>
    <t>5902201397888</t>
  </si>
  <si>
    <t>5900605095744</t>
  </si>
  <si>
    <t>5902201389265</t>
  </si>
  <si>
    <t>5902846011385</t>
  </si>
  <si>
    <t>5902201389272</t>
  </si>
  <si>
    <t>5902201389289</t>
  </si>
  <si>
    <t>5902201396324</t>
  </si>
  <si>
    <t>5902201396331</t>
  </si>
  <si>
    <t>5902201389128</t>
  </si>
  <si>
    <t>5902201389135</t>
  </si>
  <si>
    <t>5902201389142</t>
  </si>
  <si>
    <t>5902201389159</t>
  </si>
  <si>
    <t>5902201389166</t>
  </si>
  <si>
    <t>5902201389173</t>
  </si>
  <si>
    <t>5902201389180</t>
  </si>
  <si>
    <t>5902201389197</t>
  </si>
  <si>
    <t>5902201389203</t>
  </si>
  <si>
    <t>5902201389210</t>
  </si>
  <si>
    <t>5902201389227</t>
  </si>
  <si>
    <t>5902201389234</t>
  </si>
  <si>
    <t>5902201390896</t>
  </si>
  <si>
    <t>5902201390902</t>
  </si>
  <si>
    <t>5902201391398</t>
  </si>
  <si>
    <t>5902201384390</t>
  </si>
  <si>
    <t>5902201384406</t>
  </si>
  <si>
    <t>5902201396683</t>
  </si>
  <si>
    <t>5902201396690</t>
  </si>
  <si>
    <t>5907178000809</t>
  </si>
  <si>
    <t>5902201396706</t>
  </si>
  <si>
    <t>5902201396713</t>
  </si>
  <si>
    <t>5902201396720</t>
  </si>
  <si>
    <t>5902201396737</t>
  </si>
  <si>
    <t>5902201391343</t>
  </si>
  <si>
    <t>5902201390872</t>
  </si>
  <si>
    <t>5902201364606</t>
  </si>
  <si>
    <t>5902201387537</t>
  </si>
  <si>
    <t>5902201387544</t>
  </si>
  <si>
    <t>5902201394955</t>
  </si>
  <si>
    <t>5902201394962</t>
  </si>
  <si>
    <t>5902201394979</t>
  </si>
  <si>
    <t>4260379589964</t>
  </si>
  <si>
    <t>5902201381443</t>
  </si>
  <si>
    <t>5902201381467</t>
  </si>
  <si>
    <t>5902201381474</t>
  </si>
  <si>
    <t>5902201381566</t>
  </si>
  <si>
    <t>5902201381627</t>
  </si>
  <si>
    <t>5902201381658</t>
  </si>
  <si>
    <t>5902201381665</t>
  </si>
  <si>
    <t>5902201381689</t>
  </si>
  <si>
    <t>5902201381702</t>
  </si>
  <si>
    <t>5902201381740</t>
  </si>
  <si>
    <t>5902201381764</t>
  </si>
  <si>
    <t>5902201381771</t>
  </si>
  <si>
    <t>5902201381795</t>
  </si>
  <si>
    <t>5902201381818</t>
  </si>
  <si>
    <t>5902201381863</t>
  </si>
  <si>
    <t>4260379586765</t>
  </si>
  <si>
    <t>4251292406766</t>
  </si>
  <si>
    <t>5900605093634</t>
  </si>
  <si>
    <t>5900605094778</t>
  </si>
  <si>
    <t>5900605097380</t>
  </si>
  <si>
    <t>5900605097397</t>
  </si>
  <si>
    <t>5902201381597</t>
  </si>
  <si>
    <t>5902201381634</t>
  </si>
  <si>
    <t>5902201381641</t>
  </si>
  <si>
    <t>5902201381672</t>
  </si>
  <si>
    <t>5902201381726</t>
  </si>
  <si>
    <t>5902201381757</t>
  </si>
  <si>
    <t>5902201381788</t>
  </si>
  <si>
    <t>5902201381801</t>
  </si>
  <si>
    <t>5902201390865</t>
  </si>
  <si>
    <t>5902201391411</t>
  </si>
  <si>
    <t>Panel LED DAVRO 40W 60x60 4000K Kobi</t>
  </si>
  <si>
    <t>003826</t>
  </si>
  <si>
    <t>Panel LED NELIO G2 36W 60x60 4000K Kobi Pro</t>
  </si>
  <si>
    <t>003827</t>
  </si>
  <si>
    <t>003829</t>
  </si>
  <si>
    <t>5902201396379</t>
  </si>
  <si>
    <t>5902201396386</t>
  </si>
  <si>
    <t>5902201396409</t>
  </si>
  <si>
    <t>do wyczerpania zapasów</t>
  </si>
  <si>
    <t>Uwagi</t>
  </si>
  <si>
    <t>Panel LED CAPRI G2 25-36- 40W 30x120 3CCT IP44 Kobi Pro</t>
  </si>
  <si>
    <t>003823</t>
  </si>
  <si>
    <t>Panel LED CAPRI G2 25-36-40W 30x120 3CCT IP44 UGR&lt;19 Kobi Pro</t>
  </si>
  <si>
    <t>003824</t>
  </si>
  <si>
    <t>Panel LED CAPRI G3 25-36-40W 60x60 3CCT IP44 UGR &lt;19 Kobi Pro</t>
  </si>
  <si>
    <t>003825</t>
  </si>
  <si>
    <t>High Bay LED ANICA 150W 4000K IP65 90° Kobi Pro</t>
  </si>
  <si>
    <t>001555</t>
  </si>
  <si>
    <t>High Bay LED ANICA 150W 4000K IP65 120° Kobi Pro</t>
  </si>
  <si>
    <t>001554</t>
  </si>
  <si>
    <t>5902201396348</t>
  </si>
  <si>
    <t>5902201396355</t>
  </si>
  <si>
    <t>5902201396362</t>
  </si>
  <si>
    <t>5902201386240</t>
  </si>
  <si>
    <t>5902201386257</t>
  </si>
  <si>
    <t>Kinkiet ogrodowy QUAZAR 15 1xGU10 LX IP44 czarny Kobi</t>
  </si>
  <si>
    <t>Kinkiet ogrodowy QUAZAR 15 1xGU10 LX IP44 szary Kobi</t>
  </si>
  <si>
    <t>Naświetlacz Solar LED GLOW G2 2,5W 6500K LED2B</t>
  </si>
  <si>
    <t>Naświetlacz LED MHC 10W 4000K IP65 czarny LED2B</t>
  </si>
  <si>
    <t>Naświetlacz LED MHC 30W 6500K IP65 czarny LED2B</t>
  </si>
  <si>
    <t>Oprawa meblowa LED WL 4W 3CCT Kobi</t>
  </si>
  <si>
    <t>003830</t>
  </si>
  <si>
    <t>Oprawa meblowa LED WL 12W 3CCT Kobi</t>
  </si>
  <si>
    <t>003832</t>
  </si>
  <si>
    <t>Oprawa meblowa LED WL 16W 3CCT Kobi</t>
  </si>
  <si>
    <t>003833</t>
  </si>
  <si>
    <t>003817</t>
  </si>
  <si>
    <t>003818</t>
  </si>
  <si>
    <t>003819</t>
  </si>
  <si>
    <t>Łącznik I taśmy LED COB 8mm Kobi</t>
  </si>
  <si>
    <t>003931</t>
  </si>
  <si>
    <t>Łącznik 10 cm taśmy LED COB 8mm Kobi</t>
  </si>
  <si>
    <t>003932</t>
  </si>
  <si>
    <t>Łącznik dwustronny 10 cm taśmy LED COB 8mm Kobi</t>
  </si>
  <si>
    <t>003933</t>
  </si>
  <si>
    <t>Łącznik L taśmy LED COB 8mm Kobi</t>
  </si>
  <si>
    <t>003934</t>
  </si>
  <si>
    <t>Moduł zasilacza montażowy 24V 24W 1,00A</t>
  </si>
  <si>
    <t>004359</t>
  </si>
  <si>
    <t>Moduł zasilacza montażowy 24V 36W 1.50A</t>
  </si>
  <si>
    <t>004360</t>
  </si>
  <si>
    <t>Moduł zasilacza montażowy 24V 60W 2,50A</t>
  </si>
  <si>
    <t>004361</t>
  </si>
  <si>
    <t>Moduł zasilacza montażowy 24V 100W 4,16A</t>
  </si>
  <si>
    <t>004362</t>
  </si>
  <si>
    <t>Moduł zasilacza montażowy 24V 150W 6,25A</t>
  </si>
  <si>
    <t>004363</t>
  </si>
  <si>
    <t>Moduł zasilacza montażowy 24V 200W 8.30A</t>
  </si>
  <si>
    <t>004364</t>
  </si>
  <si>
    <t>Moduł zasilacza montażowy 24V 250W 10,40A</t>
  </si>
  <si>
    <t>004365</t>
  </si>
  <si>
    <t>Moduł zasilacza montażowy 24V 300W 12,50A</t>
  </si>
  <si>
    <t>004366</t>
  </si>
  <si>
    <t>004367</t>
  </si>
  <si>
    <t>004368</t>
  </si>
  <si>
    <t>004369</t>
  </si>
  <si>
    <t>004370</t>
  </si>
  <si>
    <t>004371</t>
  </si>
  <si>
    <t>Zasilacz desktop 24V 24W 1,00A wtyk DC 2,1x5,5</t>
  </si>
  <si>
    <t>004372</t>
  </si>
  <si>
    <t>Zasilacz desktop 24V 60W 2,50A wtyk DC 2,1x5,5</t>
  </si>
  <si>
    <t>004374</t>
  </si>
  <si>
    <t>Zasilacz desktop 24V 96W 4,00A wtyk DC 2,1x5,5</t>
  </si>
  <si>
    <t>Zasilacz desktop 24V 120W 5,00A wtyk DC 2,1x5,5</t>
  </si>
  <si>
    <t>004378</t>
  </si>
  <si>
    <t>5902201397871</t>
  </si>
  <si>
    <t>5902201397895</t>
  </si>
  <si>
    <t>5902201397901</t>
  </si>
  <si>
    <t>5907178001394</t>
  </si>
  <si>
    <t>5907178001400</t>
  </si>
  <si>
    <t>5907178001417</t>
  </si>
  <si>
    <t>5907178001424</t>
  </si>
  <si>
    <t>5907178001431</t>
  </si>
  <si>
    <t>5907178001448</t>
  </si>
  <si>
    <t>5907178001455</t>
  </si>
  <si>
    <t>Naświetlacz LED MHC 10W 6500K IP65 czarny LED2B</t>
  </si>
  <si>
    <t>Naświetlacz LED MH 20W 4000K IP65 czarny LED2B</t>
  </si>
  <si>
    <t>001648</t>
  </si>
  <si>
    <t>Naświetlacz LED MH 30W 4000K IP65 czarny LED2B</t>
  </si>
  <si>
    <t>001653</t>
  </si>
  <si>
    <t>Naświetlacz LED MH 30W 6500K IP65 czarny LED2B</t>
  </si>
  <si>
    <t>001655</t>
  </si>
  <si>
    <t>Naświetlacz LED MH 50W 4000K IP65 czarny LED2B</t>
  </si>
  <si>
    <t>001658</t>
  </si>
  <si>
    <t>Naświetlacz LED MH 50W 6500K IP65 czarny LED2B</t>
  </si>
  <si>
    <t>001660</t>
  </si>
  <si>
    <t>Naświetlacz LED MH 100W 4000K IP65 czarny LED2B</t>
  </si>
  <si>
    <t>001638</t>
  </si>
  <si>
    <t>Naświetlacz LED MH 100W 6500K IP65 czarny LED2B</t>
  </si>
  <si>
    <t>001640</t>
  </si>
  <si>
    <t>Naświetlacz LED MHC 20W 4000K IP65 czarny LED2B</t>
  </si>
  <si>
    <t>001669</t>
  </si>
  <si>
    <t>Naświetlacz LED MHC 20W 6500K IP65 czarny LED2B</t>
  </si>
  <si>
    <t>001671</t>
  </si>
  <si>
    <t>Naświetlacz LED MHC 30W 4000K IP65 czarny LED2B</t>
  </si>
  <si>
    <t>001674</t>
  </si>
  <si>
    <t>Naświetlacz LED MHC 50W 4000K IP65 czarny LED2B</t>
  </si>
  <si>
    <t>001679</t>
  </si>
  <si>
    <t>Naświetlacz LED MHC 50W 6500K IP65 czarny LED2B</t>
  </si>
  <si>
    <t>001681</t>
  </si>
  <si>
    <t>002408</t>
  </si>
  <si>
    <t>003935</t>
  </si>
  <si>
    <t>003936</t>
  </si>
  <si>
    <t>004022</t>
  </si>
  <si>
    <t>004023</t>
  </si>
  <si>
    <t>004024</t>
  </si>
  <si>
    <t>004026</t>
  </si>
  <si>
    <t>004027</t>
  </si>
  <si>
    <t>Lampka biurkowa LED LUSIA 5W biała LED2B</t>
  </si>
  <si>
    <t>004028</t>
  </si>
  <si>
    <t>Lampka biurkowa LED LUSIA 5W czarna LED2B</t>
  </si>
  <si>
    <t>004029</t>
  </si>
  <si>
    <t>004030</t>
  </si>
  <si>
    <t>004032</t>
  </si>
  <si>
    <t>5902201300475</t>
  </si>
  <si>
    <t>5902201300482</t>
  </si>
  <si>
    <t>5902846018179</t>
  </si>
  <si>
    <t>5902201300499</t>
  </si>
  <si>
    <t>5902846018193</t>
  </si>
  <si>
    <t>5902201304251</t>
  </si>
  <si>
    <t>5902846018209</t>
  </si>
  <si>
    <t>5902201300512</t>
  </si>
  <si>
    <t>5902846018247</t>
  </si>
  <si>
    <t>5902201300529</t>
  </si>
  <si>
    <t>5902201300536</t>
  </si>
  <si>
    <t>5902846018285</t>
  </si>
  <si>
    <t>5902479642901</t>
  </si>
  <si>
    <t>5907178002506</t>
  </si>
  <si>
    <t>5907178002513</t>
  </si>
  <si>
    <t>5907178001462</t>
  </si>
  <si>
    <t>5907178001479</t>
  </si>
  <si>
    <t>5907178001486</t>
  </si>
  <si>
    <t>5907178001509</t>
  </si>
  <si>
    <t>5907178001516</t>
  </si>
  <si>
    <t>5907178001523</t>
  </si>
  <si>
    <t>5907178001530</t>
  </si>
  <si>
    <t>5907178001547</t>
  </si>
  <si>
    <t>5907178001561</t>
  </si>
  <si>
    <t>5902479640839</t>
  </si>
  <si>
    <t>5902479641386</t>
  </si>
  <si>
    <t>5902479643281</t>
  </si>
  <si>
    <t>5902479643298</t>
  </si>
  <si>
    <t>5902479643311</t>
  </si>
  <si>
    <t>5902479643304</t>
  </si>
  <si>
    <t>5902479641843</t>
  </si>
  <si>
    <t>5902479641799</t>
  </si>
  <si>
    <t>5902479641805</t>
  </si>
  <si>
    <t>5902479641812</t>
  </si>
  <si>
    <t>5902479641829</t>
  </si>
  <si>
    <t>5902479641836</t>
  </si>
  <si>
    <t>5902479642871</t>
  </si>
  <si>
    <t>5902479641720</t>
  </si>
  <si>
    <t>5902479641737</t>
  </si>
  <si>
    <t>Łącznik L do LED KOLINE K2 biały Kobi Pro</t>
  </si>
  <si>
    <t>003719</t>
  </si>
  <si>
    <t>Łącznik L do LED KOLINE K2 czarny Kobi Pro</t>
  </si>
  <si>
    <t>003720</t>
  </si>
  <si>
    <t>Naświetlacz LED TIGRA PORTABLE 50W 4000K IP54 Kobi</t>
  </si>
  <si>
    <t>003937</t>
  </si>
  <si>
    <t>Naświetlacz LED TIGRA PORTABLE 100W 4000K IP54 Kobi</t>
  </si>
  <si>
    <t>003938</t>
  </si>
  <si>
    <t>Naświetlacz LED TIGRA TRIPOD 2x50W 4000K IP54 Kobi</t>
  </si>
  <si>
    <t>003939</t>
  </si>
  <si>
    <t>Naświetlacz LED TIGRA TRIPOD 2x100W 4000K IP54 Kobi</t>
  </si>
  <si>
    <t>003940</t>
  </si>
  <si>
    <t>Lampka biurkowa LED AURIQ LOUPE 10W 3CCT czarna LED2B</t>
  </si>
  <si>
    <t>Lampka biurkowa LED NOBLITE RGB 7W 3CCT biała LED2B</t>
  </si>
  <si>
    <t>Lampka biurkowa LED NOBLITE RGB 7W 3CCT czarna LED2B</t>
  </si>
  <si>
    <t>Lampka biurkowa LED NOBLITE N 7W 3CCT biała LED2B</t>
  </si>
  <si>
    <t>Lampka biurkowa LED NOBLITE N 7W 3CCT czarna LED2B</t>
  </si>
  <si>
    <t>Lampka biurkowa LED TENUIX 14W 3CCT biała LED2B</t>
  </si>
  <si>
    <t>Lampka biurkowa LED TENUIX 14W 3CCT czarna LED2B</t>
  </si>
  <si>
    <t>Lampka biurkowa LED TENUIX FOLD 20W 3CCT LED2B</t>
  </si>
  <si>
    <t>Taśma LED TRAMO 320 COB 50m 3000K 24V IP20 Kobi Premium</t>
  </si>
  <si>
    <t>Taśma LED TRAMO 320 COB 50m 4000K 24V IP20 Kobi Premium</t>
  </si>
  <si>
    <t>Taśma LED TRAMO 320 COB 50m 6500K 24V IP20 Kobi Premium</t>
  </si>
  <si>
    <t>Zestaw szynoprzewód 1-obwodowy NEXTRACK GO 4xGU10 1m biały Kobi</t>
  </si>
  <si>
    <t>003724</t>
  </si>
  <si>
    <t>Zestaw szynoprzewód 1-obwodowy NEXTRACK GO 4xGU10 1m czarny Kobi</t>
  </si>
  <si>
    <t>003725</t>
  </si>
  <si>
    <t>Łącznik do szynoprzewodu 1-obwodowy I wewnętrzny biały Kobi</t>
  </si>
  <si>
    <t>003726</t>
  </si>
  <si>
    <t>Łącznik do szynoprzewodu 1-obwodowy I wewnętrzny czarny Kobi</t>
  </si>
  <si>
    <t>003727</t>
  </si>
  <si>
    <t>URZĄDZENIA ELEKTRYCZNE</t>
  </si>
  <si>
    <t>WENTYLATORY</t>
  </si>
  <si>
    <t>Kobi Windstar</t>
  </si>
  <si>
    <t>Wentylator wieżowy HOORN 45W czarny Kobi Windstar</t>
  </si>
  <si>
    <t>001433</t>
  </si>
  <si>
    <t>Wentylatory i termowentylatory</t>
  </si>
  <si>
    <t>Wentylator wieżowy VENLO 45W czarny Kobi Windstar</t>
  </si>
  <si>
    <t>001434</t>
  </si>
  <si>
    <t>002418</t>
  </si>
  <si>
    <t>Wentylator wieżowy LISSE 2 ST 45W czarny Kobi Windstar</t>
  </si>
  <si>
    <t>003684</t>
  </si>
  <si>
    <t>Wentylator wieżowy VENLO 2 45W czarny Kobi Windstar</t>
  </si>
  <si>
    <t>003683</t>
  </si>
  <si>
    <t>Termowentylator MISTRAL 2000W biały Kobi Windstar</t>
  </si>
  <si>
    <t>001928</t>
  </si>
  <si>
    <t>Grzejnik konwektorowy SONDO 2000W TURBO biały Kobi Windstar</t>
  </si>
  <si>
    <t>001929</t>
  </si>
  <si>
    <t>Termowentylator ZEFIR 2000W biały Kobi Windstar</t>
  </si>
  <si>
    <t>001931</t>
  </si>
  <si>
    <t>Termowentylator ceramiczny RIN 1500W czarny Kobi Windstar</t>
  </si>
  <si>
    <t>004011</t>
  </si>
  <si>
    <t>Grzejnik konwektorowy SONDO 2000W TURBO czarny Kobi Windstar</t>
  </si>
  <si>
    <t>004033</t>
  </si>
  <si>
    <t>5902201393552</t>
  </si>
  <si>
    <t>5902201393569</t>
  </si>
  <si>
    <t>5907178001578</t>
  </si>
  <si>
    <t>5907178001585</t>
  </si>
  <si>
    <t>5907178001592</t>
  </si>
  <si>
    <t>5907178001608</t>
  </si>
  <si>
    <t>5902201395181</t>
  </si>
  <si>
    <t>5902201395174</t>
  </si>
  <si>
    <t>5902201395198</t>
  </si>
  <si>
    <t>5902201395204</t>
  </si>
  <si>
    <t>5902201370737</t>
  </si>
  <si>
    <t>5902201370744</t>
  </si>
  <si>
    <t>5902201301779</t>
  </si>
  <si>
    <t>5902201390186</t>
  </si>
  <si>
    <t>5902201390179</t>
  </si>
  <si>
    <t>5902201304817</t>
  </si>
  <si>
    <t>5902201308068</t>
  </si>
  <si>
    <t>5902201304800</t>
  </si>
  <si>
    <t>5907178003077</t>
  </si>
  <si>
    <t>5907178003107</t>
  </si>
  <si>
    <t>High Bay LED GRAZA 100W 4000K IP65 90° Kobi</t>
  </si>
  <si>
    <t>003722</t>
  </si>
  <si>
    <t>High Bay LED GRAZA 200W 4000K IP65 90° Kobi</t>
  </si>
  <si>
    <t>003723</t>
  </si>
  <si>
    <t>5902201395150</t>
  </si>
  <si>
    <t>5902201395167</t>
  </si>
  <si>
    <t>Naświetlacz Solar LED MHCS 10W 2CCT IP65 Kobi Premium</t>
  </si>
  <si>
    <t>004003</t>
  </si>
  <si>
    <t>Oprawa hermetyczna HERMIC G2 2x120 IP65 Kobi</t>
  </si>
  <si>
    <t>004005</t>
  </si>
  <si>
    <t>Reflektor szynowy 3-obwodowy NEXTRACK S-LINE N1 1xGU10 biały Kobi</t>
  </si>
  <si>
    <t>004002</t>
  </si>
  <si>
    <t>Reflektor szynowy 3-obwodowy NEXTRACK S-LINE N1 1xGU10 czarny Kobi</t>
  </si>
  <si>
    <t>004001</t>
  </si>
  <si>
    <t>Zasilacz do panelu LED 40W DALI DT8 (LF-GSD040YG) Kobi Pro</t>
  </si>
  <si>
    <t>004169</t>
  </si>
  <si>
    <t>Zasilacz do panelu LED max. 40W 3CCT Kobi Pro</t>
  </si>
  <si>
    <t>004170</t>
  </si>
  <si>
    <t>5907178003022</t>
  </si>
  <si>
    <t>5907178003046</t>
  </si>
  <si>
    <t>5907178003015</t>
  </si>
  <si>
    <t>5907178003008</t>
  </si>
  <si>
    <t>5907178004517</t>
  </si>
  <si>
    <t>5907178004524</t>
  </si>
  <si>
    <t>URZĄDZENIE ELEKTRYCZNE</t>
  </si>
  <si>
    <t>004084</t>
  </si>
  <si>
    <t>Zestaw Tramo Control do taśm COB 12-24V Kobi Premium</t>
  </si>
  <si>
    <t>004116</t>
  </si>
  <si>
    <t>Przedłużacz LINEA PRO XC 3gn+3USB/1USB-C/1,5m/Zu+W biały Kobi</t>
  </si>
  <si>
    <t>004204</t>
  </si>
  <si>
    <t>Przedłużacz LINEA PRO XC 3gn+3USB/1USB-C/1,5m/Zu+W czarny Kobi</t>
  </si>
  <si>
    <t>004205</t>
  </si>
  <si>
    <t>Przedłużacz LINEA PRO XC 3gn+3USB/1USB-C/3m/Zu+W biały Kobi</t>
  </si>
  <si>
    <t>004206</t>
  </si>
  <si>
    <t>Przedłużacz LINEA PRO XC 3gn+3USB/1USB-C/3m/Zu+W czarny Kobi</t>
  </si>
  <si>
    <t>004207</t>
  </si>
  <si>
    <t>Oprawa parkowa Solar LED LUVIA 15W 6500K IP54 LED2B</t>
  </si>
  <si>
    <t>003690</t>
  </si>
  <si>
    <t>Oprawa parkowa Solar LED LUVIA 15W 4000K IP54 LED2B</t>
  </si>
  <si>
    <t>004180</t>
  </si>
  <si>
    <t>004181</t>
  </si>
  <si>
    <t>Żarówka do roślin LED PLANTY W 7W E27 1200K biała Kobi Design</t>
  </si>
  <si>
    <t>004012</t>
  </si>
  <si>
    <t>Żarówka do roślin LED PLANTY B 7W E27 1200K czarna Kobi Design</t>
  </si>
  <si>
    <t>004013</t>
  </si>
  <si>
    <t>Przewód ze sterownikiem LED GROWLY PC3 3m Kobi Design</t>
  </si>
  <si>
    <t>004020</t>
  </si>
  <si>
    <t>Żarówka do roślin LED PLANTY GS 11W E27 1200K Kobi Design</t>
  </si>
  <si>
    <t>004014</t>
  </si>
  <si>
    <t>Lampa do roślin LED VITARO RING 2 CLIP 8W Kobi Design</t>
  </si>
  <si>
    <t>004015</t>
  </si>
  <si>
    <t>Lampa do roślin LED FIRON 45W Kobi Design</t>
  </si>
  <si>
    <t>004016</t>
  </si>
  <si>
    <t>Latarka czołowa LED H-MPR 6000K LED2B</t>
  </si>
  <si>
    <t>004126</t>
  </si>
  <si>
    <t>Latarka LED X-MPR 1 6000K LED2B</t>
  </si>
  <si>
    <t>004127</t>
  </si>
  <si>
    <t>Latarka LED X-MPR 2 6000K LED2B</t>
  </si>
  <si>
    <t>004128</t>
  </si>
  <si>
    <t>Latarka LED  X-MPR 3 6000K LED2B</t>
  </si>
  <si>
    <t>004129</t>
  </si>
  <si>
    <t>Latarka LED X-MPR 4 6000K LED2B</t>
  </si>
  <si>
    <t>004130</t>
  </si>
  <si>
    <t>Latarka LED X-MPR 5 6000K LED2B</t>
  </si>
  <si>
    <t>004131</t>
  </si>
  <si>
    <t>Latarka LED X-MPR 6 6000K LED2B</t>
  </si>
  <si>
    <t>004132</t>
  </si>
  <si>
    <t>Latarenka LED MPR 3000K LED2B</t>
  </si>
  <si>
    <t>004133</t>
  </si>
  <si>
    <t>5907178003886</t>
  </si>
  <si>
    <t>5907178003909</t>
  </si>
  <si>
    <t>5907178004593</t>
  </si>
  <si>
    <t>5907178004609</t>
  </si>
  <si>
    <t>5907178004616</t>
  </si>
  <si>
    <t>5907178004623</t>
  </si>
  <si>
    <t>5902201390889</t>
  </si>
  <si>
    <t>5907178004531</t>
  </si>
  <si>
    <t>5907178004548</t>
  </si>
  <si>
    <t>5907178003114</t>
  </si>
  <si>
    <t>5907178003121</t>
  </si>
  <si>
    <t>5907178003220</t>
  </si>
  <si>
    <t>5907178003152</t>
  </si>
  <si>
    <t>5907178003176</t>
  </si>
  <si>
    <t>5907178003183</t>
  </si>
  <si>
    <t>5907178004401</t>
  </si>
  <si>
    <t>5907178004418</t>
  </si>
  <si>
    <t>5907178004425</t>
  </si>
  <si>
    <t>5907178004432</t>
  </si>
  <si>
    <t>5907178004449</t>
  </si>
  <si>
    <t>5907178004456</t>
  </si>
  <si>
    <t>5907178004463</t>
  </si>
  <si>
    <t>5907178004470</t>
  </si>
  <si>
    <t>004085</t>
  </si>
  <si>
    <t>004082</t>
  </si>
  <si>
    <t>004083</t>
  </si>
  <si>
    <t>004080</t>
  </si>
  <si>
    <t>004081</t>
  </si>
  <si>
    <t>004079</t>
  </si>
  <si>
    <t>5907178003893</t>
  </si>
  <si>
    <t>5907178003862</t>
  </si>
  <si>
    <t>5907178003879</t>
  </si>
  <si>
    <t>5907178003848</t>
  </si>
  <si>
    <t>5907178003855</t>
  </si>
  <si>
    <t>5907178003831</t>
  </si>
  <si>
    <t>Oprawa hermetyczna HERMES G2 2x120 IP65 LED2B</t>
  </si>
  <si>
    <t>004192</t>
  </si>
  <si>
    <t>Panel LED BALIS 40W 60x60 4000K biały Kobi</t>
  </si>
  <si>
    <t>003958</t>
  </si>
  <si>
    <t>004142</t>
  </si>
  <si>
    <t>Plafon LED NIVERA CIRCLE 12W 3CCT IP54 biały Kobi Premium</t>
  </si>
  <si>
    <t>004086</t>
  </si>
  <si>
    <t>Plafon LED NIVERA CIRCLE 12W 3CCT IP54 czarny Kobi Premium</t>
  </si>
  <si>
    <t>004087</t>
  </si>
  <si>
    <t>Plafon LED NIVERA CIRCLE 12W 3CCT LX IP54 biały Kobi Premium</t>
  </si>
  <si>
    <t>004102</t>
  </si>
  <si>
    <t>Plafon LED NIVERA CIRCLE 12W 3CCT LX IP54 czarny Kobi Premium</t>
  </si>
  <si>
    <t>004103</t>
  </si>
  <si>
    <t>Plafon LED NIVERA CIRCLE 18W 3CCT IP54 biały Kobi Premium</t>
  </si>
  <si>
    <t>004088</t>
  </si>
  <si>
    <t>Plafon LED NIVERA CIRCLE 18W 3CCT IP54 czarny Kobi Premium</t>
  </si>
  <si>
    <t>004089</t>
  </si>
  <si>
    <t>Plafon LED NIVERA CIRCLE 18W 3CCT LX IP54 biały Kobi Premium</t>
  </si>
  <si>
    <t>004104</t>
  </si>
  <si>
    <t>Plafon LED NIVERA CIRCLE 18W 3CCT LX IP54 czarny Kobi Premium</t>
  </si>
  <si>
    <t>004105</t>
  </si>
  <si>
    <t>Plafon LED NIVERA CIRCLE 24W 3CCT IP54 biały Kobi Premium</t>
  </si>
  <si>
    <t>004090</t>
  </si>
  <si>
    <t>Plafon LED NIVERA CIRCLE 24W 3CCT IP54 czarny Kobi Premium</t>
  </si>
  <si>
    <t>004091</t>
  </si>
  <si>
    <t>Plafon LED NIVERA CIRCLE 24W 3CCT LX IP54 biały Kobi Premium</t>
  </si>
  <si>
    <t>004106</t>
  </si>
  <si>
    <t>Plafon LED NIVERA CIRCLE 24W 3CCT LX IP54 czarny Kobi Premium</t>
  </si>
  <si>
    <t>004107</t>
  </si>
  <si>
    <t>Plafon LED NIVERA CIRCLE 32W 3CCT IP54 biały Kobi Premium</t>
  </si>
  <si>
    <t>004092</t>
  </si>
  <si>
    <t>Plafon LED NIVERA CIRCLE 32W 3CCT IP54 czarny Kobi Premium</t>
  </si>
  <si>
    <t>004093</t>
  </si>
  <si>
    <t>Plafon LED NIVERA CIRCLE 32W 3CCT LX IP54 biały Kobi Premium</t>
  </si>
  <si>
    <t>004108</t>
  </si>
  <si>
    <t>Plafon LED NIVERA CIRCLE 32W 3CCT LX IP54 czarny Kobi Premium</t>
  </si>
  <si>
    <t>004109</t>
  </si>
  <si>
    <t>Plafon LED NIVERA SQUARE 12W 3CCT IP54 biały Kobi Premium</t>
  </si>
  <si>
    <t>004094</t>
  </si>
  <si>
    <t>Plafon LED NIVERA SQUARE 12W 3CCT IP54 czarny Kobi Premium</t>
  </si>
  <si>
    <t>004095</t>
  </si>
  <si>
    <t>Plafon LED NIVERA SQUARE 12W 3CCT LX IP54 biały Kobi Premium</t>
  </si>
  <si>
    <t>004110</t>
  </si>
  <si>
    <t>Plafon LED NIVERA SQUARE 12W 3CCT LX IP54 czarny Kobi Premium</t>
  </si>
  <si>
    <t>004111</t>
  </si>
  <si>
    <t>Plafon LED NIVERA SQUARE 18W 3CCT IP54 biały Kobi Premium</t>
  </si>
  <si>
    <t>004096</t>
  </si>
  <si>
    <t>Plafon LED NIVERA SQUARE 18W 3CCT IP54 czarny Kobi Premium</t>
  </si>
  <si>
    <t>004097</t>
  </si>
  <si>
    <t>Plafon LED NIVERA SQUARE 18W 3CCT LX IP54 biały Kobi Premium</t>
  </si>
  <si>
    <t>004112</t>
  </si>
  <si>
    <t>Plafon LED NIVERA SQUARE 18W 3CCT LX IP54 czarny Kobi Premium</t>
  </si>
  <si>
    <t>004113</t>
  </si>
  <si>
    <t>Plafon LED NIVERA SQUARE 24W 3CCT IP54 biały Kobi Premium</t>
  </si>
  <si>
    <t>004098</t>
  </si>
  <si>
    <t>Plafon LED NIVERA SQUARE 24W 3CCT IP54 czarny Kobi Premium</t>
  </si>
  <si>
    <t>004099</t>
  </si>
  <si>
    <t>Plafon LED NIVERA SQUARE 24W 3CCT LX IP54 biały Kobi Premium</t>
  </si>
  <si>
    <t>004114</t>
  </si>
  <si>
    <t>Plafon LED NIVERA SQUARE 24W 3CCT LX IP54 czarny Kobi Premium</t>
  </si>
  <si>
    <t>004115</t>
  </si>
  <si>
    <t>Plafon LED NIVERA SQUARE 32W 3CCT IP54 biały Kobi Premium</t>
  </si>
  <si>
    <t>004100</t>
  </si>
  <si>
    <t>Plafon LED NIVERA SQUARE 32W 3CCT IP54 czarny Kobi Premium</t>
  </si>
  <si>
    <t>004101</t>
  </si>
  <si>
    <t>Lampka biurkowa PLANTY CLIP W DUO 2xE27 biała Kobi Design</t>
  </si>
  <si>
    <t>004017</t>
  </si>
  <si>
    <t>Lampka biurkowa PLANTY CLIP B DUO 2xE27 czarna Kobi Design</t>
  </si>
  <si>
    <t>004018</t>
  </si>
  <si>
    <t>Żarówka do roślin LED PLANTY 24W E27 1200K Kobi design</t>
  </si>
  <si>
    <t>001508</t>
  </si>
  <si>
    <t>Żarówka do roślin LED PLANTY 40W E27 1200K Kobi Design</t>
  </si>
  <si>
    <t>001509</t>
  </si>
  <si>
    <t>Lampa do roślin LED GROWLY 2x8,5W Kobi Design</t>
  </si>
  <si>
    <t>004021</t>
  </si>
  <si>
    <t>Lampa do roślin LED GROWLY 9W Kobi Design</t>
  </si>
  <si>
    <t>004019</t>
  </si>
  <si>
    <t>Lampa do roślin LED GROWLY 15W Kobi Design</t>
  </si>
  <si>
    <t>001510</t>
  </si>
  <si>
    <t>Przewód ze sterownikiem LED GROWLY PC 3m Kobi Design</t>
  </si>
  <si>
    <t>001511</t>
  </si>
  <si>
    <t>Wkład LED INSERT 6,5W 6000K mleczny Kobi</t>
  </si>
  <si>
    <t>001244</t>
  </si>
  <si>
    <t>Kinkiet GLOBE ELEGANCE SMOKE K 1xE14 Kobi Design</t>
  </si>
  <si>
    <t>001524</t>
  </si>
  <si>
    <t>002413</t>
  </si>
  <si>
    <t>002398</t>
  </si>
  <si>
    <t>002399</t>
  </si>
  <si>
    <t>002409</t>
  </si>
  <si>
    <t>002390</t>
  </si>
  <si>
    <t>002414</t>
  </si>
  <si>
    <t>002384</t>
  </si>
  <si>
    <t>002382</t>
  </si>
  <si>
    <t>002377</t>
  </si>
  <si>
    <t>002378</t>
  </si>
  <si>
    <t>ZASILACZ INSTALACYJN 12V 120W 10,0A IP67</t>
  </si>
  <si>
    <t>002379</t>
  </si>
  <si>
    <t>002381</t>
  </si>
  <si>
    <t>001419</t>
  </si>
  <si>
    <t>002415</t>
  </si>
  <si>
    <t>002397</t>
  </si>
  <si>
    <t>002393</t>
  </si>
  <si>
    <t>002395</t>
  </si>
  <si>
    <t>002396</t>
  </si>
  <si>
    <t>002388</t>
  </si>
  <si>
    <t>Zasilacz montażowy 12V 150W 12,5A</t>
  </si>
  <si>
    <t>002391</t>
  </si>
  <si>
    <t>002383</t>
  </si>
  <si>
    <t>002392</t>
  </si>
  <si>
    <t>002394</t>
  </si>
  <si>
    <t>002400</t>
  </si>
  <si>
    <t>Zasilacz desktop 24V 48W 2,00A wtyk DC 2,1x5,5</t>
  </si>
  <si>
    <t>002406</t>
  </si>
  <si>
    <t>Zasilacz desktop 24V 72W 3,00A wtyk DC 2,1x5,5</t>
  </si>
  <si>
    <t>002407</t>
  </si>
  <si>
    <t>5907178004586</t>
  </si>
  <si>
    <t>5907178002599</t>
  </si>
  <si>
    <t>5907178004487</t>
  </si>
  <si>
    <t>5907178003916</t>
  </si>
  <si>
    <t>5907178003923</t>
  </si>
  <si>
    <t>5907178004074</t>
  </si>
  <si>
    <t>5907178004081</t>
  </si>
  <si>
    <t>5907178003930</t>
  </si>
  <si>
    <t>5907178003947</t>
  </si>
  <si>
    <t>5907178004098</t>
  </si>
  <si>
    <t>5907178004104</t>
  </si>
  <si>
    <t>5907178003954</t>
  </si>
  <si>
    <t>5907178003961</t>
  </si>
  <si>
    <t>5907178004111</t>
  </si>
  <si>
    <t>5907178004128</t>
  </si>
  <si>
    <t>5907178003978</t>
  </si>
  <si>
    <t>5907178003985</t>
  </si>
  <si>
    <t>5907178004135</t>
  </si>
  <si>
    <t>5907178004142</t>
  </si>
  <si>
    <t>5907178003992</t>
  </si>
  <si>
    <t>5907178004005</t>
  </si>
  <si>
    <t>5907178004159</t>
  </si>
  <si>
    <t>5907178004166</t>
  </si>
  <si>
    <t>5907178004012</t>
  </si>
  <si>
    <t>5907178004029</t>
  </si>
  <si>
    <t>5907178004173</t>
  </si>
  <si>
    <t>5907178004180</t>
  </si>
  <si>
    <t>5907178004036</t>
  </si>
  <si>
    <t>5907178004043</t>
  </si>
  <si>
    <t>5907178004197</t>
  </si>
  <si>
    <t>5907178004203</t>
  </si>
  <si>
    <t>5907178004050</t>
  </si>
  <si>
    <t>5907178004067</t>
  </si>
  <si>
    <t>5907178003190</t>
  </si>
  <si>
    <t>5907178003206</t>
  </si>
  <si>
    <t>5902201382952</t>
  </si>
  <si>
    <t>5902201382969</t>
  </si>
  <si>
    <t>5907178003237</t>
  </si>
  <si>
    <t>5907178003213</t>
  </si>
  <si>
    <t>5902201382976</t>
  </si>
  <si>
    <t>5902201382983</t>
  </si>
  <si>
    <t>5902846016748</t>
  </si>
  <si>
    <t>5902201386349</t>
  </si>
  <si>
    <t>5902201304220</t>
  </si>
  <si>
    <t>5900605096505</t>
  </si>
  <si>
    <t>5900605096536</t>
  </si>
  <si>
    <t>5902201304190</t>
  </si>
  <si>
    <t>5900605098035</t>
  </si>
  <si>
    <t>5902479642857</t>
  </si>
  <si>
    <t>5900605096420</t>
  </si>
  <si>
    <t>5900605093351</t>
  </si>
  <si>
    <t>5900605096482</t>
  </si>
  <si>
    <t>5900605096512</t>
  </si>
  <si>
    <t>5900605096383</t>
  </si>
  <si>
    <t>5900605093337</t>
  </si>
  <si>
    <t>5900605096413</t>
  </si>
  <si>
    <t>5902479642864</t>
  </si>
  <si>
    <t>5900605091838</t>
  </si>
  <si>
    <t>5900605099261</t>
  </si>
  <si>
    <t>5900605096574</t>
  </si>
  <si>
    <t>5900605099254</t>
  </si>
  <si>
    <t>5900605096369</t>
  </si>
  <si>
    <t>5900605096390</t>
  </si>
  <si>
    <t>5900605096406</t>
  </si>
  <si>
    <t>5900605096437</t>
  </si>
  <si>
    <t>5900605096451</t>
  </si>
  <si>
    <t>5900605092408</t>
  </si>
  <si>
    <t>5902479642888</t>
  </si>
  <si>
    <t>5902479642895</t>
  </si>
  <si>
    <t>Naświetlacz LED MH 50W 4000K IP65 czarny LED2B RED</t>
  </si>
  <si>
    <t>001659</t>
  </si>
  <si>
    <t>Naświetlacz LED MH 100W 6500K IP65 czarny LED2B RED</t>
  </si>
  <si>
    <t>001641</t>
  </si>
  <si>
    <t>001680</t>
  </si>
  <si>
    <t>5902201380828</t>
  </si>
  <si>
    <t>5902201380750</t>
  </si>
  <si>
    <t>5902201380903</t>
  </si>
  <si>
    <t>Panel LED NELIO G2 25W 30x60 4000K Kobi Pro</t>
  </si>
  <si>
    <t>Oprawa hermetyczna LED NEXFORCE 20W 4000K IP65 Kobi Pro</t>
  </si>
  <si>
    <t>High Bay LED ANICA 100W 4000K IP65 90° DALI Kobi Pro</t>
  </si>
  <si>
    <t>004250</t>
  </si>
  <si>
    <t>High Bay LED ANICA 150W 4000K IP65 90° DALI Kobi Pro</t>
  </si>
  <si>
    <t>004251</t>
  </si>
  <si>
    <t>High Bay LED ANICA 200W 4000K IP65 90° DALI Kobi Pro</t>
  </si>
  <si>
    <t>004252</t>
  </si>
  <si>
    <t>Lampka biurkowa LED TENUIX DUO 2 14W CCT czarna LED2B</t>
  </si>
  <si>
    <t>004165</t>
  </si>
  <si>
    <t>004350</t>
  </si>
  <si>
    <t>Lampa wisząca LED VENEZIA H 1,5W 2500K Kobi Design</t>
  </si>
  <si>
    <t>001437</t>
  </si>
  <si>
    <t>5907178004944</t>
  </si>
  <si>
    <t>5907178004951</t>
  </si>
  <si>
    <t>5907178004968</t>
  </si>
  <si>
    <t>5907178004500</t>
  </si>
  <si>
    <t>5907178007396</t>
  </si>
  <si>
    <t>5902201373653</t>
  </si>
  <si>
    <t>Lampa ogrodowa Solar LED GARDEN BALL 40cm 3000K+RGB Kobi</t>
  </si>
  <si>
    <t>Wentylator podłogowy VIENTO 100W Kobi Windstar</t>
  </si>
  <si>
    <t>Moduł zasilacza puszkowy 12V 10W 0,83A IP67</t>
  </si>
  <si>
    <t>Waga netto (kg)</t>
  </si>
  <si>
    <t>Waga brutto (kg)</t>
  </si>
  <si>
    <t>CN</t>
  </si>
  <si>
    <t>KGO</t>
  </si>
  <si>
    <t>Moduł zasilacza wodoodporny 24V 30W 1.25A IP67</t>
  </si>
  <si>
    <t>Moduł zasilacza wodoodporny 24V 60W 2.50A IP67</t>
  </si>
  <si>
    <t>Moduł zasilacza wodoodporny 24V 100W 4.17A IP67</t>
  </si>
  <si>
    <t>Moduł zasilacza wodoodporny 24V 150W 6,25A IP67</t>
  </si>
  <si>
    <t>Moduł zasilacza wodoodporny 24V 200W 8.30A IP67</t>
  </si>
  <si>
    <t>Oprawa liniowa hermetyczna LED LUMEXO 36W 4000K IP65 biała Kobi Pro</t>
  </si>
  <si>
    <t>004304</t>
  </si>
  <si>
    <t>Oprawa liniowa hermetyczna LED LUMEXO 50W 4000K IP65 biała Kobi Pro</t>
  </si>
  <si>
    <t>004305</t>
  </si>
  <si>
    <t>Naświetlacz LED DELYO MHN 10W 4000K IP65 Kobi Premium</t>
  </si>
  <si>
    <t>004224</t>
  </si>
  <si>
    <t>Naświetlacz LED DELYO MHN 10W 6000K IP65 Kobi Premium</t>
  </si>
  <si>
    <t>004225</t>
  </si>
  <si>
    <t>Naświetlacz LED DELYO MHN 20W 4000K IP65 Kobi Premium</t>
  </si>
  <si>
    <t>004226</t>
  </si>
  <si>
    <t>Naświetlacz LED DELYO MHN 20W 6000K IP65 Kobi Premium</t>
  </si>
  <si>
    <t>004227</t>
  </si>
  <si>
    <t>Naświetlacz LED DELYO MHN 30W 4000K IP65 Kobi Premium</t>
  </si>
  <si>
    <t>004228</t>
  </si>
  <si>
    <t>Naświetlacz LED DELYO MHN 30W 6000K IP65 Kobi Premium</t>
  </si>
  <si>
    <t>004229</t>
  </si>
  <si>
    <t>Naświetlacz LED DELYO MHN 50W 4000K IP65 Kobi Premium</t>
  </si>
  <si>
    <t>004230</t>
  </si>
  <si>
    <t>Naświetlacz LED DELYO MHN 50W 6000K IP65 Kobi Premium</t>
  </si>
  <si>
    <t>004231</t>
  </si>
  <si>
    <t>Naświetlacz LED DELYO MHN 100W 4000K IP65 Kobi Premium</t>
  </si>
  <si>
    <t>004232</t>
  </si>
  <si>
    <t>Naświetlacz LED DELYO MHN 100W 6000K IP65 Kobi Premium</t>
  </si>
  <si>
    <t>004233</t>
  </si>
  <si>
    <t>Naświetlacz LED DELYO MHNC 10W 4000K IP54 Kobi Premium</t>
  </si>
  <si>
    <t>004234</t>
  </si>
  <si>
    <t>Naświetlacz LED DELYO MHNC 10W 6000K IP54 Kobi Premium</t>
  </si>
  <si>
    <t>004235</t>
  </si>
  <si>
    <t>Naświetlacz LED DELYO MHNC 20W 4000K IP54 Kobi Premium</t>
  </si>
  <si>
    <t>004236</t>
  </si>
  <si>
    <t>Naświetlacz LED DELYO MHNC 20W 6000K IP54 Kobi Premium</t>
  </si>
  <si>
    <t>004237</t>
  </si>
  <si>
    <t>Naświetlacz LED DELYO MHNC 30W 4000K IP54 Kobi Premium</t>
  </si>
  <si>
    <t>004238</t>
  </si>
  <si>
    <t>Naświetlacz LED DELYO MHNC 30W 6000K IP54 Kobi Premium</t>
  </si>
  <si>
    <t>004239</t>
  </si>
  <si>
    <t>Naświetlacz LED DELYO MHNC 50W 4000K IP54 Kobi Premium</t>
  </si>
  <si>
    <t>004240</t>
  </si>
  <si>
    <t>Naświetlacz LED DELYO MHNC 50W 6000K IP54 Kobi Premium</t>
  </si>
  <si>
    <t>004241</t>
  </si>
  <si>
    <t>Naświetlacz LED DELYO MHNC 100W 4000K IP54 Kobi Premium</t>
  </si>
  <si>
    <t>004242</t>
  </si>
  <si>
    <t>Naświetlacz LED DELYO MHNC 100W 6000K IP54 Kobi Premium</t>
  </si>
  <si>
    <t>004243</t>
  </si>
  <si>
    <t>Oprawa drogowa LED BRELUXO 50W 4000K IP65 Kobi Premium</t>
  </si>
  <si>
    <t>004323</t>
  </si>
  <si>
    <t>Oprawa drogowa LED BRELUXO 100W 4000K IP65 Kobi Premium</t>
  </si>
  <si>
    <t>004324</t>
  </si>
  <si>
    <t>Oprawa drogowa LED BRELUXO 150W 4000K IP65 Kobi Premium</t>
  </si>
  <si>
    <t>004325</t>
  </si>
  <si>
    <t>Oprawa drogowa LED BRELUXO 200W 4000K IP65 Kobi Premium</t>
  </si>
  <si>
    <t>004326</t>
  </si>
  <si>
    <t>Zasilacz desktop 12V 60W 5,0A wtyk DC 2,1x5,5</t>
  </si>
  <si>
    <t>Zasilacz desktop 12V 30W 2,5A wtyk DC 2,1x5,5</t>
  </si>
  <si>
    <t>Zasilacz desktop 12V 120W 10,0A wtyk DC 2,1x5,5</t>
  </si>
  <si>
    <t>Moduł zasilacza wodoodporny 12V 80W 6,67A IP67</t>
  </si>
  <si>
    <t>Moduł zasilacza wodoodporny 12V 150W 12,5A IP67</t>
  </si>
  <si>
    <t>Moduł zasilacza wodoodporny 12V 200W 16,7A IP67</t>
  </si>
  <si>
    <t>Moduł zasilacza wodoodporny 12V 60W 5,0A IP67</t>
  </si>
  <si>
    <t>Moduł zasilacza montażowy 12V 100W 8,3A</t>
  </si>
  <si>
    <t>Moduł zasilacza montażowy 12V 200W 16,6A</t>
  </si>
  <si>
    <t>Moduł zasilacza montażowy 12V 250W 20,8A</t>
  </si>
  <si>
    <t>Moduł zasilacza montażowy 12V 350W 29,0A</t>
  </si>
  <si>
    <t>Moduł zasilacza wodoodporny 12V 100W 8,3A IP67</t>
  </si>
  <si>
    <t>Moduł zasilacza montażowy 12V 150W 12,5A</t>
  </si>
  <si>
    <t>004602</t>
  </si>
  <si>
    <t>Moduł zasilacza wodoodporny 12V 120W 10,0A IP67</t>
  </si>
  <si>
    <t>004603</t>
  </si>
  <si>
    <t>85395200</t>
  </si>
  <si>
    <t>85366990</t>
  </si>
  <si>
    <t>94051140</t>
  </si>
  <si>
    <t>85044095</t>
  </si>
  <si>
    <t>94054239</t>
  </si>
  <si>
    <t>94059900</t>
  </si>
  <si>
    <t>95044095</t>
  </si>
  <si>
    <t>5907178005729</t>
  </si>
  <si>
    <t>5907178005736</t>
  </si>
  <si>
    <t>5907178004692</t>
  </si>
  <si>
    <t>5907178004708</t>
  </si>
  <si>
    <t>5907178004715</t>
  </si>
  <si>
    <t>5907178004722</t>
  </si>
  <si>
    <t>5907178004739</t>
  </si>
  <si>
    <t>5907178004746</t>
  </si>
  <si>
    <t>5907178004753</t>
  </si>
  <si>
    <t>5907178004760</t>
  </si>
  <si>
    <t>5907178004777</t>
  </si>
  <si>
    <t>5907178004784</t>
  </si>
  <si>
    <t>5907178004791</t>
  </si>
  <si>
    <t>5907178004807</t>
  </si>
  <si>
    <t>5907178004814</t>
  </si>
  <si>
    <t>5907178004821</t>
  </si>
  <si>
    <t>5907178004838</t>
  </si>
  <si>
    <t>5907178004845</t>
  </si>
  <si>
    <t>5907178004852</t>
  </si>
  <si>
    <t>5907178004869</t>
  </si>
  <si>
    <t>5907178004876</t>
  </si>
  <si>
    <t>5907178004883</t>
  </si>
  <si>
    <t>5907178005828</t>
  </si>
  <si>
    <t>5907178005835</t>
  </si>
  <si>
    <t>5907178005842</t>
  </si>
  <si>
    <t>5907178005859</t>
  </si>
  <si>
    <t>94051990</t>
  </si>
  <si>
    <t>94054210</t>
  </si>
  <si>
    <t>94054940</t>
  </si>
  <si>
    <t>94054990</t>
  </si>
  <si>
    <t>94059190</t>
  </si>
  <si>
    <t>94054231</t>
  </si>
  <si>
    <t>94054131</t>
  </si>
  <si>
    <t>94054139</t>
  </si>
  <si>
    <t>94051190</t>
  </si>
  <si>
    <t>94051940</t>
  </si>
  <si>
    <t>94052990</t>
  </si>
  <si>
    <t>94052140</t>
  </si>
  <si>
    <t>85269200</t>
  </si>
  <si>
    <t>85444290</t>
  </si>
  <si>
    <t>94052190</t>
  </si>
  <si>
    <t>85444995</t>
  </si>
  <si>
    <t>39259080</t>
  </si>
  <si>
    <t>94059200</t>
  </si>
  <si>
    <t>73269098</t>
  </si>
  <si>
    <t>85365080</t>
  </si>
  <si>
    <t>85437090</t>
  </si>
  <si>
    <t>85366110</t>
  </si>
  <si>
    <t>85366190</t>
  </si>
  <si>
    <t>91070000</t>
  </si>
  <si>
    <t>84145100</t>
  </si>
  <si>
    <t>85371098</t>
  </si>
  <si>
    <t>85369010</t>
  </si>
  <si>
    <t>85162991</t>
  </si>
  <si>
    <t>85162950</t>
  </si>
  <si>
    <t>5902479641966</t>
  </si>
  <si>
    <t>5902479641942</t>
  </si>
  <si>
    <t>Długość (cm)</t>
  </si>
  <si>
    <t>Szerokość (cm)</t>
  </si>
  <si>
    <t>Wysokość (cm)</t>
  </si>
  <si>
    <t>Naświetlacz LED MH 100W 4000K IP65 czarny LED2B RED</t>
  </si>
  <si>
    <t>001639</t>
  </si>
  <si>
    <t>Taśma LED PLAY SET 5m RGB IP20 Kobi Design</t>
  </si>
  <si>
    <t>Taśma LED PLAY SET 10m RGB IP20 Kobi Design</t>
  </si>
  <si>
    <t>Taśma LED PLAY SET 15m RGB IP20 Kobi Design</t>
  </si>
  <si>
    <t>Taśma LED PLAY SET 20m RGB IP20 Kobi Design</t>
  </si>
  <si>
    <t>004317</t>
  </si>
  <si>
    <t>Rozgałęźnik LINEA PRO FL2 2gn+2USB/1USB-C czarny Kobi</t>
  </si>
  <si>
    <t>004318</t>
  </si>
  <si>
    <t>Lampa do roślin LED BLOOM 12W 4500K Kobi Design</t>
  </si>
  <si>
    <t>004319</t>
  </si>
  <si>
    <t>Lampa do roślin LED VERDI V2 5W 1300K biała Kobi Design</t>
  </si>
  <si>
    <t>004320</t>
  </si>
  <si>
    <t>Lampa do roślin LED VERDI V2 5W 1300K czarna Kobi Design</t>
  </si>
  <si>
    <t>004321</t>
  </si>
  <si>
    <t>Lampa wisząca BOHO ROVNO 1xE27 Kobi Design</t>
  </si>
  <si>
    <t>Lampa wisząca BOHO FLOXEN ROUND 1xE27 Kobi Design</t>
  </si>
  <si>
    <t>Lampa wisząca BOHO FLOXEN SLANT 1xE27 Kobi Design</t>
  </si>
  <si>
    <t>Moduł zasilacza wodoodporny 12V 50W 4,16A IP67</t>
  </si>
  <si>
    <t>Moduł zasilacza wodoodporny 12V 30W 2,5A IP67</t>
  </si>
  <si>
    <t>Moduł zasilacza wodoodporny 12V 20W 1,67A IP67</t>
  </si>
  <si>
    <t>Moduł zasilacza montażowy 12V 25W 2,1A</t>
  </si>
  <si>
    <t>Moduł zasilacza montażowy 12V 35W 3,0A</t>
  </si>
  <si>
    <t>Moduł zasilacza montażowy 12V 60W 5,0A</t>
  </si>
  <si>
    <t>Moduł zasilacza montażowy 12V 6W 0,5A</t>
  </si>
  <si>
    <t>Zasilacz desktop 12V 24W 2,0A wtyk DC 2,1x5,5</t>
  </si>
  <si>
    <t>Zasilacz desktop 12V 36W 3,0A wtyk DC 2,1x5,5</t>
  </si>
  <si>
    <t>Zasilacz desktop 12V 42W 3,5A wtyk DC 2,1x5,5</t>
  </si>
  <si>
    <t>Zasilacz desktop 12V 72W 6,0A wtyk DC 2,1x5,5</t>
  </si>
  <si>
    <t>Zasilacz desktop 12V 90W 7,5A wtyk DC 2,1x5,5</t>
  </si>
  <si>
    <t>5902201380743</t>
  </si>
  <si>
    <t>5907178005774</t>
  </si>
  <si>
    <t>5907178005781</t>
  </si>
  <si>
    <t>5907178005798</t>
  </si>
  <si>
    <t>5907178005804</t>
  </si>
  <si>
    <t>5907178005811</t>
  </si>
  <si>
    <t>Żarówka LED GS 13W E27 6500K Kobi</t>
  </si>
  <si>
    <t>Żarówka LED GS 15W E27 6500K Kobi</t>
  </si>
  <si>
    <t>Żarówka LED GS 17W E27 3000K LED2B</t>
  </si>
  <si>
    <t>004295</t>
  </si>
  <si>
    <t>Żarówka LED GS 17W E27 4000K LED2B</t>
  </si>
  <si>
    <t>004296</t>
  </si>
  <si>
    <t>Żarówka LED GS 17W E27 6500K LED2B</t>
  </si>
  <si>
    <t>004297</t>
  </si>
  <si>
    <t>Żarówka LED GS 22W E27 3000K Kobi</t>
  </si>
  <si>
    <t>004298</t>
  </si>
  <si>
    <t>Żarówka LED GS 22W E27 4000K Kobi</t>
  </si>
  <si>
    <t>004299</t>
  </si>
  <si>
    <t>Żarówka LED GS 22W E27 6500K Kobi</t>
  </si>
  <si>
    <t>004300</t>
  </si>
  <si>
    <t>Naświetlacz LED MHC 30W 4000K IP54 czarny LED2B RED</t>
  </si>
  <si>
    <t>001675</t>
  </si>
  <si>
    <t>Naświetlacz LED MHC 50W 4000K IP54 czarny LED2B RED</t>
  </si>
  <si>
    <t>Naświetlacz LED MHC 50W 6500K IP54 czarny LED2B RED</t>
  </si>
  <si>
    <t>001682</t>
  </si>
  <si>
    <t>Słup BASE SV 3m Fi 60 mm czarny Kobi</t>
  </si>
  <si>
    <t>004428</t>
  </si>
  <si>
    <t>Słup BASE SV 3m Fi 60 mm szary Kobi</t>
  </si>
  <si>
    <t>004429</t>
  </si>
  <si>
    <t>Przedłużka BASE SV 1m Fi 76 mm czarna Kobi</t>
  </si>
  <si>
    <t>004430</t>
  </si>
  <si>
    <t>Przedłużka BASE SV 1m Fi 76 mm szara Kobi</t>
  </si>
  <si>
    <t>004431</t>
  </si>
  <si>
    <t>Kotwa fundamentowa do słupa BASE SV 200x200mm Kobi</t>
  </si>
  <si>
    <t>004432</t>
  </si>
  <si>
    <t>Taśma LED TRAMO 320 COB 5m 3000K 12V IP65 Kobi Premium</t>
  </si>
  <si>
    <t>Taśma LED TRAMO 320 COB 5m 4000K 12V IP65 Kobi Premium</t>
  </si>
  <si>
    <t>Taśma LED TRAMO 320 COB 5m 6500K 12V IP65 Kobi Premium</t>
  </si>
  <si>
    <t>Taśma LED TRAMO 320 COB 5m 3000K 12V IP20 Kobi Premium</t>
  </si>
  <si>
    <t>Taśma LED TRAMO 320 COB 5m 4000K 12V IP20 Kobi Premium</t>
  </si>
  <si>
    <t>Taśma LED TRAMO 320 COB 5m 6500K 12V IP20 Kobi Premium</t>
  </si>
  <si>
    <t>Rozgałęźnik LINEA PRO FL2 2gn+2USB/1USB-C biały Kobi</t>
  </si>
  <si>
    <t>Oprawa parkowa Solar LED SOLSUMI CIRCLE 25W 4000K IP54 Kobi Premium</t>
  </si>
  <si>
    <t>Naświetlacz Solar LED MHCS 30W 2CCT IP65 Kobi Premium</t>
  </si>
  <si>
    <t>5907178005286</t>
  </si>
  <si>
    <t>5907178005293</t>
  </si>
  <si>
    <t>5907178005309</t>
  </si>
  <si>
    <t>5907178005316</t>
  </si>
  <si>
    <t>5907178005323</t>
  </si>
  <si>
    <t>5907178005330</t>
  </si>
  <si>
    <t>5902201380880</t>
  </si>
  <si>
    <t>5902201380910</t>
  </si>
  <si>
    <t>5907178011003</t>
  </si>
  <si>
    <t>5907178011010</t>
  </si>
  <si>
    <t>5907178011027</t>
  </si>
  <si>
    <t>5907178011034</t>
  </si>
  <si>
    <t>5907178011041</t>
  </si>
  <si>
    <t>Naświetlacz LED MHC 20W 4000K IP54 czarny LED2B RED</t>
  </si>
  <si>
    <t>004417</t>
  </si>
  <si>
    <t>004418</t>
  </si>
  <si>
    <t>5907178010907</t>
  </si>
  <si>
    <t>5907178010914</t>
  </si>
  <si>
    <t>Downlight LED NEXEYE 15W 3CCT IP44 Kobi Pro</t>
  </si>
  <si>
    <t>004409</t>
  </si>
  <si>
    <t>Downlight LED NEXEYE 20W 3CCT IP44 Kobi Pro</t>
  </si>
  <si>
    <t>004410</t>
  </si>
  <si>
    <t>5907178010655</t>
  </si>
  <si>
    <t>5907178010662</t>
  </si>
  <si>
    <t>Żarówka filamentowa LED FGS 7W E27 3000K Kobi</t>
  </si>
  <si>
    <t>Żarówka filamentowa LED FGS 7W E27 4000K Kobi</t>
  </si>
  <si>
    <t>Żarówka filamentowa LED FGS 7W E27 3000K mleczna Kobi</t>
  </si>
  <si>
    <t>Żarówka filamentowa LED FGS 7W E27 4000K mleczna Kobi</t>
  </si>
  <si>
    <t>Żarówka filamentowa LED FGS 10W E27 3000K Kobi</t>
  </si>
  <si>
    <t>Żarówka filamentowa LED FGS 10W E27 4000K Kobi</t>
  </si>
  <si>
    <t>Żarówka filamentowa LED FGS 12W E27 3000K Kobi</t>
  </si>
  <si>
    <t>Żarówka filamentowa LED FGS 12W E27 4000K Kobi</t>
  </si>
  <si>
    <t>Żarówka filamentowa LED FDE 4W E14 3000K Kobi</t>
  </si>
  <si>
    <t>Żarówka filamentowa LED FMB 4W E14 3000K Kobi</t>
  </si>
  <si>
    <t>Żarówka filamentowa LED FMB 4W E27 3000K Kobi</t>
  </si>
  <si>
    <t>Żarówka filamentowa LED FMB 4W E27 3000K mleczna Kobi</t>
  </si>
  <si>
    <t>Żarówka filamentowa LED FSW 4W E14 3000K Kobi</t>
  </si>
  <si>
    <t>Oprawa drogowa LED ULTIMATE STREET 50W 4000K IP66 Kobi Pro</t>
  </si>
  <si>
    <t>004406</t>
  </si>
  <si>
    <t>Oprawa drogowa LED ULTIMATE STREET 100W 4000K IP66 Kobi Pro</t>
  </si>
  <si>
    <t>004407</t>
  </si>
  <si>
    <t>Oprawa drogowa LED ULTIMATE STREET 150W 4000K IP66 Kobi Pro</t>
  </si>
  <si>
    <t>004408</t>
  </si>
  <si>
    <t>Lampka biurkowa LED ORBI 2,5W CCT czarna Laitica</t>
  </si>
  <si>
    <t>002425</t>
  </si>
  <si>
    <t>Lampka biurkowa LED ORBI 2,5W CCT biała Laitica</t>
  </si>
  <si>
    <t>002426</t>
  </si>
  <si>
    <t>Lampka biurkowa LED ORBI 2,5W CCT szara Laitica</t>
  </si>
  <si>
    <t>002427</t>
  </si>
  <si>
    <t>Lampka biurkowa LED ORBI 2,5W CCT niebieska Laitica</t>
  </si>
  <si>
    <t>002428</t>
  </si>
  <si>
    <t>Lampka biurkowa LED ORBI 2,5W CCT różowa Laitica</t>
  </si>
  <si>
    <t>002429</t>
  </si>
  <si>
    <t>Latarka LED X-MPR 7 6000K LED2B</t>
  </si>
  <si>
    <t>004314</t>
  </si>
  <si>
    <t>Latarka LED X-MPR 8 3000K+ 6000K LED2B</t>
  </si>
  <si>
    <t>004315</t>
  </si>
  <si>
    <t>Latarka LED X-MPR 9 6000K LED2B</t>
  </si>
  <si>
    <t>004316</t>
  </si>
  <si>
    <t>5907178010624</t>
  </si>
  <si>
    <t>5907178010631</t>
  </si>
  <si>
    <t>5907178010648</t>
  </si>
  <si>
    <t>5902201368260</t>
  </si>
  <si>
    <t>5902201368277</t>
  </si>
  <si>
    <t>5902201368284</t>
  </si>
  <si>
    <t>5902201368291</t>
  </si>
  <si>
    <t>5902201368307</t>
  </si>
  <si>
    <t>5907178005743</t>
  </si>
  <si>
    <t>5907178005750</t>
  </si>
  <si>
    <t>5907178005767</t>
  </si>
  <si>
    <t>Naświetlacz LED MHC 10W 4000K IP54 czarny LED2B RED</t>
  </si>
  <si>
    <t>Uchwyt montażowy BASE TP SG 360mm Fi 60mm czarny Kobi</t>
  </si>
  <si>
    <t>Cena wyprzedażowa</t>
  </si>
  <si>
    <t>Klosz do zestawu CRETE LS D1 czarny 5 sztuk Kobi Design</t>
  </si>
  <si>
    <t>001443</t>
  </si>
  <si>
    <t>Girlanda CRETE 5xE27 5m Kobi Design</t>
  </si>
  <si>
    <t>001440</t>
  </si>
  <si>
    <t>Girlanda LED VENEZIA 10W Kobi Design</t>
  </si>
  <si>
    <t>001435</t>
  </si>
  <si>
    <t>Klosz do zestawu CRETE LS M1 czarny 5 sztuk Kobi Design</t>
  </si>
  <si>
    <t>001441</t>
  </si>
  <si>
    <t>Klosz do zestawu CRETE LS M2 czarny 5 sztuk Kobi Design</t>
  </si>
  <si>
    <t>001442</t>
  </si>
  <si>
    <t>Downlight LED SATURN 6W 4000K Kobi Premium</t>
  </si>
  <si>
    <t>001860</t>
  </si>
  <si>
    <t>Downlight LED SATURN 12W 4000K Kobi Premium</t>
  </si>
  <si>
    <t>001857</t>
  </si>
  <si>
    <t>Lampa MODUŁ KULA M biały</t>
  </si>
  <si>
    <t>000727</t>
  </si>
  <si>
    <t>Kinkiet NAZARIA KOŁO biały</t>
  </si>
  <si>
    <t>000932</t>
  </si>
  <si>
    <t>Lampa wisząca ARIZONA 3828</t>
  </si>
  <si>
    <t>000764</t>
  </si>
  <si>
    <t>Lampa MALMO 3528</t>
  </si>
  <si>
    <t>000753</t>
  </si>
  <si>
    <t>Lampa MALMO 753</t>
  </si>
  <si>
    <t>000801</t>
  </si>
  <si>
    <t>Downlight AQUA G5,3/GU10 IP44 matowy chrom JVS</t>
  </si>
  <si>
    <t>002017</t>
  </si>
  <si>
    <t>Lampa NIL 3487</t>
  </si>
  <si>
    <t>000752</t>
  </si>
  <si>
    <t>Downlight AQUA SLIM G5,3/GU10 IP44 chrom JVS</t>
  </si>
  <si>
    <t>002018</t>
  </si>
  <si>
    <t>Lampa wisząca BELIZE 3715</t>
  </si>
  <si>
    <t>000759</t>
  </si>
  <si>
    <t>Lampa POLARIS 814</t>
  </si>
  <si>
    <t>000803</t>
  </si>
  <si>
    <t>Downlight FRESCO 2xGU10 Art of Light</t>
  </si>
  <si>
    <t>002016</t>
  </si>
  <si>
    <t>Lampa NIL 3636</t>
  </si>
  <si>
    <t>000748</t>
  </si>
  <si>
    <t>Lampa EVORA 286</t>
  </si>
  <si>
    <t>000725</t>
  </si>
  <si>
    <t>Lampa NIL 782</t>
  </si>
  <si>
    <t>000802</t>
  </si>
  <si>
    <t>Lampa HONGKONG M  biały</t>
  </si>
  <si>
    <t>000742</t>
  </si>
  <si>
    <t>Lampa COMO A M biały</t>
  </si>
  <si>
    <t>000745</t>
  </si>
  <si>
    <t>Downlight OSLO 14W 3000K biały Art of Light</t>
  </si>
  <si>
    <t>002144</t>
  </si>
  <si>
    <t>High Bay LED NEO 200W 4000K IP65 110° Kobi Pro</t>
  </si>
  <si>
    <t>000069</t>
  </si>
  <si>
    <t>Kinkiet BIANCO 1xGU10 Art of Light</t>
  </si>
  <si>
    <t>002008</t>
  </si>
  <si>
    <t>Kinkiet GRANDE 1xR7s Art of Light</t>
  </si>
  <si>
    <t>002177</t>
  </si>
  <si>
    <t>Kinkiet LED RARO 4,2W 3000K biały Art of Light</t>
  </si>
  <si>
    <t>002216</t>
  </si>
  <si>
    <t>Kinkiet SECCO 1xE14 Art of Light</t>
  </si>
  <si>
    <t>002204</t>
  </si>
  <si>
    <t>Lampa wisząca CONCEPT 6</t>
  </si>
  <si>
    <t>000941</t>
  </si>
  <si>
    <t>Lampa wisząca DELFA LED  40W 4000K</t>
  </si>
  <si>
    <t>000716</t>
  </si>
  <si>
    <t>Lampa wisząca EVORA 585</t>
  </si>
  <si>
    <t>000772</t>
  </si>
  <si>
    <t>000774</t>
  </si>
  <si>
    <t>Lampa wisząca FIDŻI 1 biały</t>
  </si>
  <si>
    <t>000731</t>
  </si>
  <si>
    <t>Lampa wisząca FREDO KOŁO 3 czarna</t>
  </si>
  <si>
    <t>000739</t>
  </si>
  <si>
    <t>Lampa wisząca GINO czarna</t>
  </si>
  <si>
    <t>000920</t>
  </si>
  <si>
    <t>Lampa wisząca KORA LED  24W</t>
  </si>
  <si>
    <t>000714</t>
  </si>
  <si>
    <t>Lampa wisząca KOS 1270</t>
  </si>
  <si>
    <t>000707</t>
  </si>
  <si>
    <t>Lampa wisząca KOS 3638</t>
  </si>
  <si>
    <t>000756</t>
  </si>
  <si>
    <t>Lampa wisząca KOS 3640</t>
  </si>
  <si>
    <t>000757</t>
  </si>
  <si>
    <t>Lampa wisząca KRETA 3627</t>
  </si>
  <si>
    <t>000755</t>
  </si>
  <si>
    <t>Lampa wisząca MARINA grafit</t>
  </si>
  <si>
    <t>000917</t>
  </si>
  <si>
    <t>Lampa wisząca NURIA LED  35W 4000K</t>
  </si>
  <si>
    <t>000717</t>
  </si>
  <si>
    <t>Lampa wisząca ONCEPT 4</t>
  </si>
  <si>
    <t>000940</t>
  </si>
  <si>
    <t>Lampa wisząca PITTORE B 1xE27 biała Art of Light</t>
  </si>
  <si>
    <t>002201</t>
  </si>
  <si>
    <t>Lampa wisząca POLARIS 1656</t>
  </si>
  <si>
    <t>000712</t>
  </si>
  <si>
    <t>Lampa wisząca POLARIS 3819</t>
  </si>
  <si>
    <t>000762</t>
  </si>
  <si>
    <t>Lampa wisząca RONDA 360 srebrna</t>
  </si>
  <si>
    <t>000889</t>
  </si>
  <si>
    <t>Lampa wisząca SALERNO czarna</t>
  </si>
  <si>
    <t>000923</t>
  </si>
  <si>
    <t>Lampa wisząca STARLINK</t>
  </si>
  <si>
    <t>000955</t>
  </si>
  <si>
    <t>Lampa wisząca TRIK M ROMB czarna</t>
  </si>
  <si>
    <t>000738</t>
  </si>
  <si>
    <t>Lampa wisząca WAWA D szara</t>
  </si>
  <si>
    <t>000735</t>
  </si>
  <si>
    <t>Naświetlacz LED MHN 20W 6500K IP65 Kobi Premium</t>
  </si>
  <si>
    <t>001740</t>
  </si>
  <si>
    <t>Naświetlacz LED MHNC 10W 6500K IP65 Kobi Premium</t>
  </si>
  <si>
    <t>001750</t>
  </si>
  <si>
    <t>002006</t>
  </si>
  <si>
    <t>002169</t>
  </si>
  <si>
    <t>002176</t>
  </si>
  <si>
    <t>002217</t>
  </si>
  <si>
    <t>002187</t>
  </si>
  <si>
    <t>002184</t>
  </si>
  <si>
    <t>002185</t>
  </si>
  <si>
    <t>002032</t>
  </si>
  <si>
    <t>002188</t>
  </si>
  <si>
    <t>002199</t>
  </si>
  <si>
    <t>002195</t>
  </si>
  <si>
    <t>002196</t>
  </si>
  <si>
    <t>002206</t>
  </si>
  <si>
    <t>Oprawa do nadbudowania OH37 biała Kobi</t>
  </si>
  <si>
    <t>002098</t>
  </si>
  <si>
    <t>Oprawa do nadbudowania OH37 L biała Kobi</t>
  </si>
  <si>
    <t>002101</t>
  </si>
  <si>
    <t>Oprawa do nadbudowania OH37 L czarna Kobi</t>
  </si>
  <si>
    <t>002103</t>
  </si>
  <si>
    <t>Oprawa liniowa LED DELGADO 36W 120cm 3000K Kobi</t>
  </si>
  <si>
    <t>001589</t>
  </si>
  <si>
    <t>Oprawa liniowa LED DELGADO 45W 150cm 3000K Kobi</t>
  </si>
  <si>
    <t>001591</t>
  </si>
  <si>
    <t>Oprawa przysufitowa 1PŁ. PAKO 1200</t>
  </si>
  <si>
    <t>000856</t>
  </si>
  <si>
    <t>Oprawa przysufitowa 1PŁ. SKY 1500</t>
  </si>
  <si>
    <t>000909</t>
  </si>
  <si>
    <t>Oprawa przysufitowa 2PŁ. PAKOS 1102</t>
  </si>
  <si>
    <t>000862</t>
  </si>
  <si>
    <t>Oprawa przysufitowa 2PŁ. PAKOS 1112</t>
  </si>
  <si>
    <t>000864</t>
  </si>
  <si>
    <t>Oprawa przysufitowa 3PŁ. PAKOS 1103</t>
  </si>
  <si>
    <t>000863</t>
  </si>
  <si>
    <t>Oprawa przysufitowa 3PŁ. PAKOS 1113</t>
  </si>
  <si>
    <t>000865</t>
  </si>
  <si>
    <t>Oprawa przysufitowa 3PŁ. PIXI 1423</t>
  </si>
  <si>
    <t>000878</t>
  </si>
  <si>
    <t>Oprawa sufitowa LAHTI dim 10,5W 3000K czarna Art of Light</t>
  </si>
  <si>
    <t>002132</t>
  </si>
  <si>
    <t>Oprawa sufitowa LAHTI mini dim 2x9W 3000K czarna Art of Light</t>
  </si>
  <si>
    <t>002137</t>
  </si>
  <si>
    <t>Oprawa sufitowa OH44 Kobi</t>
  </si>
  <si>
    <t>002109</t>
  </si>
  <si>
    <t>Oprawa sufitowa TORSO 2xGU10 Art of Light</t>
  </si>
  <si>
    <t>002124</t>
  </si>
  <si>
    <t>Oprawa sufitowa VENICE B-1L 1xGU10 czarna JVS</t>
  </si>
  <si>
    <t>002179</t>
  </si>
  <si>
    <t>Oprawa sufitowa VENICE W-1L 1xGU10 biała JVS</t>
  </si>
  <si>
    <t>002181</t>
  </si>
  <si>
    <t>Oprawa sufitowa VENICE W-2L 2xGU10 biała JVS</t>
  </si>
  <si>
    <t>002182</t>
  </si>
  <si>
    <t>Oprawa TYBER3 308</t>
  </si>
  <si>
    <t>000736</t>
  </si>
  <si>
    <t>Oprawa TYBER3 3089</t>
  </si>
  <si>
    <t>000737</t>
  </si>
  <si>
    <t>Panel LED CAPRI 40W 60x60 3000K Kobi Pro</t>
  </si>
  <si>
    <t>001574</t>
  </si>
  <si>
    <t>Panel solarny LA-300 Laitica</t>
  </si>
  <si>
    <t>002505</t>
  </si>
  <si>
    <t>Pierścień ozdobny BARI ROUND czarny Kobi</t>
  </si>
  <si>
    <t>002009</t>
  </si>
  <si>
    <t>Pierścień ozdobny BARI SQUARE chrom Kobi</t>
  </si>
  <si>
    <t>002012</t>
  </si>
  <si>
    <t>Pierścień ozdobny BETONPOINT Q-S chrom JVS</t>
  </si>
  <si>
    <t>002020</t>
  </si>
  <si>
    <t>Pierścień ozdobny BETONPOINT R-B schwarz JVS</t>
  </si>
  <si>
    <t>002021</t>
  </si>
  <si>
    <t>Pierścień ozdobny CRISTAL R czarny JVS</t>
  </si>
  <si>
    <t>002013</t>
  </si>
  <si>
    <t>Pierścień ozdobny OH30 mat chrom Kobi</t>
  </si>
  <si>
    <t>002079</t>
  </si>
  <si>
    <t>Pierścień ozdobny OH34 IP44 mat chrom Kobi</t>
  </si>
  <si>
    <t>002084</t>
  </si>
  <si>
    <t>Pierścień ozdobny OH47 biały Kobi</t>
  </si>
  <si>
    <t>002110</t>
  </si>
  <si>
    <t>Pierścień ozdobny OH227 przezroczysty Kobi</t>
  </si>
  <si>
    <t>002053</t>
  </si>
  <si>
    <t>Pierścień ozdobny STAR MINI QUADRAT chrom JVS</t>
  </si>
  <si>
    <t>002121</t>
  </si>
  <si>
    <t>Plafon CEDRA 1 biały</t>
  </si>
  <si>
    <t>000925</t>
  </si>
  <si>
    <t>Plafon CEDRA 1 szary</t>
  </si>
  <si>
    <t>000926</t>
  </si>
  <si>
    <t>Plafon NAZARIA KOŁO biały</t>
  </si>
  <si>
    <t>000934</t>
  </si>
  <si>
    <t>Plafon NAZARIA KWADRAT biały</t>
  </si>
  <si>
    <t>000935</t>
  </si>
  <si>
    <t>Plafon SEIDA szary</t>
  </si>
  <si>
    <t>000953</t>
  </si>
  <si>
    <t>Plafon STEREO  czarny</t>
  </si>
  <si>
    <t>000931</t>
  </si>
  <si>
    <t>Plafon STEREO 1 czarny</t>
  </si>
  <si>
    <t>000930</t>
  </si>
  <si>
    <t>Plafon STEREO 4 biały</t>
  </si>
  <si>
    <t>000929</t>
  </si>
  <si>
    <t>Przewód zasilający CRETE PC 5m Kobi Design</t>
  </si>
  <si>
    <t>001438</t>
  </si>
  <si>
    <t>Przewód zasilający CRETE PC 10m Kobi Design</t>
  </si>
  <si>
    <t>001439</t>
  </si>
  <si>
    <t>Reflektor szynowy LED  NEXTRACK NT1 30W 3400K 45° biały Kobi Pro</t>
  </si>
  <si>
    <t>000107</t>
  </si>
  <si>
    <t>Reflektor szynowy LED  NEXTRACK NT3 35W 3000K 25° czarny Kobi Pro</t>
  </si>
  <si>
    <t>000109</t>
  </si>
  <si>
    <t>Reflektor szynowy LED  NEXTRACK NT4 38W 3000K 24° czarny Kobi Pro</t>
  </si>
  <si>
    <t>000113</t>
  </si>
  <si>
    <t>000112</t>
  </si>
  <si>
    <t>Reflektor szynowy LED  NEXTRACK NT4 MINI 10W 4000K 60° biały Kobi Pro</t>
  </si>
  <si>
    <t>000105</t>
  </si>
  <si>
    <t>Reflektor szynowy LED  NEXTRACK NT4 MINI 20W 4000K 36° biały Kobi Pro</t>
  </si>
  <si>
    <t>000102</t>
  </si>
  <si>
    <t>000101</t>
  </si>
  <si>
    <t>Reflektor szynowy LED  NEXTRACK NT5 28W 3000K 15° czarny Kobi Pro</t>
  </si>
  <si>
    <t>000116</t>
  </si>
  <si>
    <t>Reflektor szynowy LED  NEXTRACK NT5 28W 3000K 24° czarny Kobi Pro</t>
  </si>
  <si>
    <t>000117</t>
  </si>
  <si>
    <t>Reflektor szynowy LED NEXTRACK NT4 MINI 20W 3000K 60° biały Kobi Pro</t>
  </si>
  <si>
    <t>000025</t>
  </si>
  <si>
    <t>Spot ARLES 1xGU10 biały Kobi</t>
  </si>
  <si>
    <t>002149</t>
  </si>
  <si>
    <t>Spot ARLES 2xGU10 biały Kobi</t>
  </si>
  <si>
    <t>002150</t>
  </si>
  <si>
    <t>Świetlówka LED T8 22W 150CM 4000K LED2B</t>
  </si>
  <si>
    <t>001312</t>
  </si>
  <si>
    <t>Taśma LED TRAMO 300 2835 5m zielona IP20 Kobi</t>
  </si>
  <si>
    <t>001408</t>
  </si>
  <si>
    <t>Taśma LED TRAMO 300 2835 5m żółta IP65 Kobi</t>
  </si>
  <si>
    <t>001402</t>
  </si>
  <si>
    <t>Taśma LUMOS LED SET 3m 3000K IP20 Kobi</t>
  </si>
  <si>
    <t>001426</t>
  </si>
  <si>
    <t>Taśma LUMOS LED SET 3m 4000K IP20 Kobi</t>
  </si>
  <si>
    <t>001427</t>
  </si>
  <si>
    <t>ZWIS QR111 AZZAANO G53 3X50W RAL9006 SR.</t>
  </si>
  <si>
    <t>000887</t>
  </si>
  <si>
    <t>Żarówka filamentowa LED FGS 7W E27 3000K 3-pak Kobi 360 Line</t>
  </si>
  <si>
    <t>001142</t>
  </si>
  <si>
    <t>Żarówka filamentowa LED FGS 7W E27 3000K 6-pak Kobi 360 Line</t>
  </si>
  <si>
    <t>001143</t>
  </si>
  <si>
    <t>Żarówka LED G9 6W 3000K Kobi</t>
  </si>
  <si>
    <t>001167</t>
  </si>
  <si>
    <t>Żarówka LED G9 6W 6000K Kobi</t>
  </si>
  <si>
    <t>001169</t>
  </si>
  <si>
    <t>5902201373608</t>
  </si>
  <si>
    <t>5902201373578</t>
  </si>
  <si>
    <t>5902201373639</t>
  </si>
  <si>
    <t>5902201373585</t>
  </si>
  <si>
    <t>5902201373592</t>
  </si>
  <si>
    <t>5902201304657</t>
  </si>
  <si>
    <t>5902201304732</t>
  </si>
  <si>
    <t>5901643166946</t>
  </si>
  <si>
    <t>5902622429298</t>
  </si>
  <si>
    <t>5902553207248</t>
  </si>
  <si>
    <t>5902553202656</t>
  </si>
  <si>
    <t>5902553202700</t>
  </si>
  <si>
    <t>4251292406735</t>
  </si>
  <si>
    <t>5902553205848</t>
  </si>
  <si>
    <t>4251292406759</t>
  </si>
  <si>
    <t>5902553206043</t>
  </si>
  <si>
    <t>5902553219715</t>
  </si>
  <si>
    <t>5900605098905</t>
  </si>
  <si>
    <t>5902553205213</t>
  </si>
  <si>
    <t>5908259940113</t>
  </si>
  <si>
    <t>5902553205220</t>
  </si>
  <si>
    <t>5902846814573</t>
  </si>
  <si>
    <t>5907554412226</t>
  </si>
  <si>
    <t>5902846011460</t>
  </si>
  <si>
    <t>5902846019510</t>
  </si>
  <si>
    <t>5900605098943</t>
  </si>
  <si>
    <t>5900605099032</t>
  </si>
  <si>
    <t>5902846011606</t>
  </si>
  <si>
    <t>5900605099025</t>
  </si>
  <si>
    <t>5903282707122</t>
  </si>
  <si>
    <t>6911909506408</t>
  </si>
  <si>
    <t>5908259943718</t>
  </si>
  <si>
    <t>5908259940120</t>
  </si>
  <si>
    <t>5902335261840</t>
  </si>
  <si>
    <t>5902846812869</t>
  </si>
  <si>
    <t>5902622427690</t>
  </si>
  <si>
    <t>6911909506361</t>
  </si>
  <si>
    <t>5902553202601</t>
  </si>
  <si>
    <t>5902553205251</t>
  </si>
  <si>
    <t>5902553205268</t>
  </si>
  <si>
    <t>5902553204025</t>
  </si>
  <si>
    <t>5902622427423</t>
  </si>
  <si>
    <t>6911909506415</t>
  </si>
  <si>
    <t>5903282707115</t>
  </si>
  <si>
    <t>5900605099087</t>
  </si>
  <si>
    <t>5902553219760</t>
  </si>
  <si>
    <t>5902553219777</t>
  </si>
  <si>
    <t>5907736425037</t>
  </si>
  <si>
    <t>5902622427997</t>
  </si>
  <si>
    <t>5903282715936</t>
  </si>
  <si>
    <t>5902335266173</t>
  </si>
  <si>
    <t>5902335262847</t>
  </si>
  <si>
    <t>5902201303599</t>
  </si>
  <si>
    <t>5902201303681</t>
  </si>
  <si>
    <t>5902846014621</t>
  </si>
  <si>
    <t>5900605099490</t>
  </si>
  <si>
    <t>5900605098974</t>
  </si>
  <si>
    <t>5902846011514</t>
  </si>
  <si>
    <t>5902846011521</t>
  </si>
  <si>
    <t>5902846011620</t>
  </si>
  <si>
    <t>5902846011644</t>
  </si>
  <si>
    <t>5902846016571</t>
  </si>
  <si>
    <t>5900605098967</t>
  </si>
  <si>
    <t>5902846011538</t>
  </si>
  <si>
    <t>5902846011668</t>
  </si>
  <si>
    <t>5902846011682</t>
  </si>
  <si>
    <t>5900605098998</t>
  </si>
  <si>
    <t>5900605096765</t>
  </si>
  <si>
    <t>5900605098691</t>
  </si>
  <si>
    <t>5900605098738</t>
  </si>
  <si>
    <t>5902201302318</t>
  </si>
  <si>
    <t>5902201302325</t>
  </si>
  <si>
    <t>5901087112004</t>
  </si>
  <si>
    <t>5901087115005</t>
  </si>
  <si>
    <t>5901087111021</t>
  </si>
  <si>
    <t>5901087111120</t>
  </si>
  <si>
    <t>5901087111038</t>
  </si>
  <si>
    <t>5901087111137</t>
  </si>
  <si>
    <t>5901087114237</t>
  </si>
  <si>
    <t>5902201305791</t>
  </si>
  <si>
    <t>5902201305838</t>
  </si>
  <si>
    <t>5900605097359</t>
  </si>
  <si>
    <t>5900605098899</t>
  </si>
  <si>
    <t>4251292449282</t>
  </si>
  <si>
    <t>4251292449244</t>
  </si>
  <si>
    <t>4251292449251</t>
  </si>
  <si>
    <t>5908259945439</t>
  </si>
  <si>
    <t>5908259945460</t>
  </si>
  <si>
    <t>5902846015284</t>
  </si>
  <si>
    <t>85414300</t>
  </si>
  <si>
    <t>5902201359497</t>
  </si>
  <si>
    <t>5902846014683</t>
  </si>
  <si>
    <t>5902846014652</t>
  </si>
  <si>
    <t>4251292455771</t>
  </si>
  <si>
    <t>4251292455801</t>
  </si>
  <si>
    <t>4251292424203</t>
  </si>
  <si>
    <t>5900605094723</t>
  </si>
  <si>
    <t>5900605096734</t>
  </si>
  <si>
    <t>5900605097991</t>
  </si>
  <si>
    <t>5900605096710</t>
  </si>
  <si>
    <t>4251292420755</t>
  </si>
  <si>
    <t>5902622428161</t>
  </si>
  <si>
    <t>5902622428208</t>
  </si>
  <si>
    <t>5902622429328</t>
  </si>
  <si>
    <t>5902622429335</t>
  </si>
  <si>
    <t>5903282714359</t>
  </si>
  <si>
    <t>5902622429083</t>
  </si>
  <si>
    <t>5902622429052</t>
  </si>
  <si>
    <t>5902622429106</t>
  </si>
  <si>
    <t>5902201373554</t>
  </si>
  <si>
    <t>5902201373561</t>
  </si>
  <si>
    <t>5902846012535</t>
  </si>
  <si>
    <t>5902846012573</t>
  </si>
  <si>
    <t>5902846013334</t>
  </si>
  <si>
    <t>5902846013327</t>
  </si>
  <si>
    <t>5902201305913</t>
  </si>
  <si>
    <t>5902201301403</t>
  </si>
  <si>
    <t>5902846019404</t>
  </si>
  <si>
    <t>5902846013389</t>
  </si>
  <si>
    <t>5902846013396</t>
  </si>
  <si>
    <t>5902201304367</t>
  </si>
  <si>
    <t>5902846013600</t>
  </si>
  <si>
    <t>5902846013617</t>
  </si>
  <si>
    <t>5902846016298</t>
  </si>
  <si>
    <t>5902201301144</t>
  </si>
  <si>
    <t>5902201301175</t>
  </si>
  <si>
    <t>5902201359558</t>
  </si>
  <si>
    <t>5902201359565</t>
  </si>
  <si>
    <t>5907736400027</t>
  </si>
  <si>
    <t>5902201303476</t>
  </si>
  <si>
    <t>5902201303513</t>
  </si>
  <si>
    <t>5902201300888</t>
  </si>
  <si>
    <t>5902201300901</t>
  </si>
  <si>
    <t>WWW</t>
  </si>
  <si>
    <t>004484</t>
  </si>
  <si>
    <t>Reflektor szynowy zwieszany 3-obwodowy NEXTRACK S-LINE P 1xGU10 czarny Kobi</t>
  </si>
  <si>
    <t>004385</t>
  </si>
  <si>
    <t>Reflektor szynowy zwieszany 3-obwodowy NEXTRACK S-LINE P 1xGU10 biały Kobi</t>
  </si>
  <si>
    <t>004386</t>
  </si>
  <si>
    <t>Oprawa liniowa DELFIA G2 2x120 Kobi</t>
  </si>
  <si>
    <t>004483</t>
  </si>
  <si>
    <t>5907178011768</t>
  </si>
  <si>
    <t>5907178010051</t>
  </si>
  <si>
    <t>5907178010068</t>
  </si>
  <si>
    <t>5907178011751</t>
  </si>
  <si>
    <t>Oprawa liniowa hermetyczna LED NEXFORCE N2 max. 36W 4000K Kobi Pro</t>
  </si>
  <si>
    <t>Oprawa liniowa hermetyczna LED NEXFORCE N2 max. 52W 4000K Kobi Pro</t>
  </si>
  <si>
    <t>Naświetlacz akumulatorowy LED TIGRA B 20W 4000K IP54 Kobi</t>
  </si>
  <si>
    <t>Kinkiet ogrodowy LED LUMEPRA 6W 4000K IP54 czarny Kobi</t>
  </si>
  <si>
    <t>004481</t>
  </si>
  <si>
    <t>Kinkiet ogrodowy LED LUMEPRA 6W 3000K IP54 czarny Kobi</t>
  </si>
  <si>
    <t>004482</t>
  </si>
  <si>
    <t>Lampa ogrodowa LED BLAKE 5W 4000K IP65 czarna Kobi</t>
  </si>
  <si>
    <t>004478</t>
  </si>
  <si>
    <t>Lampa ogrodowa LED BLAKE 5W 3000K IP65 czarna Kobi</t>
  </si>
  <si>
    <t>004479</t>
  </si>
  <si>
    <t>Lampa ogrodowa BLAKE UNO 1xGU10 IP65 czarna Kobi</t>
  </si>
  <si>
    <t>004480</t>
  </si>
  <si>
    <t>Kinkiet ogrodowy Solar LED OMVIA 3000K IP44 czarny LED2B</t>
  </si>
  <si>
    <t>004502</t>
  </si>
  <si>
    <t>Lampa ogrodowa Solar LED CANDELIO MILKY 1600K IP44 czarna LED2B</t>
  </si>
  <si>
    <t>004500</t>
  </si>
  <si>
    <t>Lampa ogrodowa Solar LED CANDELIO STAR 2700K IP44 czarna LED2B</t>
  </si>
  <si>
    <t>004499</t>
  </si>
  <si>
    <t>Słupek ogrodowy Solar LED LANCE G2 4000K IP44 LED2B</t>
  </si>
  <si>
    <t>004504</t>
  </si>
  <si>
    <t>Lampa ogrodowa Solar LED CANDELIO P 2700K IP44 czarna LED2B</t>
  </si>
  <si>
    <t>004498</t>
  </si>
  <si>
    <t>Lampa sufitowa BOHO BULI S 3xE27 Kobi Design</t>
  </si>
  <si>
    <t>Lampa wisząca BOHO RENNI B 1xE27 Kobi Design</t>
  </si>
  <si>
    <t>Lampa wisząca BOHO REDDI 1xE27 Kobi Design</t>
  </si>
  <si>
    <t>Lampa wisząca BOHO SIBU LONG 1xE27 Kobi Design</t>
  </si>
  <si>
    <t>Lampa wisząca BOHO SONTI 1xE27 Kobi Design</t>
  </si>
  <si>
    <t>5907178011720</t>
  </si>
  <si>
    <t>5907178011737</t>
  </si>
  <si>
    <t>5907178011690</t>
  </si>
  <si>
    <t>5907178011706</t>
  </si>
  <si>
    <t>5907178011713</t>
  </si>
  <si>
    <t>5907178012000</t>
  </si>
  <si>
    <t>5907178011980</t>
  </si>
  <si>
    <t>5907178011973</t>
  </si>
  <si>
    <t>5907178012024</t>
  </si>
  <si>
    <t>5907178011966</t>
  </si>
  <si>
    <t>Świetlówka LED T8 G2 22W 120cm 4000K Kobi Premium</t>
  </si>
  <si>
    <t>004536</t>
  </si>
  <si>
    <t>Świetlówka LED T8 G2 22W 120cm 6500K Kobi Premium</t>
  </si>
  <si>
    <t>004537</t>
  </si>
  <si>
    <t>Żarówka LED MB 8,5W E14 3000K Kobi Premium</t>
  </si>
  <si>
    <t>004455</t>
  </si>
  <si>
    <t>Żarówka LED MB 8,5W E14 4000K Kobi Premium</t>
  </si>
  <si>
    <t>004456</t>
  </si>
  <si>
    <t>Żarówka LED MB 8,5W E14 6000K Kobi Premium</t>
  </si>
  <si>
    <t>004457</t>
  </si>
  <si>
    <t>Żarówka LED MB 8,5W E27 3000K Kobi Premium</t>
  </si>
  <si>
    <t>004461</t>
  </si>
  <si>
    <t>Żarówka LED MB 8,5W E27 4000K Kobi Premium</t>
  </si>
  <si>
    <t>004462</t>
  </si>
  <si>
    <t>Żarówka LED MB 8,5W E27 6000K Kobi Premium</t>
  </si>
  <si>
    <t>004463</t>
  </si>
  <si>
    <t>Żarówka LED SW 8,5W E14 3000K Kobi Premium</t>
  </si>
  <si>
    <t>004458</t>
  </si>
  <si>
    <t>Żarówka LED SW 8,5W E14 4000K Kobi Premium</t>
  </si>
  <si>
    <t>004459</t>
  </si>
  <si>
    <t>Żarówka LED SW 8,5W E14 6000K Kobi Premium</t>
  </si>
  <si>
    <t>004460</t>
  </si>
  <si>
    <t>Żarówka LED SW 8,5W E27 3000K Kobi Premium</t>
  </si>
  <si>
    <t>004464</t>
  </si>
  <si>
    <t>Żarówka LED SW 8,5W E27 4000K Kobi Premium</t>
  </si>
  <si>
    <t>004465</t>
  </si>
  <si>
    <t>Żarówka LED SW 8,5W E27 6000K Kobi Premium</t>
  </si>
  <si>
    <t>004466</t>
  </si>
  <si>
    <t>Naświetlacz LED MHC 20W 6500K IP54 czarny LED2B RED</t>
  </si>
  <si>
    <t>Kinkiet ogrodowy LED QUERK 2x3W 3000K IP54 420lm czarny LED2B</t>
  </si>
  <si>
    <t>Reflektor szynowy LED NEXTRACK VISION 30W 3CCT 30-60° biały Kobi Pro</t>
  </si>
  <si>
    <t>Wkład LED INSERT 5W 3CCT DIM Kobi</t>
  </si>
  <si>
    <t>004454</t>
  </si>
  <si>
    <t>5907178012499</t>
  </si>
  <si>
    <t>5907178012505</t>
  </si>
  <si>
    <t>5907178011560</t>
  </si>
  <si>
    <t>5907178011577</t>
  </si>
  <si>
    <t>5907178011584</t>
  </si>
  <si>
    <t>5907178011621</t>
  </si>
  <si>
    <t>5907178011638</t>
  </si>
  <si>
    <t>5907178011645</t>
  </si>
  <si>
    <t>5907178011591</t>
  </si>
  <si>
    <t>5907178011607</t>
  </si>
  <si>
    <t>5907178011614</t>
  </si>
  <si>
    <t>5907178011652</t>
  </si>
  <si>
    <t>5907178011669</t>
  </si>
  <si>
    <t>5907178011676</t>
  </si>
  <si>
    <t>5907178011553</t>
  </si>
  <si>
    <t>Kinkiet ogrodowy LED QUERK 2x2W 3000K IP54 550lm czarny LED2B</t>
  </si>
  <si>
    <t>004544</t>
  </si>
  <si>
    <t>Słupek ogrodowy ZENVIO 4gn/Zu IP44 czarne LED2B</t>
  </si>
  <si>
    <t>004526</t>
  </si>
  <si>
    <t>Lampa ogrodowa Solar LED LUVETRA 4000K IP44 czarna LED2B</t>
  </si>
  <si>
    <t>004509</t>
  </si>
  <si>
    <t>Słupek ogrodowy Solar LED SPHERE G2 20cm 4000K IP44 LED2B</t>
  </si>
  <si>
    <t>004513</t>
  </si>
  <si>
    <t>Słupek ogrodowy Solar LED SPHERE G2 10cm RGB IP44 LED2B</t>
  </si>
  <si>
    <t>004515</t>
  </si>
  <si>
    <t>Słupek ogrodowy Solar LED SPHERE G2 20cm RGB IP44 LED2B</t>
  </si>
  <si>
    <t>004516</t>
  </si>
  <si>
    <t>004492</t>
  </si>
  <si>
    <t>Słupek ogrodowy Solar LED GLEAM 3000K IP44 LED2B</t>
  </si>
  <si>
    <t>004493</t>
  </si>
  <si>
    <t>Słupek ogrodowy Solar LED GLOBE 3000K IP44 LED2B</t>
  </si>
  <si>
    <t>004494</t>
  </si>
  <si>
    <t>Słupek ogrodowy Solar LED AURORA ROUND 4000K IP44 LED2B</t>
  </si>
  <si>
    <t>004503</t>
  </si>
  <si>
    <t>Lampa ogrodowa Solar LED LUVETRA 4000K IP44 biała LED2B</t>
  </si>
  <si>
    <t>004510</t>
  </si>
  <si>
    <t>Słupek ogrodowy Solar LED SPRINKLE 3000K IP44 LED2B</t>
  </si>
  <si>
    <t>004511</t>
  </si>
  <si>
    <t>Słupek ogrodowy Solar LED SPHERE G2 10cm 4000K IP44 LED2B</t>
  </si>
  <si>
    <t>004512</t>
  </si>
  <si>
    <t>004524</t>
  </si>
  <si>
    <t>Żarówka LED S14 0,042W 24V E27 2700K LED2B</t>
  </si>
  <si>
    <t>004525</t>
  </si>
  <si>
    <t>Lampa ogrodowa Solar LED CLAVO G2 4000K IP44 4-pak LED2B</t>
  </si>
  <si>
    <t>004508</t>
  </si>
  <si>
    <t>004517</t>
  </si>
  <si>
    <t>004518</t>
  </si>
  <si>
    <t>Girlanda Solar LED STARLIGHT NEO 10m 10x0,042W E27 LED2B</t>
  </si>
  <si>
    <t>004521</t>
  </si>
  <si>
    <t>Girlanda Solar LED STARLIGHT NEO 10m 20x0,042W E27 LED2B</t>
  </si>
  <si>
    <t>004522</t>
  </si>
  <si>
    <t>Girlanda Solar LED STARLIGHT NEO 20m 20x0,042W E27 LED2B</t>
  </si>
  <si>
    <t>004523</t>
  </si>
  <si>
    <t>5907178012543</t>
  </si>
  <si>
    <t>5907178012246</t>
  </si>
  <si>
    <t>5907178012079</t>
  </si>
  <si>
    <t>5907178012116</t>
  </si>
  <si>
    <t>5907178012130</t>
  </si>
  <si>
    <t>5907178012147</t>
  </si>
  <si>
    <t>5907178011904</t>
  </si>
  <si>
    <t>5907178011928</t>
  </si>
  <si>
    <t>5907178011942</t>
  </si>
  <si>
    <t>5907178012017</t>
  </si>
  <si>
    <t>5907178012086</t>
  </si>
  <si>
    <t>5907178012093</t>
  </si>
  <si>
    <t>5907178012109</t>
  </si>
  <si>
    <t>5907178012222</t>
  </si>
  <si>
    <t>85044085</t>
  </si>
  <si>
    <t>5907178012239</t>
  </si>
  <si>
    <t>5907178012062</t>
  </si>
  <si>
    <t>5907178012154</t>
  </si>
  <si>
    <t>5907178012161</t>
  </si>
  <si>
    <t>5907178012192</t>
  </si>
  <si>
    <t>5907178012208</t>
  </si>
  <si>
    <t>5907178012215</t>
  </si>
  <si>
    <t>Żarówka filamentowa LED FMB 1,3W E27 2700K Kobi</t>
  </si>
  <si>
    <t>Kinkiet ogrodowy Solar LED QUERK 2CCT IP54 2-pak LED2B</t>
  </si>
  <si>
    <t>Kinkiet ogrodowy Solar LED QUERK 2CCT IP54 LED2B</t>
  </si>
  <si>
    <t>Reflektor szynowy LED NEXTRACK VISION 10W 3CCT 30-60° biały Kobi Pro</t>
  </si>
  <si>
    <t>Reflektor szynowy LED NEXTRACK VISION 10W 3CCT 30-60° czarny Kobi Pro</t>
  </si>
  <si>
    <t>Reflektor szynowy LED NEXTRACK VISION 20W 3CCT 30-60° biały Kobi Pro</t>
  </si>
  <si>
    <t>Reflektor szynowy LED NEXTRACK VISION 20W 3CCT 30-60° czarny Kobi Pro</t>
  </si>
  <si>
    <t>Reflektor szynowy LED NEXTRACK VISION 30W 3CCT 30-60° czarny Kobi Pro</t>
  </si>
  <si>
    <t>Kinkiet GLOBE ELEGANCE ASH K 1xG9 Kobi Design</t>
  </si>
  <si>
    <t>Lampa wisząca FIDŻI 3 biały</t>
  </si>
  <si>
    <t>000730</t>
  </si>
  <si>
    <t>5902335261802</t>
  </si>
  <si>
    <t>Przedłużacz LINEA 3gn/1,5m/Zu biały Kobi</t>
  </si>
  <si>
    <t>Przedłużacz LINEA 3gn/3m/Zu biały Kobi</t>
  </si>
  <si>
    <t>Przedłużacz LINEA 3gn/5m/Zu biały Kobi</t>
  </si>
  <si>
    <t>Przedłużacz LINEA 4gn/1,5m/Zu biały Kobi</t>
  </si>
  <si>
    <t>Przedłużacz LINEA 4gn/3m/Zu biały Kobi</t>
  </si>
  <si>
    <t>Przedłużacz LINEA 4gn/5m/Zu biały Kobi</t>
  </si>
  <si>
    <t>Przedłużacz LINEA 5gn/1,5m/Zu biały Kobi</t>
  </si>
  <si>
    <t>Przedłużacz LINEA 5gn/3m/Zu biały Kobi</t>
  </si>
  <si>
    <t>Przedłużacz LINEA 5gn/5m/Zu biały Kobi</t>
  </si>
  <si>
    <t>Przedłużacz LINEA 3gn/3m/Zu+W biały Kobi</t>
  </si>
  <si>
    <t>Przedłużacz LINEA 3gn/5m/Zu+W biały Kobi</t>
  </si>
  <si>
    <t>Przedłużacz LINEA 5gn/3m/Zu+W biały Kobi</t>
  </si>
  <si>
    <t>Przedłużacz LINEA 5gn/5m/Zu+W biały Kobi</t>
  </si>
  <si>
    <t>Downlight LED BRINO 3/5/7W 3CCT biały Kobi</t>
  </si>
  <si>
    <t>004346</t>
  </si>
  <si>
    <t>Downlight LED BRINO 3/5/7W 3CCT czarny Kobi</t>
  </si>
  <si>
    <t>004347</t>
  </si>
  <si>
    <t>5907178007372</t>
  </si>
  <si>
    <t>5907178007389</t>
  </si>
  <si>
    <t>Lampka na monitor LED ZENARRA 5W CCT LLS</t>
  </si>
  <si>
    <t>002600</t>
  </si>
  <si>
    <t>5902201378337</t>
  </si>
  <si>
    <t>Lampka biurkowa DATURA BAMBOO ST MINI 1xE27 LLS</t>
  </si>
  <si>
    <t>002602</t>
  </si>
  <si>
    <t>5902201381481</t>
  </si>
  <si>
    <t>Lampka biurkowa BATILA BAMBOO ST 1xE27 LLS</t>
  </si>
  <si>
    <t>002603</t>
  </si>
  <si>
    <t>5902201381603</t>
  </si>
  <si>
    <t>Lampa wisząca OLEA BAMBOO 1xE27 LLS</t>
  </si>
  <si>
    <t>002572</t>
  </si>
  <si>
    <t>5902201366402</t>
  </si>
  <si>
    <t>Lampa wisząca DATURA BAMBOO 1xE27 LLS</t>
  </si>
  <si>
    <t>002578</t>
  </si>
  <si>
    <t>5902201366464</t>
  </si>
  <si>
    <t>Lampa wisząca SOLIX BAMBOO 1xE27 LLS</t>
  </si>
  <si>
    <t>002579</t>
  </si>
  <si>
    <t>5902201366471</t>
  </si>
  <si>
    <t>Lampa ogrodowa kwadratowa 1xGU10 IP44 czarna LLS</t>
  </si>
  <si>
    <t>002546</t>
  </si>
  <si>
    <t>5902846016458</t>
  </si>
  <si>
    <t>Łącznik do szynoprzewodu 3-obwodowy FLEX biały Kobi</t>
  </si>
  <si>
    <t>Łącznik do szynoprzewodu 3-obwodowy FLEX czarny Kobi</t>
  </si>
  <si>
    <t>Łącznik do szynoprzewodu 3-obwodowy T PRAWY biały Kobi</t>
  </si>
  <si>
    <t>Łącznik do szynoprzewodu 3-obwodowy T PRAWY czarny Kobi</t>
  </si>
  <si>
    <t>Łącznik do szynoprzewodu 3-obwodowy X biały Kobi</t>
  </si>
  <si>
    <t>Łącznik do szynoprzewodu 3-obwodowy X czarny Kobi</t>
  </si>
  <si>
    <t>Łącznik do szynoprzewodu 3-obwodowy L LEWY biały Kobi</t>
  </si>
  <si>
    <t>Łącznik do szynoprzewodu 3-obwodowy L LEWY czarny Kobi</t>
  </si>
  <si>
    <t>Łącznik do szynoprzewodu 3-obwodowy L PRAWY biały Kobi</t>
  </si>
  <si>
    <t>Łącznik do szynoprzewodu 3-obwodowy L PRAWY czarny Kobi</t>
  </si>
  <si>
    <t>Zasilacz do LED 9W 24V IP44 LED2B</t>
  </si>
  <si>
    <t>Oprawa parkowa LED NEXPARK G2 30W/40W/60W 3CCT IP66 Kobi Pro</t>
  </si>
  <si>
    <t>004540</t>
  </si>
  <si>
    <t>5907178012512</t>
  </si>
  <si>
    <t>Oprawa do nadbudowania OH12 S 1xGX53 biała Kobi</t>
  </si>
  <si>
    <t>004685</t>
  </si>
  <si>
    <t>Oprawa do nadbudowania OH12 S 1xGX53 czarna Kobi</t>
  </si>
  <si>
    <t>004686</t>
  </si>
  <si>
    <t>Oprawa do nadbudowania OH12 1xGX53 biała Kobi</t>
  </si>
  <si>
    <t>004687</t>
  </si>
  <si>
    <t>Oprawa do nadbudowania OH12 1xGX53 czarna Kobi</t>
  </si>
  <si>
    <t>004688</t>
  </si>
  <si>
    <t>Oprawa do nadbudowania OH12 F 1xGX53 biała Kobi</t>
  </si>
  <si>
    <t>004689</t>
  </si>
  <si>
    <t>Oprawa do nadbudowania OH12 F 1xGX53 czarna Kobi</t>
  </si>
  <si>
    <t>004690</t>
  </si>
  <si>
    <t>Oprawa sufitowa LUNVIGO 4xGX53 czarna Kobi</t>
  </si>
  <si>
    <t>004683</t>
  </si>
  <si>
    <t>Oprawa sufitowa LUNVIGO 6xGX53 czarna Kobi</t>
  </si>
  <si>
    <t>004684</t>
  </si>
  <si>
    <t>Oprawa parkowa Solar LED SOLSUMI SQUARE 25W 3CCT IP54 Kobi Premium</t>
  </si>
  <si>
    <t>004612</t>
  </si>
  <si>
    <t>Plafon LED z wentylatorem VENTELUX 24W+15W 3CCT biały Kobi Windstar</t>
  </si>
  <si>
    <t>004592</t>
  </si>
  <si>
    <t>Plafon LED z wentylatorem VENTELUX 48W+15W 3CCT czarny Kobi Windstar</t>
  </si>
  <si>
    <t>004593</t>
  </si>
  <si>
    <t>Plafon LED z wentylatorem VENTELUX  48W+15W 3CCT+RGB  Kobi Windstar</t>
  </si>
  <si>
    <t>004594</t>
  </si>
  <si>
    <t>Profil P01 natynkowy anodowany srebrny + przesłona mleczna 2m Kobi</t>
  </si>
  <si>
    <t>004627</t>
  </si>
  <si>
    <t>Profile aluminiowe</t>
  </si>
  <si>
    <t>Profil P01 natynkowy czarny + przesłona mleczna 2m Kobi</t>
  </si>
  <si>
    <t>004628</t>
  </si>
  <si>
    <t>Profil P01 natynkowy biały + przesłona mleczna 2m Kobi</t>
  </si>
  <si>
    <t>004629</t>
  </si>
  <si>
    <t>Profil P02 podtynkowy anodowany srebrny + przesłona mleczna 2m Kobi</t>
  </si>
  <si>
    <t>004630</t>
  </si>
  <si>
    <t>Profil P02 podtynkowy czarny + przesłona mleczna 2m Kobi</t>
  </si>
  <si>
    <t>004631</t>
  </si>
  <si>
    <t>Profil P02 podtynkowy biały + przesłona mleczna 2m Kobi</t>
  </si>
  <si>
    <t>004632</t>
  </si>
  <si>
    <t>Profil N01 narożny anodowany srebrny + przesłona mleczna 2m Kobi</t>
  </si>
  <si>
    <t>004633</t>
  </si>
  <si>
    <t>Profil N01 narożny czarny + przesłona mleczna 2m Kobi</t>
  </si>
  <si>
    <t>004634</t>
  </si>
  <si>
    <t>Profil N01 narożny biały + przesłona mleczna 2m Kobi</t>
  </si>
  <si>
    <t>004635</t>
  </si>
  <si>
    <t>Profil KG01 podtynkowy anodowany srebrny + przesłona mleczna 2m Kobi</t>
  </si>
  <si>
    <t>004636</t>
  </si>
  <si>
    <t>5907178016688</t>
  </si>
  <si>
    <t>5907178016695</t>
  </si>
  <si>
    <t>5907178016701</t>
  </si>
  <si>
    <t>5907178016718</t>
  </si>
  <si>
    <t>5907178016725</t>
  </si>
  <si>
    <t>5907178016732</t>
  </si>
  <si>
    <t>5907178016664</t>
  </si>
  <si>
    <t>5907178016671</t>
  </si>
  <si>
    <t>5907178016374</t>
  </si>
  <si>
    <t>5907178015568</t>
  </si>
  <si>
    <t>5907178015575</t>
  </si>
  <si>
    <t>5907178015582</t>
  </si>
  <si>
    <t>5907178016404</t>
  </si>
  <si>
    <t>5907178016411</t>
  </si>
  <si>
    <t>5907178016428</t>
  </si>
  <si>
    <t>5907178016435</t>
  </si>
  <si>
    <t>5907178016442</t>
  </si>
  <si>
    <t>5907178016459</t>
  </si>
  <si>
    <t>5907178016466</t>
  </si>
  <si>
    <t>5907178016473</t>
  </si>
  <si>
    <t>5907178016480</t>
  </si>
  <si>
    <t>5907178016497</t>
  </si>
  <si>
    <t>004702</t>
  </si>
  <si>
    <t>Żarówka LED GX53 5W 3000K Kobi</t>
  </si>
  <si>
    <t>004666</t>
  </si>
  <si>
    <t>Żarówka LED GX53 5W 4000K Kobi</t>
  </si>
  <si>
    <t>004667</t>
  </si>
  <si>
    <t>Żarówka LED GX53 9W 3000K Kobi</t>
  </si>
  <si>
    <t>004668</t>
  </si>
  <si>
    <t>Żarówka LED GX53 9W 4000K Kobi</t>
  </si>
  <si>
    <t>004669</t>
  </si>
  <si>
    <t>Żarówka LED GX53 11W 3000K Kobi</t>
  </si>
  <si>
    <t>004670</t>
  </si>
  <si>
    <t>Żarówka LED GX53 11W 4000K Kobi</t>
  </si>
  <si>
    <t>004671</t>
  </si>
  <si>
    <t>Żarówka LED GX53 13W 3000K Kobi</t>
  </si>
  <si>
    <t>004672</t>
  </si>
  <si>
    <t>Żarówka LED GX53 13W 4000K Kobi</t>
  </si>
  <si>
    <t>004673</t>
  </si>
  <si>
    <t>Żarówka filamentowa LED FGS 10W E27 3000K mleczna Kobi</t>
  </si>
  <si>
    <t>004625</t>
  </si>
  <si>
    <t>Żarówka filamentowa LED FGS 10W E27 4000K mleczna Kobi</t>
  </si>
  <si>
    <t>004626</t>
  </si>
  <si>
    <t>Żarówka LED ST45 1W E27 2700K dymiona LED2B</t>
  </si>
  <si>
    <t>004609</t>
  </si>
  <si>
    <t>Taśma LED TRAMO 320 COB 50m 3000K 12V IP20 Kobi Premium</t>
  </si>
  <si>
    <t>004611</t>
  </si>
  <si>
    <t>Taśma LED TRAMO 320 COB 50m 4000K 12V IP20 Kobi Premium</t>
  </si>
  <si>
    <t>004614</t>
  </si>
  <si>
    <t>Taśma LED TRAMO 320 COB 50m 6500K 12V IP20 Kobi Premium</t>
  </si>
  <si>
    <t>004615</t>
  </si>
  <si>
    <t>Taśma LED TRAMO 320 COB 5m 3000K 24V IP20 Kobi Premium</t>
  </si>
  <si>
    <t>004616</t>
  </si>
  <si>
    <t>Taśma LED TRAMO 320 COB 5m 3000K 24V IP65 Kobi Premium</t>
  </si>
  <si>
    <t>004617</t>
  </si>
  <si>
    <t>Taśma LED TRAMO 320 COB 5m 4000K 24V IP20 Kobi Premium</t>
  </si>
  <si>
    <t>004618</t>
  </si>
  <si>
    <t>Taśma LED TRAMO 320 COB 5m 4000K 24V IP65 Kobi Premium</t>
  </si>
  <si>
    <t>004619</t>
  </si>
  <si>
    <t>Taśma LED TRAMO 320 COB 5m 6500K 24V IP20 Kobi Premium</t>
  </si>
  <si>
    <t>004620</t>
  </si>
  <si>
    <t>Taśma LED TRAMO 320 COB 5m 6500K 24V IP65 Kobi Premium</t>
  </si>
  <si>
    <t>004621</t>
  </si>
  <si>
    <t>Łącznik 9w1 taśmy LED COB 8mm Kobi</t>
  </si>
  <si>
    <t>004610</t>
  </si>
  <si>
    <t>Przedłużacz LINEA G 1gn/10m/Bu/2x1mm pomarańczowy Kobi</t>
  </si>
  <si>
    <t>004699</t>
  </si>
  <si>
    <t>004700</t>
  </si>
  <si>
    <t>004701</t>
  </si>
  <si>
    <t>004703</t>
  </si>
  <si>
    <t>004939</t>
  </si>
  <si>
    <t>5907178016770</t>
  </si>
  <si>
    <t>5907178016589</t>
  </si>
  <si>
    <t>5907178016596</t>
  </si>
  <si>
    <t>5907178016602</t>
  </si>
  <si>
    <t>5907178016619</t>
  </si>
  <si>
    <t>5907178016626</t>
  </si>
  <si>
    <t>5907178016633</t>
  </si>
  <si>
    <t>5907178016640</t>
  </si>
  <si>
    <t>5907178016657</t>
  </si>
  <si>
    <t>5907178016305</t>
  </si>
  <si>
    <t>5907178016398</t>
  </si>
  <si>
    <t>5907178016251</t>
  </si>
  <si>
    <t>5907178016275</t>
  </si>
  <si>
    <t>5907178016282</t>
  </si>
  <si>
    <t>5907178016299</t>
  </si>
  <si>
    <t>5907178016312</t>
  </si>
  <si>
    <t>5907178016329</t>
  </si>
  <si>
    <t>5907178016336</t>
  </si>
  <si>
    <t>5907178016343</t>
  </si>
  <si>
    <t>5907178016350</t>
  </si>
  <si>
    <t>5907178016367</t>
  </si>
  <si>
    <t>5907178016268</t>
  </si>
  <si>
    <t>5907178016749</t>
  </si>
  <si>
    <t>5907178016756</t>
  </si>
  <si>
    <t>5907178016763</t>
  </si>
  <si>
    <t>5907178016787</t>
  </si>
  <si>
    <t>5902479642093</t>
  </si>
  <si>
    <t>Nowości</t>
  </si>
  <si>
    <t>High Bay LED NICO 72-95-120W 3CCT IP65 60°x90° Kobi Pro</t>
  </si>
  <si>
    <t>High Bay LED NICO 144-192-240W 3CCT IP65 60°x90° Kobi Pro</t>
  </si>
  <si>
    <t>Plafon LED SOFI 12W 4000K IP20 Kobi</t>
  </si>
  <si>
    <t>004651</t>
  </si>
  <si>
    <t>Plafon LED SOFI 18W 4000K IP20 Kobi</t>
  </si>
  <si>
    <t>004652</t>
  </si>
  <si>
    <t>Przedłużacz LINEA G 1gn/15m/Bu/2x1mm pomarańczowy Kobi</t>
  </si>
  <si>
    <t>Przedłużacz LINEA G 1gn/20m/Bu/2x1mm pomarańczowy Kobi</t>
  </si>
  <si>
    <t>Przedłużacz LINEA G 1gn/30m/Bu/2x1mm pomarańczowy Kobi</t>
  </si>
  <si>
    <t>Przedłużacz LINEA G 1gn/25m/Bu/2x1mm pomarańczowy Kobi</t>
  </si>
  <si>
    <t>5907178016503</t>
  </si>
  <si>
    <t>5907178016510</t>
  </si>
  <si>
    <t>Lampa ogrodowa Solar LED CANDELIO 2700K biały LED2B</t>
  </si>
  <si>
    <t>002233</t>
  </si>
  <si>
    <t>Lampa ogrodowa Solar LED CANDELIO 2700K czarna LED2B</t>
  </si>
  <si>
    <t>002234</t>
  </si>
  <si>
    <t>Lampa ogrodowa Solar LED CANDELIO 2700K złota LED2B</t>
  </si>
  <si>
    <t>002235</t>
  </si>
  <si>
    <t>Wentylator podłogowy VIENTO 45W biały Kobi Windstar</t>
  </si>
  <si>
    <t>002419</t>
  </si>
  <si>
    <t>5902201389081</t>
  </si>
  <si>
    <t>5902201389104</t>
  </si>
  <si>
    <t>5902201389111</t>
  </si>
  <si>
    <t>5902201301731</t>
  </si>
  <si>
    <t>Kinkiet ogrodowy QUAZAR 5 2xGU10 IP44 czarny Kobi</t>
  </si>
  <si>
    <t>002286</t>
  </si>
  <si>
    <t>5900605095249</t>
  </si>
  <si>
    <t>Świetlówka LED T8 18W 120cm 3000K Kobi Premium</t>
  </si>
  <si>
    <t>001380</t>
  </si>
  <si>
    <t>5902201359442</t>
  </si>
  <si>
    <t>Panel LED NELIO G2 36W 60x60 3000K Kobi Pro</t>
  </si>
  <si>
    <t>003828</t>
  </si>
  <si>
    <t>Naświetlacz LED MHC 10W 6500K IP54 czarny LED2B RED</t>
  </si>
  <si>
    <t>Naświetlacz LED MHC 30W 6500K IP54 czarny LED2B RED</t>
  </si>
  <si>
    <t>Kinkiet ogrodowy LED MIRANA S 8W 30cm 4000K IP44 czarny Kobi</t>
  </si>
  <si>
    <t>004717</t>
  </si>
  <si>
    <t>Kinkiet ogrodowy LED MIRANA S 12W 60cm 4000K IP44 czarny Kobi</t>
  </si>
  <si>
    <t>004718</t>
  </si>
  <si>
    <t>Kinkiet ogrodowy LED MIRANA S 25W 120cm 4000K IP44 czarny Kobi</t>
  </si>
  <si>
    <t>004719</t>
  </si>
  <si>
    <t>Kinkiet ogrodowy LED MIRANA 8W 30cm 4000K IP44 czarny Kobi</t>
  </si>
  <si>
    <t>004720</t>
  </si>
  <si>
    <t>Kinkiet ogrodowy LED MIRANA 12W 60cm 4000K IP44 czarny Kobi</t>
  </si>
  <si>
    <t>004721</t>
  </si>
  <si>
    <t>Kinkiet ogrodowy LED MIRANA 25W 120cm 4000K IP44 czarny Kobi</t>
  </si>
  <si>
    <t>004722</t>
  </si>
  <si>
    <t>005106</t>
  </si>
  <si>
    <t>005108</t>
  </si>
  <si>
    <t>005107</t>
  </si>
  <si>
    <t>5902201396393</t>
  </si>
  <si>
    <t>5907178017258</t>
  </si>
  <si>
    <t>5907178017265</t>
  </si>
  <si>
    <t>5907178017272</t>
  </si>
  <si>
    <t>5907178017289</t>
  </si>
  <si>
    <t>5907178017296</t>
  </si>
  <si>
    <t>5907178017302</t>
  </si>
  <si>
    <t>5902479642017</t>
  </si>
  <si>
    <t>5902479642239</t>
  </si>
  <si>
    <t>5902479642154</t>
  </si>
  <si>
    <t>Uchwyt montażowy BASE TP SV 360mm Fi 60mm czarny Kobi</t>
  </si>
  <si>
    <t>004729</t>
  </si>
  <si>
    <t>Uchwyt montażowy BASE TP SV 360mm Fi 60mm szary Kobi</t>
  </si>
  <si>
    <t>004728</t>
  </si>
  <si>
    <t>Lampka biurkowa LED NOBLITE 7W CCT biała LED2B</t>
  </si>
  <si>
    <t>5907178017326</t>
  </si>
  <si>
    <t>5907178017319</t>
  </si>
  <si>
    <t>Plafon LED NUMOS 5W/7W/10W 4000K LX IP65 Kobi Pro</t>
  </si>
  <si>
    <t>004289</t>
  </si>
  <si>
    <t>Przedłużacz KOBI LINEA PRO CUBE 3gn+3USB/1USB-C/Zu+W biały Kobi</t>
  </si>
  <si>
    <t>Przedłużacz KOBI LINEA PRO CUBE 3gn+3USB/1USB-C/Zu+W czarny Kobi</t>
  </si>
  <si>
    <t>Przedłużacz KOBI LINEA PRO CUBE C 3gn+3USB/1USB-C/1,5m/Zu+W biały Kobi</t>
  </si>
  <si>
    <t>Przedłużacz KOBI LINEA PRO CUBE C 3gn+3USB/1USB-C/1,5m/Zu+W czarny Kobi</t>
  </si>
  <si>
    <t>Przedłużacz KOBI LINEA FL 2gn+3USB/1USB-C/0,2m biały Kobi</t>
  </si>
  <si>
    <t>Przedłużacz KOBI LINEA FL 2gn+3USB/1USB-C/0,2m czarny Kobi</t>
  </si>
  <si>
    <t>Przedłużacz KOBI LINEA PRO 3gn+4USB/1USB-C/1,5m/Zu+W biały Kobi</t>
  </si>
  <si>
    <t>Przedłużacz KOBI LINEA PRO 3gn+4USB/1USB-C/1,5m/Zu+W czarny Kobi</t>
  </si>
  <si>
    <t>Przedłużacz KOBI LINEA PRO 3gn+4USB/1USB-C/3m/Zu+W biały Kobi</t>
  </si>
  <si>
    <t>Przedłużacz KOBI LINEA PRO 3gn+4USB/1USB-C/3m/Zu+W czarny Kobi</t>
  </si>
  <si>
    <t>Przedłużacz KOBI LINEA PRO 3gn+4USB/1USB-C/5m/Zu+W biały Kobi</t>
  </si>
  <si>
    <t>Przedłużacz KOBI LINEA PRO 3gn+4USB/1USB-C/5m/Zu+W czarny Kobi</t>
  </si>
  <si>
    <t>Wentylator podłogowy VIENTO 45W czarny Kobi Windstar</t>
  </si>
  <si>
    <t>002420</t>
  </si>
  <si>
    <t>Wentylator biurkowy VIENTO 40W biały Kobi Windstar</t>
  </si>
  <si>
    <t>002421</t>
  </si>
  <si>
    <t>Klimator ewaporacyjny VIENTO COOL-R 65W czarny Kobi Windstar</t>
  </si>
  <si>
    <t>004588</t>
  </si>
  <si>
    <t>Wentylator biurkowy VIENTO 40W czarny Kobi Windstar</t>
  </si>
  <si>
    <t>004571</t>
  </si>
  <si>
    <t>Wentylator podłogowy VIENTO 200W Kobi Windstar</t>
  </si>
  <si>
    <t>004574</t>
  </si>
  <si>
    <t>Wentylator podłogowy VIENTO-R 40W  biały Kobi Windstar</t>
  </si>
  <si>
    <t>004572</t>
  </si>
  <si>
    <t>Wentylator podłogowy VIENTO-R 40W  czarny Kobi Windstar</t>
  </si>
  <si>
    <t>004573</t>
  </si>
  <si>
    <t>Klimator ewaporacyjny VIENTO COOL 65W biały Kobi Windstar</t>
  </si>
  <si>
    <t>004589</t>
  </si>
  <si>
    <t>Moduł zasilacza puszkowy 12V 45W 3,75A IP67</t>
  </si>
  <si>
    <t>004578</t>
  </si>
  <si>
    <t>Moduł zasilacza puszkowy 12V 60W 5,00A IP67</t>
  </si>
  <si>
    <t>004580</t>
  </si>
  <si>
    <t>Moduł zasilacza puszkowy 24V 60W 2,50A IP67</t>
  </si>
  <si>
    <t>004584</t>
  </si>
  <si>
    <t>Moduł zasilacza puszkowy 12V 20W 1,67A IP67</t>
  </si>
  <si>
    <t>004575</t>
  </si>
  <si>
    <t>Moduł zasilacza puszkowy 12V 30W 2,50A IP67</t>
  </si>
  <si>
    <t>004576</t>
  </si>
  <si>
    <t>Moduł zasilacza puszkowy 24V 20W 0,83A IP67</t>
  </si>
  <si>
    <t>004581</t>
  </si>
  <si>
    <t>Moduł zasilacza puszkowy 24V 30W 1,25A IP67</t>
  </si>
  <si>
    <t>004582</t>
  </si>
  <si>
    <t>Moduł zasilacza puszkowy 24V 45W 1,88A IP67</t>
  </si>
  <si>
    <t>004583</t>
  </si>
  <si>
    <t>Zasilacz desktop 12V 48W 4,0A wtyk DC 2,1x5,5</t>
  </si>
  <si>
    <t>002412</t>
  </si>
  <si>
    <t>005147</t>
  </si>
  <si>
    <t>005148</t>
  </si>
  <si>
    <t>005116</t>
  </si>
  <si>
    <t>5907178005248</t>
  </si>
  <si>
    <t>5902201301748</t>
  </si>
  <si>
    <t>5902201301762</t>
  </si>
  <si>
    <t>5907178015544</t>
  </si>
  <si>
    <t>84796000</t>
  </si>
  <si>
    <t>5907178015360</t>
  </si>
  <si>
    <t>5907178015391</t>
  </si>
  <si>
    <t>5907178015377</t>
  </si>
  <si>
    <t>5907178015384</t>
  </si>
  <si>
    <t>5907178015551</t>
  </si>
  <si>
    <t>5902479641911</t>
  </si>
  <si>
    <t>5902479641928</t>
  </si>
  <si>
    <t>5902479641874</t>
  </si>
  <si>
    <t>5902479641898</t>
  </si>
  <si>
    <t>5902479641904</t>
  </si>
  <si>
    <t>5902479641461</t>
  </si>
  <si>
    <t>5902479641492</t>
  </si>
  <si>
    <t>5902479641867</t>
  </si>
  <si>
    <t>5902201304213</t>
  </si>
  <si>
    <t>5902479642178</t>
  </si>
  <si>
    <t>5902479642222</t>
  </si>
  <si>
    <t>5902479642253</t>
  </si>
  <si>
    <t>Zasilacz 12V 24W do VENEZIA + Kabel 47cm</t>
  </si>
  <si>
    <t>001518</t>
  </si>
  <si>
    <t>5902201384437</t>
  </si>
  <si>
    <t>ZESTAW CRETE Girlanda ogrodowa 5m + kabel 5m + 5x klosz M1</t>
  </si>
  <si>
    <t>005118</t>
  </si>
  <si>
    <t>5907178026151</t>
  </si>
  <si>
    <t>ZESTAW CRETE Girlanda ogrodowa 5m + kabel 5m + 5x klosz M2</t>
  </si>
  <si>
    <t>005119</t>
  </si>
  <si>
    <t>5907178026168</t>
  </si>
  <si>
    <t>ZESTAW CRETE Girlanda ogrodowa 5m + kabel 5m + 5x klosz D1</t>
  </si>
  <si>
    <t>005120</t>
  </si>
  <si>
    <t>5907178026175</t>
  </si>
  <si>
    <t>ZESTAW CRETE Girlanda ogrodowa 10m + kabel 5m + 10x klosz M1</t>
  </si>
  <si>
    <t>005122</t>
  </si>
  <si>
    <t>5907178026199</t>
  </si>
  <si>
    <t>ZESTAW CRETE Girlanda ogrodowa 10m + kabel 5m + 10x klosz M2</t>
  </si>
  <si>
    <t>005123</t>
  </si>
  <si>
    <t>5907178026205</t>
  </si>
  <si>
    <t>ZESTAW CRETE Girlanda ogrodowa 10m + kabel 5m + 10x klosz D1</t>
  </si>
  <si>
    <t>005124</t>
  </si>
  <si>
    <t>5907178026212</t>
  </si>
  <si>
    <t>ZESTAW CRETE Girlanda ogrodowa 20m + kabel 5m + 20x klosz M1</t>
  </si>
  <si>
    <t>005126</t>
  </si>
  <si>
    <t>5907178026236</t>
  </si>
  <si>
    <t>ZESTAW CRETE Girlanda ogrodowa 20m + kabel 5m + 20x klosz M2</t>
  </si>
  <si>
    <t>005127</t>
  </si>
  <si>
    <t>5907178026243</t>
  </si>
  <si>
    <t>ZESTAW CRETE Girlanda ogrodowa 20m + kabel 5m + 20x klosz D1</t>
  </si>
  <si>
    <t>005128</t>
  </si>
  <si>
    <t>5907178026250</t>
  </si>
  <si>
    <t>ZESTAW CRETE Girlanda ogrodowa 15m + kabel 5m + 15x klosz M1</t>
  </si>
  <si>
    <t>005130</t>
  </si>
  <si>
    <t>5907178026274</t>
  </si>
  <si>
    <t>ZESTAW CRETE Girlanda ogrodowa 15m + kabel 5m + 15x klosz M2</t>
  </si>
  <si>
    <t>005131</t>
  </si>
  <si>
    <t>5907178026281</t>
  </si>
  <si>
    <t>ZESTAW CRETE Girlanda ogrodowa 15m + kabel 5m + 15x klosz D1</t>
  </si>
  <si>
    <t>005132</t>
  </si>
  <si>
    <t>5907178026298</t>
  </si>
  <si>
    <t>ZESTAW CRETE Girlanda ogrodowa 5m + kabel 10m + 5x klosz M1</t>
  </si>
  <si>
    <t>005134</t>
  </si>
  <si>
    <t>5907178026311</t>
  </si>
  <si>
    <t>ZESTAW CRETE Girlanda ogrodowa 5m + kabel 10m + 5x klosz M2</t>
  </si>
  <si>
    <t>005135</t>
  </si>
  <si>
    <t>5907178026328</t>
  </si>
  <si>
    <t>ZESTAW CRETE Girlanda ogrodowa 10m + kabel 10m + 10x klosz M1</t>
  </si>
  <si>
    <t>005136</t>
  </si>
  <si>
    <t>5907178026335</t>
  </si>
  <si>
    <t>ZESTAW CRETE Girlanda ogrodowa 10m + kabel 10m + 10x klosz M2</t>
  </si>
  <si>
    <t>005137</t>
  </si>
  <si>
    <t>5907178026342</t>
  </si>
  <si>
    <t>ZESTAW CRETE Girlanda ogrodowa 15m + kabel 10m + 15x klosz M1</t>
  </si>
  <si>
    <t>005138</t>
  </si>
  <si>
    <t>5907178026359</t>
  </si>
  <si>
    <t>ZESTAW CRETE Girlanda ogrodowa 15m + kabel 10m + 15x klosz M2</t>
  </si>
  <si>
    <t>005139</t>
  </si>
  <si>
    <t>5907178026366</t>
  </si>
  <si>
    <t>ZESTAW CRETE Girlanda ogrodowa 20m + kabel 10m + 20x klosz M1</t>
  </si>
  <si>
    <t>005140</t>
  </si>
  <si>
    <t>5907178026373</t>
  </si>
  <si>
    <t>ZESTAW CRETE Girlanda ogrodowa 20m + kabel 10m + 20x klosz M2</t>
  </si>
  <si>
    <t>005141</t>
  </si>
  <si>
    <t>5907178026380</t>
  </si>
  <si>
    <t>Zdjecie</t>
  </si>
  <si>
    <t xml:space="preserve">CENNIK PODSTAWOWY   </t>
  </si>
  <si>
    <t>LAMPY</t>
  </si>
  <si>
    <t>Lampka nocna LED DREAM BALL 1 Kobi Design</t>
  </si>
  <si>
    <t>004985</t>
  </si>
  <si>
    <t>Lampka nocna LED DREAM BALL 2 Kobi Design</t>
  </si>
  <si>
    <t>004986</t>
  </si>
  <si>
    <t>Lampka nocna LED DREAM CAT Kobi Design</t>
  </si>
  <si>
    <t>005018</t>
  </si>
  <si>
    <t>ŹRÓDŁA</t>
  </si>
  <si>
    <t>ŚWIETLÓWKI LED</t>
  </si>
  <si>
    <t>ŻARÓWKI LED</t>
  </si>
  <si>
    <t>Żarówka LED G9 6,5W 3000K Kobi</t>
  </si>
  <si>
    <t>004292</t>
  </si>
  <si>
    <t>Żarówka LED G9 6,5W 4000K Kobi</t>
  </si>
  <si>
    <t>004293</t>
  </si>
  <si>
    <t>Żarówka LED G9 6,5W 6000K Kobi</t>
  </si>
  <si>
    <t>004294</t>
  </si>
  <si>
    <t>Zestaw HERMETIC G2 2x120 + 2x LED T8 18W 120cm 4000K KOBI</t>
  </si>
  <si>
    <t>Zestaw HERMETIC G2 2x120 + 2x LED T8 18W 120cm 6500K KOBI</t>
  </si>
  <si>
    <t>PANELE LED</t>
  </si>
  <si>
    <t>Panel LED NELIO G2 36W 30x120 4000K Kobi Pro</t>
  </si>
  <si>
    <t>004247</t>
  </si>
  <si>
    <t>Ramka 65mm do panelu LED 60x60 Kobi</t>
  </si>
  <si>
    <t>005074</t>
  </si>
  <si>
    <t>Uchwyty do paneli LED 60x60 Kobi</t>
  </si>
  <si>
    <t>Uchwyty do paneli LED 30x120 Kobi</t>
  </si>
  <si>
    <t>Oprawa liniowa hermetyczna LED NEXFORCE N2 20W 4000K Kobi Pro</t>
  </si>
  <si>
    <t>003675</t>
  </si>
  <si>
    <t>Oprawa liniowa hermetyczna LED NEXFORCE N2 max. 70W 3CCT Kobi Pro</t>
  </si>
  <si>
    <t>Oprawa LED NEXFORCE N2 max. 70W 4000K Kobi Pro</t>
  </si>
  <si>
    <t>005191</t>
  </si>
  <si>
    <t>Oprawa liniowa LED KOLINE K2 20-30-40W 3CCT biała Kobi Pro</t>
  </si>
  <si>
    <t>004780</t>
  </si>
  <si>
    <t>Oprawa liniowa LED KOLINE K2 20-30-40W 3CCT UGR&lt;19 czarna Kobi Pro</t>
  </si>
  <si>
    <t>004781</t>
  </si>
  <si>
    <t>Oprawa liniowa LED KOLINE K2 20-30-40W 3CCT czarna Kobi Pro</t>
  </si>
  <si>
    <t>004779</t>
  </si>
  <si>
    <t>Rozeta sufitowa do LED KOLINE K2 biała Kobi Pro</t>
  </si>
  <si>
    <t>004892</t>
  </si>
  <si>
    <t>Rozeta sufitowa do LED KOLINE K2 czarna Kobi Pro</t>
  </si>
  <si>
    <t>004893</t>
  </si>
  <si>
    <t>Oprawa liniowa LED KOLINE GO 40W 3CCT czarna Kobi Pro</t>
  </si>
  <si>
    <t>004836</t>
  </si>
  <si>
    <t>Oprawa liniowa LED KOLINE GO 40W 3CCT biała Kobi Pro</t>
  </si>
  <si>
    <t>004835</t>
  </si>
  <si>
    <t>Oprawa liniowa LED DELFIA max. 40W 3CCT Kobi Pro</t>
  </si>
  <si>
    <t>005073</t>
  </si>
  <si>
    <t>LINIOWE T8</t>
  </si>
  <si>
    <t>Oprawa hermetyczna LED CORTEZ 2 50W 120cm 4000K IP65 Kobi Premium</t>
  </si>
  <si>
    <t>004477</t>
  </si>
  <si>
    <t>Naświetlacz LED ULSAN 100W 4000K IP65 Kobi Pro</t>
  </si>
  <si>
    <t>004328</t>
  </si>
  <si>
    <t>Naświetlacz LED ULSAN 150W 4000K IP65 Kobi Pro</t>
  </si>
  <si>
    <t>004329</t>
  </si>
  <si>
    <t>Naświetlacz LED ULSAN 200W 4000K IP65 Kobi Pro</t>
  </si>
  <si>
    <t>004330</t>
  </si>
  <si>
    <t>Naświetlacz LED ULSAN 50W 4000K IP65 Kobi Pro</t>
  </si>
  <si>
    <t>004327</t>
  </si>
  <si>
    <t>Naświetlacz solar LED NCS G2 10W 3CCT IP54 Kobi</t>
  </si>
  <si>
    <t>004964</t>
  </si>
  <si>
    <t>Naświetlacz solar LED NCS G2 20W 3CCT IP54 Kobi</t>
  </si>
  <si>
    <t>004965</t>
  </si>
  <si>
    <t>Naświetlacz solar LED NCS G2 30W  3CCT IP54 Kobi</t>
  </si>
  <si>
    <t>004966</t>
  </si>
  <si>
    <t>Naświetlacz Solar LED PHOENIX G2 15W 2CCT IP65 Kobi Premium</t>
  </si>
  <si>
    <t>004967</t>
  </si>
  <si>
    <t>Oprawa LED MULTILUXO 50W 4000K IP65 Kobi Premium</t>
  </si>
  <si>
    <t>005040</t>
  </si>
  <si>
    <t>Naświetlacze profesjonalne</t>
  </si>
  <si>
    <t>Oprawa LED MULTILUXO 100W 4000K IP65 Kobi Premium</t>
  </si>
  <si>
    <t>005041</t>
  </si>
  <si>
    <t>Oprawa LED MULTILUXO 150W 4000K IP65 Kobi Premium</t>
  </si>
  <si>
    <t>005042</t>
  </si>
  <si>
    <t>Oprawa LED MULTILUXO 200W 4000K IP65 Kobi Premium</t>
  </si>
  <si>
    <t>005043</t>
  </si>
  <si>
    <t>DROGOWE</t>
  </si>
  <si>
    <t>High Bay LED RIO PRO 60-80-100W 3CCT IP66 Kobi Pro</t>
  </si>
  <si>
    <t>005030</t>
  </si>
  <si>
    <t>High Bay LED RIO PRO 120-160W 3CCT IP66 Kobi Pro</t>
  </si>
  <si>
    <t>005031</t>
  </si>
  <si>
    <t>DEKORACYJNE</t>
  </si>
  <si>
    <t>Oprawa do nadbudowania AQUARIUS 1xGU10 okrągły IP44 biały Kobi</t>
  </si>
  <si>
    <t>Oprawa do nadbudowania AQUARIUS 1xGU10 okrągły IP44 czarny Kobi</t>
  </si>
  <si>
    <t>Oprawa do nadbudowania AQUARIUS 1xGU10 kwadrat IP44 biały Kobi</t>
  </si>
  <si>
    <t>OGRODOWE</t>
  </si>
  <si>
    <t>Oprawa drogowa Solar LED STREET 20W 3CCT IP65 Kobi Premium</t>
  </si>
  <si>
    <t>004613</t>
  </si>
  <si>
    <t>Oprawa drogowa Solar LED STREET 40W 3CCT IP65 Kobi Premium</t>
  </si>
  <si>
    <t>004744</t>
  </si>
  <si>
    <t>PLAFONY</t>
  </si>
  <si>
    <t>Plafon LED DEFENDER G2 12-18-24W 3CCT IP65 Kobi Pro</t>
  </si>
  <si>
    <t>005028</t>
  </si>
  <si>
    <t>Plafon elewacyjny LED BAVANO 15W 3CCT LX IP54 czarny Kobi Premium</t>
  </si>
  <si>
    <t>Downlight LED NEXEYE 30W 3CCT IP44 Kobi Pro</t>
  </si>
  <si>
    <t>004654</t>
  </si>
  <si>
    <t>Downlight LED SIGARO CIRCLE PT 18W 3CCT Kobi Premium</t>
  </si>
  <si>
    <t>004900</t>
  </si>
  <si>
    <t>Downlight LED SIGARO CIRCLE PT 24W 3CCT Kobi Premium</t>
  </si>
  <si>
    <t>004901</t>
  </si>
  <si>
    <t>Plafon LED SIGARO CIRCLE 18W 3CCT Kobi Premium</t>
  </si>
  <si>
    <t>004898</t>
  </si>
  <si>
    <t>Plafon LED SIGARO CIRCLE 24W 3CCT Kobi Premium</t>
  </si>
  <si>
    <t>004899</t>
  </si>
  <si>
    <t>Przedłużka BASE SG 1m Fi 60mm Kobi</t>
  </si>
  <si>
    <t>Lampa podłogowa LED TEILO 10W 3CCT czarna LED2B</t>
  </si>
  <si>
    <t>Lampka biurkowa LED TENUIX DUO 14W 3CCT biała LED2B</t>
  </si>
  <si>
    <t>Lampka biurkowa LED TENUIX DUO 14W 3CCT czarna LED2B</t>
  </si>
  <si>
    <t>Lampa podłogowa TEILO 2 14W 3CCT czarna LED2B</t>
  </si>
  <si>
    <t>004834</t>
  </si>
  <si>
    <t>Lampka biurkowa LED AURIQ LOUPE 10W 3CCT biała LED2B</t>
  </si>
  <si>
    <t>004826</t>
  </si>
  <si>
    <t>Lampa podłogowa LED TEILO 10W 3CCT biała LED2B</t>
  </si>
  <si>
    <t>005232</t>
  </si>
  <si>
    <t>Lampka biurkowa LED NOBLITE P 5W 3CCT biała LED2B</t>
  </si>
  <si>
    <t>004832</t>
  </si>
  <si>
    <t>Lampka biurkowa LED NOBLITE P 5W 3CCT czarna LED2B</t>
  </si>
  <si>
    <t>004833</t>
  </si>
  <si>
    <t>Lampka biurkowa AURIQ 1xE27 niebieska LED2B</t>
  </si>
  <si>
    <t>004827</t>
  </si>
  <si>
    <t>Lampka biurkowa AURIQ 1xE27 różowa LED2B</t>
  </si>
  <si>
    <t>004828</t>
  </si>
  <si>
    <t>Lampa podłogowa AURIQ ST 1xE27 biała LED2B</t>
  </si>
  <si>
    <t>004829</t>
  </si>
  <si>
    <t>Lampka biurkowa LED NOBLITE N 7W 3CCT różowa LED2B</t>
  </si>
  <si>
    <t>005008</t>
  </si>
  <si>
    <t>Lampka biurkowa LED NOBLITE N 7W 3CCT szara LED2B</t>
  </si>
  <si>
    <t>005007</t>
  </si>
  <si>
    <t>Lampka biurkowa LED NOBLITE N 7W 3CCT brązowa LED2B</t>
  </si>
  <si>
    <t>005006</t>
  </si>
  <si>
    <t>Lampka biurkowa NOBLITE Q 7W CCT biała LED2B</t>
  </si>
  <si>
    <t>004982</t>
  </si>
  <si>
    <t>Lampka biurkowa NOBLITE Q 7W CCT czarna LED2B</t>
  </si>
  <si>
    <t>004983</t>
  </si>
  <si>
    <t>PASKI LED</t>
  </si>
  <si>
    <t>Taśma LED TRAMO 320 COB AMBIENT 5m 4000K 24V IP20 Kobi Premium</t>
  </si>
  <si>
    <t>005046</t>
  </si>
  <si>
    <t>Łącznik 10 cm taśmy LED COB 10mm Kobi</t>
  </si>
  <si>
    <t>005067</t>
  </si>
  <si>
    <t>Taśma LED TRAMO 320 COB AMBIENT 5m 6500K 24V IP20 Kobi Premium</t>
  </si>
  <si>
    <t>005047</t>
  </si>
  <si>
    <t>Łącznik dwustronny 10 cm taśmy LED COB 10mm Kobi</t>
  </si>
  <si>
    <t>005068</t>
  </si>
  <si>
    <t>Taśma LED TRAMO 320 COB AMBIENT 5m 3000K 24V IP65 Kobi Premium</t>
  </si>
  <si>
    <t>005048</t>
  </si>
  <si>
    <t>Łącznik I taśmy LED COB 10mm Kobi</t>
  </si>
  <si>
    <t>005069</t>
  </si>
  <si>
    <t>Taśma LED TRAMO 320 COB AMBIENT 5m 4000K 24V IP65 Kobi Premium</t>
  </si>
  <si>
    <t>005049</t>
  </si>
  <si>
    <t>Taśma LED TRAMO 320 COB AMBIENT 5m 3000K 24V IP20 Kobi Premium</t>
  </si>
  <si>
    <t>005050</t>
  </si>
  <si>
    <t>Łącznik L taśmy LED COB 10mm Kobi</t>
  </si>
  <si>
    <t>005070</t>
  </si>
  <si>
    <t>Sterownik do taśm LED COB 12-24V MIBOXER SR5</t>
  </si>
  <si>
    <t>005061</t>
  </si>
  <si>
    <t>Taśma LED TRAMO 320 COB AMBIENT 5m 6500K 24V IP65 Kobi Premium</t>
  </si>
  <si>
    <t>005051</t>
  </si>
  <si>
    <t>Sterownik do taśm LED COB 12-24V WIFI MIBOXER SW5</t>
  </si>
  <si>
    <t>005062</t>
  </si>
  <si>
    <t>Taśma LED TRAMO 608 COB 5m 3CCT 24V IP20 Kobi Premium</t>
  </si>
  <si>
    <t>005052</t>
  </si>
  <si>
    <t>Pilot 4 strefowy do taśm COB RGB+CCT MIBOXER FUT092</t>
  </si>
  <si>
    <t>005063</t>
  </si>
  <si>
    <t>Taśma LED TRAMO 608 COB 5m 3CCT 24V IP65 Kobi Premium</t>
  </si>
  <si>
    <t>005053</t>
  </si>
  <si>
    <t>Pilot 4 strefowy do taśm COB MONO+CCT MIBOXER FUT006</t>
  </si>
  <si>
    <t>005064</t>
  </si>
  <si>
    <t>Taśma LED TRAMO 672 COB 5m RGB 24V IP20 Kobi Premium</t>
  </si>
  <si>
    <t>005054</t>
  </si>
  <si>
    <t>Naścienny panel sterujący 4 strefowy RGB/RGBCCT/CCT MIBOXER B4</t>
  </si>
  <si>
    <t>005065</t>
  </si>
  <si>
    <t>Taśma LED TRAMO 672 COB 5m RGB 24V IP65 Kobi Premium</t>
  </si>
  <si>
    <t>005055</t>
  </si>
  <si>
    <t>Naścienny panel sterujący 4 strefowy RGB/RGBCCT/CCT MIBOXER B4-B</t>
  </si>
  <si>
    <t>005066</t>
  </si>
  <si>
    <t>Taśma LED TRAMO 840 COB 5m RGB 3CCT 24V IP20 Kobi Premium</t>
  </si>
  <si>
    <t>005056</t>
  </si>
  <si>
    <t>Taśma LED TRAMO 840 COB 5m RGB 3CCT 24V IP65 Kobi Premium</t>
  </si>
  <si>
    <t>005057</t>
  </si>
  <si>
    <t>Taśma LED TRAMO 320 COB 25m 3000K 24V IP65 Kobi Premium</t>
  </si>
  <si>
    <t>005058</t>
  </si>
  <si>
    <t>Taśma LED TRAMO 320 COB 25m 4000K 24V IP65 Kobi Premium</t>
  </si>
  <si>
    <t>005059</t>
  </si>
  <si>
    <t>Taśma LED TRAMO 320 COB 25m 6500K 24V IP65 Kobi Premium</t>
  </si>
  <si>
    <t>005060</t>
  </si>
  <si>
    <t>Przedłużacz LINEA 3gn/1,5m/Zu+W biały Kobi</t>
  </si>
  <si>
    <t>004871</t>
  </si>
  <si>
    <t>Przedłużacz LINEA 3gn/1,5m/Zu czarny Kobi</t>
  </si>
  <si>
    <t>004875</t>
  </si>
  <si>
    <t>Przedłużacz LINEA 4gn/1,5m/Zu czarny Kobi</t>
  </si>
  <si>
    <t>004878</t>
  </si>
  <si>
    <t>Przedłużacz LINEA 5gn/1,5m/Zu czarny Kobi</t>
  </si>
  <si>
    <t>004879</t>
  </si>
  <si>
    <t>Przedłużacz LINEA 3gn/3m/Zu czarny Kobi</t>
  </si>
  <si>
    <t>004880</t>
  </si>
  <si>
    <t>Przedłużacz LINEA 4gn/3m/Zu czarny Kobi</t>
  </si>
  <si>
    <t>004881</t>
  </si>
  <si>
    <t>Przedłużacz LINEA 5gn/3m/Zu czarny Kobi</t>
  </si>
  <si>
    <t>004882</t>
  </si>
  <si>
    <t>Przedłużacz LINEA 3gn/5m/Zu czarny Kobi</t>
  </si>
  <si>
    <t>004883</t>
  </si>
  <si>
    <t>Przedłużacz LINEA 4gn/5m/Zu czarny Kobi</t>
  </si>
  <si>
    <t>004884</t>
  </si>
  <si>
    <t>Przedłużacz LINEA 5gn/5m/Zu czarny Kobi</t>
  </si>
  <si>
    <t>004885</t>
  </si>
  <si>
    <t>Przedłużacz LINEA 3gn/1,5m/Zu+W czarny Kobi</t>
  </si>
  <si>
    <t>004886</t>
  </si>
  <si>
    <t>Przedłużacz LINEA 3gn/3m/Zu+W czarny Kobi</t>
  </si>
  <si>
    <t>004888</t>
  </si>
  <si>
    <t>Przedłużacz LINEA 3gn/5m/Zu+W czarny Kobi</t>
  </si>
  <si>
    <t>004890</t>
  </si>
  <si>
    <t>Przedłużacz LINEA 5gn/5m/Zu+W czarny Kobi</t>
  </si>
  <si>
    <t>004891</t>
  </si>
  <si>
    <t>Przedłużacz LINEA 5gn/1,5m/Zu+W czarny Kobi</t>
  </si>
  <si>
    <t>004896</t>
  </si>
  <si>
    <t>Przedłużacz LINEA 5gn/1,5m/Zu+W biały Kobi</t>
  </si>
  <si>
    <t>004897</t>
  </si>
  <si>
    <t>Przedłużacz LINEA 5gn/3m/Zu+W czarny Kobi</t>
  </si>
  <si>
    <t>004889</t>
  </si>
  <si>
    <t>Rozgałęźnik LINEA PRO FL3 2gn+2USB/1USB-C 4000K biały Kobi</t>
  </si>
  <si>
    <t>004877</t>
  </si>
  <si>
    <t>Rozgałęźnik LINEA PRO FL3 2gn+2USB/1USB-C 4000K czarny Kobi</t>
  </si>
  <si>
    <t>004876</t>
  </si>
  <si>
    <t>ARTOFLIGHT</t>
  </si>
  <si>
    <t>SZYNOPRZEWÓD</t>
  </si>
  <si>
    <t>Łącznik do szynoprzewodu 3-obwodowy T LEWY czarny Kobi</t>
  </si>
  <si>
    <t>004904</t>
  </si>
  <si>
    <t>Łącznik do szynoprzewodu 3-obwodowy T LEWY biały Kobi</t>
  </si>
  <si>
    <t>004905</t>
  </si>
  <si>
    <t>Adapter do szynoprzewodu 3-obwodowy biały Kobi</t>
  </si>
  <si>
    <t>005024</t>
  </si>
  <si>
    <t>Adapter do szynoprzewodu 3-obwodowy czarny Kobi</t>
  </si>
  <si>
    <t>005025</t>
  </si>
  <si>
    <t>Baza do szynoprzewodu 3-obwodowa biała Kobi</t>
  </si>
  <si>
    <t>005026</t>
  </si>
  <si>
    <t>Baza do szynoprzewodu 3-obwodowa czarna Kobi</t>
  </si>
  <si>
    <t>005027</t>
  </si>
  <si>
    <t>Szynoprzewód podtynkowy 3-obwodowy 2m biały Kobi</t>
  </si>
  <si>
    <t>005330</t>
  </si>
  <si>
    <t>Szynoprzewód podtynkowy 3-obwodowy 2m czarny Kobi</t>
  </si>
  <si>
    <t>005329</t>
  </si>
  <si>
    <t>Słupek ogrodowy Solar LED AURORA 4000K IP44 czarna LED2B</t>
  </si>
  <si>
    <t>Czujnik zmierzchowy LX501 360° Kobi</t>
  </si>
  <si>
    <t>PRZEWODY I OSPRZĘT</t>
  </si>
  <si>
    <t>Konektor hermetyczny HERMELINK 3x0,5-1,5mm² 5-9mm IP68 Kobi</t>
  </si>
  <si>
    <t>004999</t>
  </si>
  <si>
    <t>Konektor hermetyczny HERMELINK 5x0,5-2,5mm² 10-14mm IP68 Kobi</t>
  </si>
  <si>
    <t>005000</t>
  </si>
  <si>
    <t>Konektor hermetyczny HERMELINK 3x0,5-2,5mm² 6-11mm IP68 Kobi</t>
  </si>
  <si>
    <t>005001</t>
  </si>
  <si>
    <t>Konektor hermetyczny HERMELINKx2 3x0,5-2,5mm² 4-8mm IP68 Kobi</t>
  </si>
  <si>
    <t>005002</t>
  </si>
  <si>
    <t>Konektor hermetyczny HERMELINKx3 3x0,5-2,5mm² 4-8mm IP68 Kobi</t>
  </si>
  <si>
    <t>005003</t>
  </si>
  <si>
    <t>Konektor hermetyczny HERMELINKx3 3x0,5-4mm² 4-8mm IP68 Kobi</t>
  </si>
  <si>
    <t>005004</t>
  </si>
  <si>
    <t>Konektor hermetyczny HERMELINKx3 3x0,5-4mm² 8-12mm IP68 Kobi</t>
  </si>
  <si>
    <t>005005</t>
  </si>
  <si>
    <t>Przewód łączeniowy do GROWLY 15W 0,6m Kobi Design</t>
  </si>
  <si>
    <t>005222</t>
  </si>
  <si>
    <t>Przewód łączeniowy do GROWLY 15W 1m Kobi Design</t>
  </si>
  <si>
    <t>005223</t>
  </si>
  <si>
    <t>Latarenka LED MPR 2CCT LED2B</t>
  </si>
  <si>
    <t>004870</t>
  </si>
  <si>
    <t>Latarka LED X-MPR 10 6000K LED2B</t>
  </si>
  <si>
    <t>004868</t>
  </si>
  <si>
    <t>Latarka LED X-MPR 11 6000K LED2B</t>
  </si>
  <si>
    <t>004869</t>
  </si>
  <si>
    <t>Lampa sufitowa BOHO BULI M 3xE27 Kobi Design</t>
  </si>
  <si>
    <t>Reflektor szynowy LED NEXTRACK LINE 12W 4000K czarny Kobi</t>
  </si>
  <si>
    <t>004873</t>
  </si>
  <si>
    <t>Reflektor szynowy LED NEXTRACK LINE 36W 4000K czarny Kobi</t>
  </si>
  <si>
    <t>004874</t>
  </si>
  <si>
    <t>Reflektor szynowy LED NEXTRACK LINE 12W 4000K biały Kobi</t>
  </si>
  <si>
    <t>004902</t>
  </si>
  <si>
    <t>Reflektor szynowy LED NEXTRACK LINE 36W 4000K biały Kobi</t>
  </si>
  <si>
    <t>004903</t>
  </si>
  <si>
    <t>Reflektor szynowy NEXTRACK S-LINE RING 1xGU10 czarny Kobi</t>
  </si>
  <si>
    <t>005021</t>
  </si>
  <si>
    <t>GRZEJNIKI</t>
  </si>
  <si>
    <t>Termowentylator MISTRAL 2000W czarny Kobi Windstar</t>
  </si>
  <si>
    <t>004034</t>
  </si>
  <si>
    <t>Termowentylator MISTRAL G2 2000W biały Kobi Windstar</t>
  </si>
  <si>
    <t>005033</t>
  </si>
  <si>
    <t>Grzejnik olejowy YUGO-11 2500W Kobi Windstar</t>
  </si>
  <si>
    <t>001930</t>
  </si>
  <si>
    <t>Termowentylator ceramiczny RIN 2000W czarny Kobi Windstar</t>
  </si>
  <si>
    <t>005032</t>
  </si>
  <si>
    <t>Grzejnik konwektorowy SONDO R 2000W TURBO biały Kobi Windstar</t>
  </si>
  <si>
    <t>005034</t>
  </si>
  <si>
    <t>Naświetlacz Solar LED MHCS G2 20W 3CCT IP65 Kobi Premium</t>
  </si>
  <si>
    <t>005035</t>
  </si>
  <si>
    <t>Naświetlacz Solar LED MHCS G2 35W 3CCT IP65 Kobi Premium</t>
  </si>
  <si>
    <t>005036</t>
  </si>
  <si>
    <t>Zestaw HERMETIC G2 2x60 + 2x LED T8 9W 4000K IP65 Kobi</t>
  </si>
  <si>
    <t>005020</t>
  </si>
  <si>
    <t>Oprawa sufitowa LED HEXLINE 208x300cm 4000K Kobi</t>
  </si>
  <si>
    <t>004994</t>
  </si>
  <si>
    <t>Oprawa sufitowa LED HEXLINE 208x300cm 6500K Kobi</t>
  </si>
  <si>
    <t>004995</t>
  </si>
  <si>
    <t>Oprawa sufitowa LED HEXLINE 300x516cm 4000K Kobi</t>
  </si>
  <si>
    <t>004996</t>
  </si>
  <si>
    <t>Oprawa sufitowa LED HEXLINE 300x516cm 6500K Kobi</t>
  </si>
  <si>
    <t>004997</t>
  </si>
  <si>
    <t>Łącznik Y HEXLINE Kobi</t>
  </si>
  <si>
    <t>004998</t>
  </si>
  <si>
    <t>Plafon RUTO 1xE27 biały szkło Kobi</t>
  </si>
  <si>
    <t>Plafon RUTO 1xE27 czarny szkło Kobi</t>
  </si>
  <si>
    <t>005229</t>
  </si>
  <si>
    <t>Oprawa kanałowa SOMA PC 1xE27 60 siatka plastik czarna Kobi</t>
  </si>
  <si>
    <t>005231</t>
  </si>
  <si>
    <t>005597</t>
  </si>
  <si>
    <t>005596</t>
  </si>
  <si>
    <t>005210</t>
  </si>
  <si>
    <t>005209</t>
  </si>
  <si>
    <t>005208</t>
  </si>
  <si>
    <t>005648</t>
  </si>
  <si>
    <t>005280</t>
  </si>
  <si>
    <t>005685</t>
  </si>
  <si>
    <t>005684</t>
  </si>
  <si>
    <t>005477</t>
  </si>
  <si>
    <t>005695</t>
  </si>
  <si>
    <t>Profil P01 natynkowy anodowany srebrny + przesłona mleczna 1m Kobi</t>
  </si>
  <si>
    <t>005082</t>
  </si>
  <si>
    <t>Profil P01 natynkowy czarny + przesłona mleczna 1m Kobi</t>
  </si>
  <si>
    <t>005083</t>
  </si>
  <si>
    <t>Profil P01 natynkowy biały + przesłona mleczna 1m Kobi</t>
  </si>
  <si>
    <t>005084</t>
  </si>
  <si>
    <t>Profil P02 podtynkowy anodowany srebrny + przesłona mleczna 1m Kobi</t>
  </si>
  <si>
    <t>005085</t>
  </si>
  <si>
    <t>Profil P02 podtynkowy czarny + przesłona mleczna 1m Kobi</t>
  </si>
  <si>
    <t>005086</t>
  </si>
  <si>
    <t>Profil P02 podtynkowy biały + przesłona mleczna 1m Kobi</t>
  </si>
  <si>
    <t>005087</t>
  </si>
  <si>
    <t>Profil N01 narożny anodowany srebrny + przesłona mleczna 1m Kobi</t>
  </si>
  <si>
    <t>005088</t>
  </si>
  <si>
    <t>Profil N01 narożny czarny + przesłona mleczna 1m Kobi</t>
  </si>
  <si>
    <t>005089</t>
  </si>
  <si>
    <t>Profil N01 narożny biały + przesłona mleczna 1m Kobi</t>
  </si>
  <si>
    <t>005090</t>
  </si>
  <si>
    <t>Profil KG01 podtynkowy anodowany srebrny + przesłona mleczna 1m Kobi</t>
  </si>
  <si>
    <t>005091</t>
  </si>
  <si>
    <t>Profil KG01 podtynkowy czarny + przesłona mleczna 1m Kobi</t>
  </si>
  <si>
    <t>005092</t>
  </si>
  <si>
    <t>Profil KG01 podtynkowy biały + przesłona mleczna 1m Kobi</t>
  </si>
  <si>
    <t>005093</t>
  </si>
  <si>
    <t>Profil KG02 podtynkowy anodowany srebrny + przesłona mleczna 1m Kobi</t>
  </si>
  <si>
    <t>005094</t>
  </si>
  <si>
    <t>Profil KG02 podtynkowy czarny + przesłona mleczna 1m Kobi</t>
  </si>
  <si>
    <t>005095</t>
  </si>
  <si>
    <t>Profil KG02 podtynkowy biały + przesłona mleczna 1m Kobi</t>
  </si>
  <si>
    <t>005096</t>
  </si>
  <si>
    <t>Profil KG01 podtynkowy czarny + przesłona mleczna 2m Kobi</t>
  </si>
  <si>
    <t>005097</t>
  </si>
  <si>
    <t>Profil KG01 podtynkowy biały + przesłona mleczna 2m Kobi</t>
  </si>
  <si>
    <t>005098</t>
  </si>
  <si>
    <t>Profil KG02 podtynkowy anodowany srebrny + przesłona mleczna 2m Kobi</t>
  </si>
  <si>
    <t>005099</t>
  </si>
  <si>
    <t>Profil KG02 podtynkowy czarny + przesłona mleczna 2m Kobi</t>
  </si>
  <si>
    <t>005100</t>
  </si>
  <si>
    <t>Profil KG02 podtynkowy biały + przesłona mleczna 2m Kobi</t>
  </si>
  <si>
    <t>005101</t>
  </si>
  <si>
    <t>Profil KG03 podtynkowy anodowany srebrny + przesłona mleczna 2m Kobi</t>
  </si>
  <si>
    <t>005102</t>
  </si>
  <si>
    <t>Przesłona mleczna KG01 2m Kobi</t>
  </si>
  <si>
    <t>005037</t>
  </si>
  <si>
    <t>5907178022757</t>
  </si>
  <si>
    <t>nowość</t>
  </si>
  <si>
    <t>85131000</t>
  </si>
  <si>
    <t>5907178022764</t>
  </si>
  <si>
    <t>5907178022290</t>
  </si>
  <si>
    <t>5907178005255</t>
  </si>
  <si>
    <t>5907178005262</t>
  </si>
  <si>
    <t>5907178005279</t>
  </si>
  <si>
    <t>5907178004890</t>
  </si>
  <si>
    <t>5907178025277</t>
  </si>
  <si>
    <t>5902201387520</t>
  </si>
  <si>
    <t>5907178026687</t>
  </si>
  <si>
    <t>5907178018118</t>
  </si>
  <si>
    <t>5907178018125</t>
  </si>
  <si>
    <t>5907178018101</t>
  </si>
  <si>
    <t>5907178021705</t>
  </si>
  <si>
    <t>5907178021712</t>
  </si>
  <si>
    <t>5907178021408</t>
  </si>
  <si>
    <t>5907178021392</t>
  </si>
  <si>
    <t>5907178025017</t>
  </si>
  <si>
    <t>5907178011683</t>
  </si>
  <si>
    <t>5907178005873</t>
  </si>
  <si>
    <t>5907178005880</t>
  </si>
  <si>
    <t>5907178005897</t>
  </si>
  <si>
    <t>5907178005866</t>
  </si>
  <si>
    <t>5907178022382</t>
  </si>
  <si>
    <t>5907178022399</t>
  </si>
  <si>
    <t>5907178022405</t>
  </si>
  <si>
    <t>5907178022412</t>
  </si>
  <si>
    <t>5907178023433</t>
  </si>
  <si>
    <t>5907178023440</t>
  </si>
  <si>
    <t>5907178023457</t>
  </si>
  <si>
    <t>5907178023464</t>
  </si>
  <si>
    <t>5907178023358</t>
  </si>
  <si>
    <t>5907178023365</t>
  </si>
  <si>
    <t>5907178016381</t>
  </si>
  <si>
    <t>5907178017593</t>
  </si>
  <si>
    <t>5907178023334</t>
  </si>
  <si>
    <t>5907178016527</t>
  </si>
  <si>
    <t>5907178021743</t>
  </si>
  <si>
    <t>5907178021750</t>
  </si>
  <si>
    <t>5907178021729</t>
  </si>
  <si>
    <t>5907178021736</t>
  </si>
  <si>
    <t>5907178021385</t>
  </si>
  <si>
    <t>5907178021224</t>
  </si>
  <si>
    <t>5907178026953</t>
  </si>
  <si>
    <t>5907178021361</t>
  </si>
  <si>
    <t>5907178021378</t>
  </si>
  <si>
    <t>5907178021231</t>
  </si>
  <si>
    <t>5907178021248</t>
  </si>
  <si>
    <t>5907178021255</t>
  </si>
  <si>
    <t>5907178022917</t>
  </si>
  <si>
    <t>5907178022900</t>
  </si>
  <si>
    <t>5907178022894</t>
  </si>
  <si>
    <t>5907178022733</t>
  </si>
  <si>
    <t>5907178022740</t>
  </si>
  <si>
    <t>5907178025024</t>
  </si>
  <si>
    <t>5907178025222</t>
  </si>
  <si>
    <t>5907178025031</t>
  </si>
  <si>
    <t>5907178025239</t>
  </si>
  <si>
    <t>5907178025048</t>
  </si>
  <si>
    <t>5907178025246</t>
  </si>
  <si>
    <t>5907178025055</t>
  </si>
  <si>
    <t>5907178025260</t>
  </si>
  <si>
    <t>5907178025253</t>
  </si>
  <si>
    <t>5907178025161</t>
  </si>
  <si>
    <t>5907178025062</t>
  </si>
  <si>
    <t>5907178025178</t>
  </si>
  <si>
    <t>5907178025079</t>
  </si>
  <si>
    <t>5907178025185</t>
  </si>
  <si>
    <t>5907178025086</t>
  </si>
  <si>
    <t>5907178025192</t>
  </si>
  <si>
    <t>5907178025093</t>
  </si>
  <si>
    <t>5907178025208</t>
  </si>
  <si>
    <t>5907178025109</t>
  </si>
  <si>
    <t>5907178025215</t>
  </si>
  <si>
    <t>5907178025116</t>
  </si>
  <si>
    <t>5907178025123</t>
  </si>
  <si>
    <t>5907178025130</t>
  </si>
  <si>
    <t>5907178025147</t>
  </si>
  <si>
    <t>5907178025154</t>
  </si>
  <si>
    <t>5907178021491</t>
  </si>
  <si>
    <t>5907178021514</t>
  </si>
  <si>
    <t>5907178021521</t>
  </si>
  <si>
    <t>5907178021538</t>
  </si>
  <si>
    <t>5907178021545</t>
  </si>
  <si>
    <t>5907178021552</t>
  </si>
  <si>
    <t>5907178021569</t>
  </si>
  <si>
    <t>5907178021576</t>
  </si>
  <si>
    <t>5907178021583</t>
  </si>
  <si>
    <t>5907178021590</t>
  </si>
  <si>
    <t>5907178021606</t>
  </si>
  <si>
    <t>5907178021620</t>
  </si>
  <si>
    <t>5907178021644</t>
  </si>
  <si>
    <t>5907178021651</t>
  </si>
  <si>
    <t>5907178021767</t>
  </si>
  <si>
    <t>5907178021774</t>
  </si>
  <si>
    <t>5907178021637</t>
  </si>
  <si>
    <t>5907178021699</t>
  </si>
  <si>
    <t>5907178021682</t>
  </si>
  <si>
    <t>5907178021897</t>
  </si>
  <si>
    <t>5907178021903</t>
  </si>
  <si>
    <t>5907178023297</t>
  </si>
  <si>
    <t>5907178023303</t>
  </si>
  <si>
    <t>5907178023310</t>
  </si>
  <si>
    <t>5907178023327</t>
  </si>
  <si>
    <t>5907178028315</t>
  </si>
  <si>
    <t>5907178028308</t>
  </si>
  <si>
    <t>5907178022825</t>
  </si>
  <si>
    <t>5907178022832</t>
  </si>
  <si>
    <t>5907178022849</t>
  </si>
  <si>
    <t>5907178022856</t>
  </si>
  <si>
    <t>5907178022863</t>
  </si>
  <si>
    <t>5907178022870</t>
  </si>
  <si>
    <t>5907178022887</t>
  </si>
  <si>
    <t>5907178026915</t>
  </si>
  <si>
    <t>5907178026922</t>
  </si>
  <si>
    <t>5907178021484</t>
  </si>
  <si>
    <t>5907178021460</t>
  </si>
  <si>
    <t>5907178021477</t>
  </si>
  <si>
    <t>5907178021668</t>
  </si>
  <si>
    <t>5907178021675</t>
  </si>
  <si>
    <t>5907178021873</t>
  </si>
  <si>
    <t>5907178021880</t>
  </si>
  <si>
    <t>5907178023266</t>
  </si>
  <si>
    <t>5907178003091</t>
  </si>
  <si>
    <t>5907178023389</t>
  </si>
  <si>
    <t>5902201304824</t>
  </si>
  <si>
    <t>85162910</t>
  </si>
  <si>
    <t>5907178023372</t>
  </si>
  <si>
    <t>5907178023396</t>
  </si>
  <si>
    <t>5907178023402</t>
  </si>
  <si>
    <t>5907178023419</t>
  </si>
  <si>
    <t>5907178023259</t>
  </si>
  <si>
    <t>5907178022771</t>
  </si>
  <si>
    <t>5907178022788</t>
  </si>
  <si>
    <t>5907178022795</t>
  </si>
  <si>
    <t>5907178022801</t>
  </si>
  <si>
    <t>5907178022818</t>
  </si>
  <si>
    <t>5907178026939</t>
  </si>
  <si>
    <t>5907178026946</t>
  </si>
  <si>
    <t>5902479642000</t>
  </si>
  <si>
    <t>5902479642123</t>
  </si>
  <si>
    <t>5902479642147</t>
  </si>
  <si>
    <t>5902479642161</t>
  </si>
  <si>
    <t>5902479641959</t>
  </si>
  <si>
    <t>5902479641935</t>
  </si>
  <si>
    <t>5902479642208</t>
  </si>
  <si>
    <t>5902479642246</t>
  </si>
  <si>
    <t>5902479642116</t>
  </si>
  <si>
    <t>5902479642345</t>
  </si>
  <si>
    <t>5902479642192</t>
  </si>
  <si>
    <t>5907178025895</t>
  </si>
  <si>
    <t>5907178025901</t>
  </si>
  <si>
    <t>5907178025918</t>
  </si>
  <si>
    <t>5907178025925</t>
  </si>
  <si>
    <t>5907178025932</t>
  </si>
  <si>
    <t>5907178025949</t>
  </si>
  <si>
    <t>5907178025956</t>
  </si>
  <si>
    <t>5907178025963</t>
  </si>
  <si>
    <t>5907178025970</t>
  </si>
  <si>
    <t>5907178025987</t>
  </si>
  <si>
    <t>5907178025994</t>
  </si>
  <si>
    <t>5907178026007</t>
  </si>
  <si>
    <t>5907178026014</t>
  </si>
  <si>
    <t>5907178026021</t>
  </si>
  <si>
    <t>5907178026038</t>
  </si>
  <si>
    <t>5907178026045</t>
  </si>
  <si>
    <t>5907178026052</t>
  </si>
  <si>
    <t>5907178026069</t>
  </si>
  <si>
    <t>5907178026076</t>
  </si>
  <si>
    <t>5907178026083</t>
  </si>
  <si>
    <t>5907178026090</t>
  </si>
  <si>
    <t>5907178023426</t>
  </si>
  <si>
    <t>39169090</t>
  </si>
  <si>
    <t>Reflektor szynowy LED  NEXTRACK NT4 38W 3000K 12° czarny Kobi Pro</t>
  </si>
  <si>
    <t>Oprawa do nadbudowania LED VALLE 4,2W 3000K Art of Light</t>
  </si>
  <si>
    <t>Zestaw 2x Girlanda Venezia + zasilacz 12V 24W do VENEZIA + Kabel 47cm Kobi Design</t>
  </si>
  <si>
    <t>005155</t>
  </si>
  <si>
    <t>5907178026410</t>
  </si>
  <si>
    <t>Oprawa do nadbudowania AQUARIUS 1xGU10 kwadrat IP44 chrom Kobi</t>
  </si>
  <si>
    <t>Uchwyt do LED RIO PRO 100W Kobi</t>
  </si>
  <si>
    <t>001844</t>
  </si>
  <si>
    <t>5902201369731</t>
  </si>
  <si>
    <t>Oprawa do nadbudowania MANGO SQUARE biała Kobi</t>
  </si>
  <si>
    <t>Oprawa do nadbudowania GEMMA 1xGU10 Art of Light</t>
  </si>
  <si>
    <t>Oprawa do nadbudowania NAOS 1xGU10 Art of Light</t>
  </si>
  <si>
    <t>Oprawa do nadbudowania STOA 1xGU10 Art of Light</t>
  </si>
  <si>
    <t>Oprawa do nadbudowania LINDO CHROME 1xGU10 biała Art of Light</t>
  </si>
  <si>
    <t>Oprawa do nadbudowania LINDO 1xGU10 biała Art of Light</t>
  </si>
  <si>
    <t>Oprawa do nadbudowania PURO CHROME 2xGU10 biała Art of Light</t>
  </si>
  <si>
    <t>Oprawa do nadbudowania PURO MASSO C 2xGU10 szara Art of Light</t>
  </si>
  <si>
    <t>Oprawa do nadbudowania PURO 2xGU10 biała Art of Light</t>
  </si>
  <si>
    <t>Oprawa do nadbudowania LINDO MASSO C 1xGU10 szara Art of Light</t>
  </si>
  <si>
    <t>Oprawa do nadbudowania CELLO 1xGU10 Art of Light</t>
  </si>
  <si>
    <t>Oprawa VENICE 1xGU10 Art of Light</t>
  </si>
  <si>
    <t>002212</t>
  </si>
  <si>
    <t>5900605099483</t>
  </si>
  <si>
    <t>Lampa wisząca Orinoko 470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</si>
</sst>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6" x14ac:knownFonts="1"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u/>
      <sz val="11"/>
      <color theme="10"/>
      <name val="Calibri"/>
      <family val="2"/>
      <charset val="238"/>
      <scheme val="minor"/>
    </font>
    <font>
      <b/>
      <sz val="10"/>
      <name val="Calibri"/>
      <family val="2"/>
      <charset val="238"/>
    </font>
    <font>
      <b/>
      <sz val="11"/>
      <color rgb="FF000000"/>
      <name val="Calibri"/>
      <family val="2"/>
      <charset val="238"/>
    </font>
    <font>
      <sz val="10"/>
      <color rgb="FF000000"/>
      <name val="Calibri"/>
      <family val="2"/>
      <charset val="238"/>
    </font>
    <font>
      <sz val="10"/>
      <color theme="1"/>
      <name val="Calibri"/>
      <family val="2"/>
      <charset val="238"/>
      <scheme val="minor"/>
    </font>
    <font>
      <b/>
      <sz val="10"/>
      <color rgb="FF000000"/>
      <name val="Calibri"/>
      <family val="2"/>
      <charset val="238"/>
    </font>
    <font>
      <b/>
      <sz val="10"/>
      <color theme="1"/>
      <name val="Calibri"/>
      <family val="2"/>
      <charset val="238"/>
      <scheme val="minor"/>
    </font>
    <font>
      <b/>
      <sz val="10"/>
      <name val="Calibri"/>
      <family val="2"/>
      <charset val="238"/>
      <scheme val="minor"/>
    </font>
    <font>
      <u/>
      <sz val="10"/>
      <color rgb="FF0070C0"/>
      <name val="Calibri"/>
      <family val="2"/>
      <charset val="238"/>
      <scheme val="minor"/>
    </font>
    <font>
      <u/>
      <sz val="11"/>
      <color theme="1"/>
      <name val="Calibri"/>
      <family val="2"/>
      <charset val="238"/>
      <scheme val="minor"/>
    </font>
    <font>
      <b/>
      <sz val="16"/>
      <color theme="0"/>
      <name val="Calibri"/>
      <family val="2"/>
      <charset val="238"/>
    </font>
    <font>
      <b/>
      <sz val="14"/>
      <color theme="1"/>
      <name val="Calibri"/>
      <family val="2"/>
      <scheme val="minor"/>
    </font>
    <font>
      <b/>
      <sz val="26"/>
      <color theme="0"/>
      <name val="Calibri"/>
      <family val="2"/>
      <scheme val="minor"/>
    </font>
  </fonts>
  <fills count="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9933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2"/>
        <bgColor indexed="64"/>
      </patternFill>
    </fill>
  </fills>
  <borders count="11">
    <border>
      <left/>
      <right/>
      <top/>
      <bottom/>
      <diagonal/>
    </border>
    <border>
      <left/>
      <right/>
      <top style="thin">
        <color theme="6" tint="0.39997558519241921"/>
      </top>
      <bottom/>
      <diagonal/>
    </border>
    <border>
      <left style="dotted">
        <color theme="0"/>
      </left>
      <right style="dotted">
        <color theme="0"/>
      </right>
      <top style="dotted">
        <color theme="0"/>
      </top>
      <bottom style="dotted">
        <color theme="0"/>
      </bottom>
      <diagonal/>
    </border>
    <border>
      <left style="dotted">
        <color theme="0"/>
      </left>
      <right/>
      <top style="dotted">
        <color theme="0"/>
      </top>
      <bottom style="dotted">
        <color theme="0"/>
      </bottom>
      <diagonal/>
    </border>
    <border>
      <left style="dotted">
        <color theme="0"/>
      </left>
      <right style="dotted">
        <color theme="0"/>
      </right>
      <top/>
      <bottom style="dotted">
        <color theme="0"/>
      </bottom>
      <diagonal/>
    </border>
    <border>
      <left style="dotted">
        <color theme="0"/>
      </left>
      <right/>
      <top/>
      <bottom style="dotted">
        <color theme="0"/>
      </bottom>
      <diagonal/>
    </border>
    <border>
      <left/>
      <right style="dotted">
        <color theme="0"/>
      </right>
      <top style="dotted">
        <color theme="0"/>
      </top>
      <bottom style="dotted">
        <color theme="0"/>
      </bottom>
      <diagonal/>
    </border>
    <border>
      <left/>
      <right style="dotted">
        <color theme="0"/>
      </right>
      <top style="dotted">
        <color theme="0"/>
      </top>
      <bottom/>
      <diagonal/>
    </border>
    <border>
      <left style="dotted">
        <color theme="0"/>
      </left>
      <right/>
      <top/>
      <bottom/>
      <diagonal/>
    </border>
    <border>
      <left style="dotted">
        <color theme="0"/>
      </left>
      <right/>
      <top style="dotted">
        <color theme="0"/>
      </top>
      <bottom/>
      <diagonal/>
    </border>
    <border>
      <left style="dotted">
        <color theme="0"/>
      </left>
      <right style="dotted">
        <color theme="0"/>
      </right>
      <top style="dotted">
        <color theme="0"/>
      </top>
      <bottom/>
      <diagonal/>
    </border>
  </borders>
  <cellStyleXfs count="3">
    <xf numFmtId="0" fontId="0" fillId="0" borderId="0"/>
    <xf numFmtId="9" fontId="1" fillId="0" borderId="0" applyFont="0" applyFill="0" applyBorder="0" applyAlignment="0" applyProtection="0"/>
    <xf numFmtId="0" fontId="3" fillId="0" borderId="0" applyNumberFormat="0" applyFill="0" applyBorder="0" applyAlignment="0" applyProtection="0"/>
  </cellStyleXfs>
  <cellXfs count="52">
    <xf numFmtId="0" fontId="0" fillId="0" borderId="0" xfId="0"/>
    <xf numFmtId="0" fontId="0" fillId="2" borderId="0" xfId="0" applyFill="1"/>
    <xf numFmtId="0" fontId="7" fillId="2" borderId="0" xfId="0" applyFont="1" applyFill="1"/>
    <xf numFmtId="4" fontId="7" fillId="2" borderId="0" xfId="0" applyNumberFormat="1" applyFont="1" applyFill="1"/>
    <xf numFmtId="2" fontId="7" fillId="2" borderId="0" xfId="0" applyNumberFormat="1" applyFont="1" applyFill="1"/>
    <xf numFmtId="0" fontId="7" fillId="2" borderId="0" xfId="0" applyFont="1" applyFill="1" applyAlignment="1">
      <alignment horizontal="center"/>
    </xf>
    <xf numFmtId="0" fontId="10" fillId="3" borderId="1" xfId="0" applyFont="1" applyFill="1" applyBorder="1" applyAlignment="1">
      <alignment horizontal="center" vertical="center" wrapText="1"/>
    </xf>
    <xf numFmtId="4" fontId="10" fillId="3" borderId="1" xfId="0" applyNumberFormat="1" applyFont="1" applyFill="1" applyBorder="1" applyAlignment="1">
      <alignment horizontal="center" vertical="center" wrapText="1"/>
    </xf>
    <xf numFmtId="0" fontId="9" fillId="2" borderId="0" xfId="0" applyFont="1" applyFill="1" applyAlignment="1">
      <alignment horizontal="right" vertical="center"/>
    </xf>
    <xf numFmtId="0" fontId="11" fillId="2" borderId="0" xfId="2" applyFont="1" applyFill="1" applyAlignment="1" applyProtection="1">
      <alignment horizontal="center" vertical="center"/>
      <protection locked="0"/>
    </xf>
    <xf numFmtId="4" fontId="0" fillId="0" borderId="0" xfId="0" applyNumberFormat="1" applyProtection="1">
      <protection hidden="1"/>
    </xf>
    <xf numFmtId="4" fontId="0" fillId="0" borderId="0" xfId="0" applyNumberFormat="1"/>
    <xf numFmtId="0" fontId="3" fillId="0" borderId="0" xfId="2"/>
    <xf numFmtId="0" fontId="0" fillId="0" borderId="0" xfId="0" applyProtection="1">
      <protection hidden="1"/>
    </xf>
    <xf numFmtId="0" fontId="3" fillId="0" borderId="0" xfId="2" applyProtection="1">
      <protection hidden="1"/>
    </xf>
    <xf numFmtId="14" fontId="9" fillId="2" borderId="0" xfId="0" applyNumberFormat="1" applyFont="1" applyFill="1" applyAlignment="1">
      <alignment horizontal="center" vertical="center"/>
    </xf>
    <xf numFmtId="14" fontId="2" fillId="0" borderId="0" xfId="0" applyNumberFormat="1" applyFont="1" applyAlignment="1">
      <alignment horizontal="center" vertical="center"/>
    </xf>
    <xf numFmtId="0" fontId="0" fillId="0" borderId="2" xfId="0" applyBorder="1"/>
    <xf numFmtId="0" fontId="0" fillId="0" borderId="3" xfId="0" applyBorder="1"/>
    <xf numFmtId="0" fontId="0" fillId="0" borderId="4" xfId="0" applyBorder="1"/>
    <xf numFmtId="0" fontId="0" fillId="0" borderId="5" xfId="0" applyBorder="1"/>
    <xf numFmtId="0" fontId="0" fillId="0" borderId="6" xfId="0" applyBorder="1"/>
    <xf numFmtId="0" fontId="0" fillId="0" borderId="7" xfId="0" applyBorder="1"/>
    <xf numFmtId="0" fontId="12" fillId="4" borderId="2" xfId="2" applyFont="1" applyFill="1" applyBorder="1" applyAlignment="1" applyProtection="1">
      <alignment horizontal="center"/>
    </xf>
    <xf numFmtId="0" fontId="8" fillId="0" borderId="2" xfId="0" applyFont="1" applyBorder="1"/>
    <xf numFmtId="0" fontId="7" fillId="0" borderId="2" xfId="0" applyFont="1" applyBorder="1" applyAlignment="1">
      <alignment vertical="center"/>
    </xf>
    <xf numFmtId="9" fontId="1" fillId="0" borderId="2" xfId="1" applyFill="1" applyBorder="1" applyAlignment="1" applyProtection="1">
      <alignment horizontal="center" vertical="center"/>
      <protection locked="0"/>
    </xf>
    <xf numFmtId="0" fontId="5" fillId="0" borderId="2" xfId="0" applyFont="1" applyBorder="1" applyAlignment="1">
      <alignment horizontal="center" vertical="center" wrapText="1"/>
    </xf>
    <xf numFmtId="9" fontId="1" fillId="5" borderId="0" xfId="1" applyFill="1" applyBorder="1" applyAlignment="1" applyProtection="1">
      <alignment horizontal="center" vertical="center"/>
      <protection locked="0"/>
    </xf>
    <xf numFmtId="0" fontId="6" fillId="5" borderId="0" xfId="0" applyFont="1" applyFill="1" applyAlignment="1">
      <alignment vertical="center"/>
    </xf>
    <xf numFmtId="0" fontId="0" fillId="5" borderId="0" xfId="0" applyFill="1"/>
    <xf numFmtId="9" fontId="1" fillId="0" borderId="0" xfId="1" applyFill="1" applyBorder="1" applyAlignment="1" applyProtection="1">
      <alignment horizontal="center" vertical="center"/>
      <protection locked="0"/>
    </xf>
    <xf numFmtId="0" fontId="8" fillId="0" borderId="0" xfId="0" applyFont="1" applyAlignment="1">
      <alignment vertical="center"/>
    </xf>
    <xf numFmtId="9" fontId="1" fillId="6" borderId="0" xfId="1" applyFill="1" applyBorder="1" applyAlignment="1" applyProtection="1">
      <alignment horizontal="center" vertical="center"/>
      <protection locked="0"/>
    </xf>
    <xf numFmtId="0" fontId="6" fillId="6" borderId="0" xfId="0" applyFont="1" applyFill="1" applyAlignment="1">
      <alignment vertical="center"/>
    </xf>
    <xf numFmtId="0" fontId="5" fillId="6" borderId="0" xfId="0" applyFont="1" applyFill="1" applyAlignment="1">
      <alignment horizontal="left" vertical="center" wrapText="1"/>
    </xf>
    <xf numFmtId="0" fontId="6" fillId="0" borderId="0" xfId="0" applyFont="1" applyAlignment="1">
      <alignment vertical="center"/>
    </xf>
    <xf numFmtId="0" fontId="5" fillId="0" borderId="0" xfId="0" applyFont="1" applyAlignment="1">
      <alignment horizontal="left" vertical="center" wrapText="1"/>
    </xf>
    <xf numFmtId="0" fontId="0" fillId="2" borderId="2" xfId="0" applyFill="1" applyBorder="1"/>
    <xf numFmtId="0" fontId="6" fillId="0" borderId="0" xfId="0" applyFont="1" applyAlignment="1">
      <alignment vertical="top"/>
    </xf>
    <xf numFmtId="0" fontId="13" fillId="5" borderId="0" xfId="0" applyFont="1" applyFill="1" applyAlignment="1">
      <alignment horizontal="center" vertical="center" wrapText="1"/>
    </xf>
    <xf numFmtId="0" fontId="13" fillId="5" borderId="0" xfId="0" applyFont="1" applyFill="1" applyAlignment="1">
      <alignment horizontal="left" vertical="center" wrapText="1"/>
    </xf>
    <xf numFmtId="0" fontId="4" fillId="5" borderId="0" xfId="0" applyFont="1" applyFill="1" applyAlignment="1">
      <alignment horizontal="center" vertical="center" wrapText="1"/>
    </xf>
    <xf numFmtId="0" fontId="14" fillId="2" borderId="0" xfId="0" applyFont="1" applyFill="1" applyAlignment="1">
      <alignment horizontal="center" vertical="center"/>
    </xf>
    <xf numFmtId="14" fontId="14" fillId="0" borderId="0" xfId="0" applyNumberFormat="1" applyFont="1" applyAlignment="1" applyProtection="1">
      <alignment horizontal="left" vertical="center"/>
      <protection locked="0"/>
    </xf>
    <xf numFmtId="0" fontId="14" fillId="0" borderId="0" xfId="0" applyFont="1" applyAlignment="1">
      <alignment horizontal="left" vertical="center"/>
    </xf>
    <xf numFmtId="0" fontId="0" fillId="0" borderId="9" xfId="0" applyBorder="1"/>
    <xf numFmtId="0" fontId="0" fillId="0" borderId="10" xfId="0" applyBorder="1"/>
    <xf numFmtId="4" fontId="7" fillId="2" borderId="0" xfId="0" applyNumberFormat="1" applyFont="1" applyFill="1" applyProtection="1">
      <protection hidden="1"/>
    </xf>
    <xf numFmtId="0" fontId="15" fillId="5" borderId="8" xfId="0" applyFont="1" applyFill="1" applyBorder="1" applyAlignment="1">
      <alignment horizontal="center" vertical="center"/>
    </xf>
    <xf numFmtId="0" fontId="15" fillId="5" borderId="0" xfId="0" applyFont="1" applyFill="1" applyAlignment="1">
      <alignment horizontal="center" vertical="center"/>
    </xf>
    <xf numFmtId="0" fontId="14" fillId="7" borderId="0" xfId="0" applyFont="1" applyFill="1" applyAlignment="1">
      <alignment horizontal="center" vertical="center"/>
    </xf>
  </cellXfs>
  <cellStyles count="3">
    <cellStyle name="Hiperłącze" xfId="2" builtinId="8"/>
    <cellStyle name="Normalny" xfId="0" builtinId="0"/>
    <cellStyle name="Procentowy" xfId="1" builtinId="5"/>
  </cellStyles>
  <dxfs count="2">
    <dxf>
      <font>
        <color theme="0"/>
      </font>
    </dxf>
    <dxf>
      <font>
        <b/>
        <i/>
        <color theme="3" tint="-0.24994659260841701"/>
      </font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22/10/relationships/richValueRel" Target="richData/richValueRel.xml"/><Relationship Id="rId13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7" Type="http://schemas.openxmlformats.org/officeDocument/2006/relationships/sheetMetadata" Target="metadata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11" Type="http://schemas.microsoft.com/office/2017/06/relationships/rdRichValueTypes" Target="richData/rdRichValueTypes.xml"/><Relationship Id="rId5" Type="http://schemas.openxmlformats.org/officeDocument/2006/relationships/styles" Target="styles.xml"/><Relationship Id="rId15" Type="http://schemas.openxmlformats.org/officeDocument/2006/relationships/customXml" Target="../customXml/item3.xml"/><Relationship Id="rId10" Type="http://schemas.microsoft.com/office/2017/06/relationships/rdRichValueStructure" Target="richData/rdrichvaluestructure.xml"/><Relationship Id="rId4" Type="http://schemas.openxmlformats.org/officeDocument/2006/relationships/theme" Target="theme/theme1.xml"/><Relationship Id="rId9" Type="http://schemas.microsoft.com/office/2017/06/relationships/rdRichValue" Target="richData/rdrichvalue.xml"/><Relationship Id="rId14" Type="http://schemas.openxmlformats.org/officeDocument/2006/relationships/customXml" Target="../customXml/item2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21" Type="http://schemas.openxmlformats.org/officeDocument/2006/relationships/image" Target="../media/image25.jpeg"/><Relationship Id="rId170" Type="http://schemas.openxmlformats.org/officeDocument/2006/relationships/image" Target="../media/image174.jpeg"/><Relationship Id="rId268" Type="http://schemas.openxmlformats.org/officeDocument/2006/relationships/image" Target="../media/image272.jpeg"/><Relationship Id="rId475" Type="http://schemas.openxmlformats.org/officeDocument/2006/relationships/image" Target="../media/image479.jpeg"/><Relationship Id="rId682" Type="http://schemas.openxmlformats.org/officeDocument/2006/relationships/image" Target="../media/image686.jpeg"/><Relationship Id="rId128" Type="http://schemas.openxmlformats.org/officeDocument/2006/relationships/image" Target="../media/image132.jpeg"/><Relationship Id="rId335" Type="http://schemas.openxmlformats.org/officeDocument/2006/relationships/image" Target="../media/image339.jpeg"/><Relationship Id="rId542" Type="http://schemas.openxmlformats.org/officeDocument/2006/relationships/image" Target="../media/image546.jpeg"/><Relationship Id="rId987" Type="http://schemas.openxmlformats.org/officeDocument/2006/relationships/image" Target="../media/image991.jpeg"/><Relationship Id="rId402" Type="http://schemas.openxmlformats.org/officeDocument/2006/relationships/image" Target="../media/image406.jpeg"/><Relationship Id="rId847" Type="http://schemas.openxmlformats.org/officeDocument/2006/relationships/image" Target="../media/image851.jpeg"/><Relationship Id="rId1032" Type="http://schemas.openxmlformats.org/officeDocument/2006/relationships/image" Target="../media/image1036.jpeg"/><Relationship Id="rId707" Type="http://schemas.openxmlformats.org/officeDocument/2006/relationships/image" Target="../media/image711.jpeg"/><Relationship Id="rId914" Type="http://schemas.openxmlformats.org/officeDocument/2006/relationships/image" Target="../media/image918.jpeg"/><Relationship Id="rId43" Type="http://schemas.openxmlformats.org/officeDocument/2006/relationships/image" Target="../media/image47.jpeg"/><Relationship Id="rId192" Type="http://schemas.openxmlformats.org/officeDocument/2006/relationships/image" Target="../media/image196.jpeg"/><Relationship Id="rId497" Type="http://schemas.openxmlformats.org/officeDocument/2006/relationships/image" Target="../media/image501.jpeg"/><Relationship Id="rId357" Type="http://schemas.openxmlformats.org/officeDocument/2006/relationships/image" Target="../media/image361.jpeg"/><Relationship Id="rId217" Type="http://schemas.openxmlformats.org/officeDocument/2006/relationships/image" Target="../media/image221.jpeg"/><Relationship Id="rId564" Type="http://schemas.openxmlformats.org/officeDocument/2006/relationships/image" Target="../media/image568.jpeg"/><Relationship Id="rId771" Type="http://schemas.openxmlformats.org/officeDocument/2006/relationships/image" Target="../media/image775.jpeg"/><Relationship Id="rId869" Type="http://schemas.openxmlformats.org/officeDocument/2006/relationships/image" Target="../media/image873.jpeg"/><Relationship Id="rId424" Type="http://schemas.openxmlformats.org/officeDocument/2006/relationships/image" Target="../media/image428.jpeg"/><Relationship Id="rId631" Type="http://schemas.openxmlformats.org/officeDocument/2006/relationships/image" Target="../media/image635.jpeg"/><Relationship Id="rId729" Type="http://schemas.openxmlformats.org/officeDocument/2006/relationships/image" Target="../media/image733.jpeg"/><Relationship Id="rId1054" Type="http://schemas.openxmlformats.org/officeDocument/2006/relationships/image" Target="../media/image1058.jpeg"/><Relationship Id="rId936" Type="http://schemas.openxmlformats.org/officeDocument/2006/relationships/image" Target="../media/image940.jpeg"/><Relationship Id="rId65" Type="http://schemas.openxmlformats.org/officeDocument/2006/relationships/image" Target="../media/image69.jpeg"/><Relationship Id="rId281" Type="http://schemas.openxmlformats.org/officeDocument/2006/relationships/image" Target="../media/image285.jpeg"/><Relationship Id="rId141" Type="http://schemas.openxmlformats.org/officeDocument/2006/relationships/image" Target="../media/image145.jpeg"/><Relationship Id="rId379" Type="http://schemas.openxmlformats.org/officeDocument/2006/relationships/image" Target="../media/image383.jpeg"/><Relationship Id="rId586" Type="http://schemas.openxmlformats.org/officeDocument/2006/relationships/image" Target="../media/image590.jpeg"/><Relationship Id="rId793" Type="http://schemas.openxmlformats.org/officeDocument/2006/relationships/image" Target="../media/image797.jpeg"/><Relationship Id="rId7" Type="http://schemas.openxmlformats.org/officeDocument/2006/relationships/image" Target="../media/image11.jpeg"/><Relationship Id="rId239" Type="http://schemas.openxmlformats.org/officeDocument/2006/relationships/image" Target="../media/image243.jpeg"/><Relationship Id="rId446" Type="http://schemas.openxmlformats.org/officeDocument/2006/relationships/image" Target="../media/image450.jpeg"/><Relationship Id="rId653" Type="http://schemas.openxmlformats.org/officeDocument/2006/relationships/image" Target="../media/image657.jpeg"/><Relationship Id="rId1076" Type="http://schemas.openxmlformats.org/officeDocument/2006/relationships/image" Target="../media/image1080.jpeg"/><Relationship Id="rId306" Type="http://schemas.openxmlformats.org/officeDocument/2006/relationships/image" Target="../media/image310.jpeg"/><Relationship Id="rId860" Type="http://schemas.openxmlformats.org/officeDocument/2006/relationships/image" Target="../media/image864.jpeg"/><Relationship Id="rId958" Type="http://schemas.openxmlformats.org/officeDocument/2006/relationships/image" Target="../media/image962.jpeg"/><Relationship Id="rId87" Type="http://schemas.openxmlformats.org/officeDocument/2006/relationships/image" Target="../media/image91.jpeg"/><Relationship Id="rId513" Type="http://schemas.openxmlformats.org/officeDocument/2006/relationships/image" Target="../media/image517.jpeg"/><Relationship Id="rId720" Type="http://schemas.openxmlformats.org/officeDocument/2006/relationships/image" Target="../media/image724.jpeg"/><Relationship Id="rId818" Type="http://schemas.openxmlformats.org/officeDocument/2006/relationships/image" Target="../media/image822.jpeg"/><Relationship Id="rId152" Type="http://schemas.openxmlformats.org/officeDocument/2006/relationships/image" Target="../media/image156.jpeg"/><Relationship Id="rId457" Type="http://schemas.openxmlformats.org/officeDocument/2006/relationships/image" Target="../media/image461.jpeg"/><Relationship Id="rId1003" Type="http://schemas.openxmlformats.org/officeDocument/2006/relationships/image" Target="../media/image1007.jpeg"/><Relationship Id="rId1087" Type="http://schemas.openxmlformats.org/officeDocument/2006/relationships/image" Target="../media/image1091.jpeg"/><Relationship Id="rId664" Type="http://schemas.openxmlformats.org/officeDocument/2006/relationships/image" Target="../media/image668.jpeg"/><Relationship Id="rId871" Type="http://schemas.openxmlformats.org/officeDocument/2006/relationships/image" Target="../media/image875.jpeg"/><Relationship Id="rId969" Type="http://schemas.openxmlformats.org/officeDocument/2006/relationships/image" Target="../media/image973.jpeg"/><Relationship Id="rId14" Type="http://schemas.openxmlformats.org/officeDocument/2006/relationships/image" Target="../media/image18.jpeg"/><Relationship Id="rId317" Type="http://schemas.openxmlformats.org/officeDocument/2006/relationships/image" Target="../media/image321.jpeg"/><Relationship Id="rId524" Type="http://schemas.openxmlformats.org/officeDocument/2006/relationships/image" Target="../media/image528.jpeg"/><Relationship Id="rId731" Type="http://schemas.openxmlformats.org/officeDocument/2006/relationships/image" Target="../media/image735.jpeg"/><Relationship Id="rId98" Type="http://schemas.openxmlformats.org/officeDocument/2006/relationships/image" Target="../media/image102.jpeg"/><Relationship Id="rId163" Type="http://schemas.openxmlformats.org/officeDocument/2006/relationships/image" Target="../media/image167.jpeg"/><Relationship Id="rId370" Type="http://schemas.openxmlformats.org/officeDocument/2006/relationships/image" Target="../media/image374.png"/><Relationship Id="rId829" Type="http://schemas.openxmlformats.org/officeDocument/2006/relationships/image" Target="../media/image833.jpeg"/><Relationship Id="rId1014" Type="http://schemas.openxmlformats.org/officeDocument/2006/relationships/image" Target="../media/image1018.jpeg"/><Relationship Id="rId230" Type="http://schemas.openxmlformats.org/officeDocument/2006/relationships/image" Target="../media/image234.jpeg"/><Relationship Id="rId468" Type="http://schemas.openxmlformats.org/officeDocument/2006/relationships/image" Target="../media/image472.jpeg"/><Relationship Id="rId675" Type="http://schemas.openxmlformats.org/officeDocument/2006/relationships/image" Target="../media/image679.jpeg"/><Relationship Id="rId882" Type="http://schemas.openxmlformats.org/officeDocument/2006/relationships/image" Target="../media/image886.jpeg"/><Relationship Id="rId1098" Type="http://schemas.openxmlformats.org/officeDocument/2006/relationships/image" Target="../media/image1102.jpeg"/><Relationship Id="rId25" Type="http://schemas.openxmlformats.org/officeDocument/2006/relationships/image" Target="../media/image29.jpeg"/><Relationship Id="rId328" Type="http://schemas.openxmlformats.org/officeDocument/2006/relationships/image" Target="../media/image332.jpeg"/><Relationship Id="rId535" Type="http://schemas.openxmlformats.org/officeDocument/2006/relationships/image" Target="../media/image539.jpeg"/><Relationship Id="rId742" Type="http://schemas.openxmlformats.org/officeDocument/2006/relationships/image" Target="../media/image746.jpeg"/><Relationship Id="rId174" Type="http://schemas.openxmlformats.org/officeDocument/2006/relationships/image" Target="../media/image178.jpeg"/><Relationship Id="rId381" Type="http://schemas.openxmlformats.org/officeDocument/2006/relationships/image" Target="../media/image385.jpeg"/><Relationship Id="rId602" Type="http://schemas.openxmlformats.org/officeDocument/2006/relationships/image" Target="../media/image606.jpeg"/><Relationship Id="rId1025" Type="http://schemas.openxmlformats.org/officeDocument/2006/relationships/image" Target="../media/image1029.jpeg"/><Relationship Id="rId241" Type="http://schemas.openxmlformats.org/officeDocument/2006/relationships/image" Target="../media/image245.jpeg"/><Relationship Id="rId479" Type="http://schemas.openxmlformats.org/officeDocument/2006/relationships/image" Target="../media/image483.jpeg"/><Relationship Id="rId686" Type="http://schemas.openxmlformats.org/officeDocument/2006/relationships/image" Target="../media/image690.jpeg"/><Relationship Id="rId893" Type="http://schemas.openxmlformats.org/officeDocument/2006/relationships/image" Target="../media/image897.jpeg"/><Relationship Id="rId907" Type="http://schemas.openxmlformats.org/officeDocument/2006/relationships/image" Target="../media/image911.jpeg"/><Relationship Id="rId36" Type="http://schemas.openxmlformats.org/officeDocument/2006/relationships/image" Target="../media/image40.jpeg"/><Relationship Id="rId339" Type="http://schemas.openxmlformats.org/officeDocument/2006/relationships/image" Target="../media/image343.jpeg"/><Relationship Id="rId546" Type="http://schemas.openxmlformats.org/officeDocument/2006/relationships/image" Target="../media/image550.jpeg"/><Relationship Id="rId753" Type="http://schemas.openxmlformats.org/officeDocument/2006/relationships/image" Target="../media/image757.jpeg"/><Relationship Id="rId101" Type="http://schemas.openxmlformats.org/officeDocument/2006/relationships/image" Target="../media/image105.jpeg"/><Relationship Id="rId185" Type="http://schemas.openxmlformats.org/officeDocument/2006/relationships/image" Target="../media/image189.jpeg"/><Relationship Id="rId406" Type="http://schemas.openxmlformats.org/officeDocument/2006/relationships/image" Target="../media/image410.jpeg"/><Relationship Id="rId960" Type="http://schemas.openxmlformats.org/officeDocument/2006/relationships/image" Target="../media/image964.jpeg"/><Relationship Id="rId1036" Type="http://schemas.openxmlformats.org/officeDocument/2006/relationships/image" Target="../media/image1040.jpeg"/><Relationship Id="rId392" Type="http://schemas.openxmlformats.org/officeDocument/2006/relationships/image" Target="../media/image396.jpeg"/><Relationship Id="rId613" Type="http://schemas.openxmlformats.org/officeDocument/2006/relationships/image" Target="../media/image617.jpeg"/><Relationship Id="rId697" Type="http://schemas.openxmlformats.org/officeDocument/2006/relationships/image" Target="../media/image701.jpeg"/><Relationship Id="rId820" Type="http://schemas.openxmlformats.org/officeDocument/2006/relationships/image" Target="../media/image824.jpeg"/><Relationship Id="rId918" Type="http://schemas.openxmlformats.org/officeDocument/2006/relationships/image" Target="../media/image922.jpeg"/><Relationship Id="rId252" Type="http://schemas.openxmlformats.org/officeDocument/2006/relationships/image" Target="../media/image256.jpeg"/><Relationship Id="rId1103" Type="http://schemas.openxmlformats.org/officeDocument/2006/relationships/image" Target="../media/image1107.jpeg"/><Relationship Id="rId47" Type="http://schemas.openxmlformats.org/officeDocument/2006/relationships/image" Target="../media/image51.jpeg"/><Relationship Id="rId112" Type="http://schemas.openxmlformats.org/officeDocument/2006/relationships/image" Target="../media/image116.jpeg"/><Relationship Id="rId557" Type="http://schemas.openxmlformats.org/officeDocument/2006/relationships/image" Target="../media/image561.jpeg"/><Relationship Id="rId764" Type="http://schemas.openxmlformats.org/officeDocument/2006/relationships/image" Target="../media/image768.jpeg"/><Relationship Id="rId971" Type="http://schemas.openxmlformats.org/officeDocument/2006/relationships/image" Target="../media/image975.jpeg"/><Relationship Id="rId196" Type="http://schemas.openxmlformats.org/officeDocument/2006/relationships/image" Target="../media/image200.jpeg"/><Relationship Id="rId417" Type="http://schemas.openxmlformats.org/officeDocument/2006/relationships/image" Target="../media/image421.jpeg"/><Relationship Id="rId624" Type="http://schemas.openxmlformats.org/officeDocument/2006/relationships/image" Target="../media/image628.jpeg"/><Relationship Id="rId831" Type="http://schemas.openxmlformats.org/officeDocument/2006/relationships/image" Target="../media/image835.jpeg"/><Relationship Id="rId1047" Type="http://schemas.openxmlformats.org/officeDocument/2006/relationships/image" Target="../media/image1051.jpeg"/><Relationship Id="rId263" Type="http://schemas.openxmlformats.org/officeDocument/2006/relationships/image" Target="../media/image267.jpeg"/><Relationship Id="rId470" Type="http://schemas.openxmlformats.org/officeDocument/2006/relationships/image" Target="../media/image474.jpeg"/><Relationship Id="rId929" Type="http://schemas.openxmlformats.org/officeDocument/2006/relationships/image" Target="../media/image933.jpeg"/><Relationship Id="rId58" Type="http://schemas.openxmlformats.org/officeDocument/2006/relationships/image" Target="../media/image62.jpeg"/><Relationship Id="rId123" Type="http://schemas.openxmlformats.org/officeDocument/2006/relationships/image" Target="../media/image127.jpeg"/><Relationship Id="rId330" Type="http://schemas.openxmlformats.org/officeDocument/2006/relationships/image" Target="../media/image334.jpeg"/><Relationship Id="rId568" Type="http://schemas.openxmlformats.org/officeDocument/2006/relationships/image" Target="../media/image572.jpeg"/><Relationship Id="rId775" Type="http://schemas.openxmlformats.org/officeDocument/2006/relationships/image" Target="../media/image779.jpeg"/><Relationship Id="rId982" Type="http://schemas.openxmlformats.org/officeDocument/2006/relationships/image" Target="../media/image986.jpeg"/><Relationship Id="rId428" Type="http://schemas.openxmlformats.org/officeDocument/2006/relationships/image" Target="../media/image432.jpeg"/><Relationship Id="rId635" Type="http://schemas.openxmlformats.org/officeDocument/2006/relationships/image" Target="../media/image639.jpeg"/><Relationship Id="rId842" Type="http://schemas.openxmlformats.org/officeDocument/2006/relationships/image" Target="../media/image846.jpeg"/><Relationship Id="rId1058" Type="http://schemas.openxmlformats.org/officeDocument/2006/relationships/image" Target="../media/image1062.jpeg"/><Relationship Id="rId274" Type="http://schemas.openxmlformats.org/officeDocument/2006/relationships/image" Target="../media/image278.jpeg"/><Relationship Id="rId481" Type="http://schemas.openxmlformats.org/officeDocument/2006/relationships/image" Target="../media/image485.jpeg"/><Relationship Id="rId702" Type="http://schemas.openxmlformats.org/officeDocument/2006/relationships/image" Target="../media/image706.jpeg"/><Relationship Id="rId69" Type="http://schemas.openxmlformats.org/officeDocument/2006/relationships/image" Target="../media/image73.jpeg"/><Relationship Id="rId134" Type="http://schemas.openxmlformats.org/officeDocument/2006/relationships/image" Target="../media/image138.jpeg"/><Relationship Id="rId579" Type="http://schemas.openxmlformats.org/officeDocument/2006/relationships/image" Target="../media/image583.jpeg"/><Relationship Id="rId786" Type="http://schemas.openxmlformats.org/officeDocument/2006/relationships/image" Target="../media/image790.jpeg"/><Relationship Id="rId993" Type="http://schemas.openxmlformats.org/officeDocument/2006/relationships/image" Target="../media/image997.jpeg"/><Relationship Id="rId341" Type="http://schemas.openxmlformats.org/officeDocument/2006/relationships/image" Target="../media/image345.jpeg"/><Relationship Id="rId439" Type="http://schemas.openxmlformats.org/officeDocument/2006/relationships/image" Target="../media/image443.jpeg"/><Relationship Id="rId646" Type="http://schemas.openxmlformats.org/officeDocument/2006/relationships/image" Target="../media/image650.jpeg"/><Relationship Id="rId1069" Type="http://schemas.openxmlformats.org/officeDocument/2006/relationships/image" Target="../media/image1073.jpeg"/><Relationship Id="rId201" Type="http://schemas.openxmlformats.org/officeDocument/2006/relationships/image" Target="../media/image205.jpeg"/><Relationship Id="rId285" Type="http://schemas.openxmlformats.org/officeDocument/2006/relationships/image" Target="../media/image289.jpeg"/><Relationship Id="rId506" Type="http://schemas.openxmlformats.org/officeDocument/2006/relationships/image" Target="../media/image510.jpeg"/><Relationship Id="rId853" Type="http://schemas.openxmlformats.org/officeDocument/2006/relationships/image" Target="../media/image857.jpeg"/><Relationship Id="rId492" Type="http://schemas.openxmlformats.org/officeDocument/2006/relationships/image" Target="../media/image496.jpeg"/><Relationship Id="rId713" Type="http://schemas.openxmlformats.org/officeDocument/2006/relationships/image" Target="../media/image717.jpeg"/><Relationship Id="rId797" Type="http://schemas.openxmlformats.org/officeDocument/2006/relationships/image" Target="../media/image801.jpeg"/><Relationship Id="rId920" Type="http://schemas.openxmlformats.org/officeDocument/2006/relationships/image" Target="../media/image924.jpeg"/><Relationship Id="rId145" Type="http://schemas.openxmlformats.org/officeDocument/2006/relationships/image" Target="../media/image149.jpeg"/><Relationship Id="rId352" Type="http://schemas.openxmlformats.org/officeDocument/2006/relationships/image" Target="../media/image356.jpeg"/><Relationship Id="rId212" Type="http://schemas.openxmlformats.org/officeDocument/2006/relationships/image" Target="../media/image216.jpeg"/><Relationship Id="rId657" Type="http://schemas.openxmlformats.org/officeDocument/2006/relationships/image" Target="../media/image661.jpeg"/><Relationship Id="rId864" Type="http://schemas.openxmlformats.org/officeDocument/2006/relationships/image" Target="../media/image868.jpeg"/><Relationship Id="rId296" Type="http://schemas.openxmlformats.org/officeDocument/2006/relationships/image" Target="../media/image300.jpeg"/><Relationship Id="rId517" Type="http://schemas.openxmlformats.org/officeDocument/2006/relationships/image" Target="../media/image521.jpeg"/><Relationship Id="rId724" Type="http://schemas.openxmlformats.org/officeDocument/2006/relationships/image" Target="../media/image728.jpeg"/><Relationship Id="rId931" Type="http://schemas.openxmlformats.org/officeDocument/2006/relationships/image" Target="../media/image935.jpeg"/><Relationship Id="rId60" Type="http://schemas.openxmlformats.org/officeDocument/2006/relationships/image" Target="../media/image64.jpeg"/><Relationship Id="rId156" Type="http://schemas.openxmlformats.org/officeDocument/2006/relationships/image" Target="../media/image160.jpeg"/><Relationship Id="rId363" Type="http://schemas.openxmlformats.org/officeDocument/2006/relationships/image" Target="../media/image367.jpeg"/><Relationship Id="rId570" Type="http://schemas.openxmlformats.org/officeDocument/2006/relationships/image" Target="../media/image574.jpeg"/><Relationship Id="rId1007" Type="http://schemas.openxmlformats.org/officeDocument/2006/relationships/image" Target="../media/image1011.jpeg"/><Relationship Id="rId223" Type="http://schemas.openxmlformats.org/officeDocument/2006/relationships/image" Target="../media/image227.jpeg"/><Relationship Id="rId430" Type="http://schemas.openxmlformats.org/officeDocument/2006/relationships/image" Target="../media/image434.jpeg"/><Relationship Id="rId668" Type="http://schemas.openxmlformats.org/officeDocument/2006/relationships/image" Target="../media/image672.jpeg"/><Relationship Id="rId875" Type="http://schemas.openxmlformats.org/officeDocument/2006/relationships/image" Target="../media/image879.jpeg"/><Relationship Id="rId1060" Type="http://schemas.openxmlformats.org/officeDocument/2006/relationships/image" Target="../media/image1064.jpeg"/><Relationship Id="rId18" Type="http://schemas.openxmlformats.org/officeDocument/2006/relationships/image" Target="../media/image22.jpeg"/><Relationship Id="rId528" Type="http://schemas.openxmlformats.org/officeDocument/2006/relationships/image" Target="../media/image532.jpeg"/><Relationship Id="rId735" Type="http://schemas.openxmlformats.org/officeDocument/2006/relationships/image" Target="../media/image739.jpeg"/><Relationship Id="rId942" Type="http://schemas.openxmlformats.org/officeDocument/2006/relationships/image" Target="../media/image946.jpeg"/><Relationship Id="rId167" Type="http://schemas.openxmlformats.org/officeDocument/2006/relationships/image" Target="../media/image171.jpeg"/><Relationship Id="rId374" Type="http://schemas.openxmlformats.org/officeDocument/2006/relationships/image" Target="../media/image378.jpeg"/><Relationship Id="rId581" Type="http://schemas.openxmlformats.org/officeDocument/2006/relationships/image" Target="../media/image585.jpeg"/><Relationship Id="rId1018" Type="http://schemas.openxmlformats.org/officeDocument/2006/relationships/image" Target="../media/image1022.jpeg"/><Relationship Id="rId71" Type="http://schemas.openxmlformats.org/officeDocument/2006/relationships/image" Target="../media/image75.jpeg"/><Relationship Id="rId234" Type="http://schemas.openxmlformats.org/officeDocument/2006/relationships/image" Target="../media/image238.jpeg"/><Relationship Id="rId679" Type="http://schemas.openxmlformats.org/officeDocument/2006/relationships/image" Target="../media/image683.jpeg"/><Relationship Id="rId802" Type="http://schemas.openxmlformats.org/officeDocument/2006/relationships/image" Target="../media/image806.jpeg"/><Relationship Id="rId886" Type="http://schemas.openxmlformats.org/officeDocument/2006/relationships/image" Target="../media/image890.jpeg"/><Relationship Id="rId2" Type="http://schemas.openxmlformats.org/officeDocument/2006/relationships/image" Target="../media/image6.jpeg"/><Relationship Id="rId29" Type="http://schemas.openxmlformats.org/officeDocument/2006/relationships/image" Target="../media/image33.jpeg"/><Relationship Id="rId441" Type="http://schemas.openxmlformats.org/officeDocument/2006/relationships/image" Target="../media/image445.jpeg"/><Relationship Id="rId539" Type="http://schemas.openxmlformats.org/officeDocument/2006/relationships/image" Target="../media/image543.jpeg"/><Relationship Id="rId746" Type="http://schemas.openxmlformats.org/officeDocument/2006/relationships/image" Target="../media/image750.jpeg"/><Relationship Id="rId1071" Type="http://schemas.openxmlformats.org/officeDocument/2006/relationships/image" Target="../media/image1075.jpeg"/><Relationship Id="rId178" Type="http://schemas.openxmlformats.org/officeDocument/2006/relationships/image" Target="../media/image182.jpeg"/><Relationship Id="rId301" Type="http://schemas.openxmlformats.org/officeDocument/2006/relationships/image" Target="../media/image305.jpeg"/><Relationship Id="rId953" Type="http://schemas.openxmlformats.org/officeDocument/2006/relationships/image" Target="../media/image957.jpeg"/><Relationship Id="rId1029" Type="http://schemas.openxmlformats.org/officeDocument/2006/relationships/image" Target="../media/image1033.jpeg"/><Relationship Id="rId82" Type="http://schemas.openxmlformats.org/officeDocument/2006/relationships/image" Target="../media/image86.jpeg"/><Relationship Id="rId385" Type="http://schemas.openxmlformats.org/officeDocument/2006/relationships/image" Target="../media/image389.jpeg"/><Relationship Id="rId592" Type="http://schemas.openxmlformats.org/officeDocument/2006/relationships/image" Target="../media/image596.jpeg"/><Relationship Id="rId606" Type="http://schemas.openxmlformats.org/officeDocument/2006/relationships/image" Target="../media/image610.jpeg"/><Relationship Id="rId813" Type="http://schemas.openxmlformats.org/officeDocument/2006/relationships/image" Target="../media/image817.jpeg"/><Relationship Id="rId245" Type="http://schemas.openxmlformats.org/officeDocument/2006/relationships/image" Target="../media/image249.jpeg"/><Relationship Id="rId452" Type="http://schemas.openxmlformats.org/officeDocument/2006/relationships/image" Target="../media/image456.jpeg"/><Relationship Id="rId897" Type="http://schemas.openxmlformats.org/officeDocument/2006/relationships/image" Target="../media/image901.jpeg"/><Relationship Id="rId1082" Type="http://schemas.openxmlformats.org/officeDocument/2006/relationships/image" Target="../media/image1086.jpeg"/><Relationship Id="rId105" Type="http://schemas.openxmlformats.org/officeDocument/2006/relationships/image" Target="../media/image109.jpeg"/><Relationship Id="rId312" Type="http://schemas.openxmlformats.org/officeDocument/2006/relationships/image" Target="../media/image316.jpeg"/><Relationship Id="rId757" Type="http://schemas.openxmlformats.org/officeDocument/2006/relationships/image" Target="../media/image761.jpeg"/><Relationship Id="rId964" Type="http://schemas.openxmlformats.org/officeDocument/2006/relationships/image" Target="../media/image968.jpeg"/><Relationship Id="rId93" Type="http://schemas.openxmlformats.org/officeDocument/2006/relationships/image" Target="../media/image97.jpeg"/><Relationship Id="rId189" Type="http://schemas.openxmlformats.org/officeDocument/2006/relationships/image" Target="../media/image193.jpeg"/><Relationship Id="rId396" Type="http://schemas.openxmlformats.org/officeDocument/2006/relationships/image" Target="../media/image400.jpeg"/><Relationship Id="rId617" Type="http://schemas.openxmlformats.org/officeDocument/2006/relationships/image" Target="../media/image621.jpeg"/><Relationship Id="rId824" Type="http://schemas.openxmlformats.org/officeDocument/2006/relationships/image" Target="../media/image828.jpeg"/><Relationship Id="rId256" Type="http://schemas.openxmlformats.org/officeDocument/2006/relationships/image" Target="../media/image260.jpeg"/><Relationship Id="rId463" Type="http://schemas.openxmlformats.org/officeDocument/2006/relationships/image" Target="../media/image467.jpeg"/><Relationship Id="rId670" Type="http://schemas.openxmlformats.org/officeDocument/2006/relationships/image" Target="../media/image674.jpeg"/><Relationship Id="rId1093" Type="http://schemas.openxmlformats.org/officeDocument/2006/relationships/image" Target="../media/image1097.jpeg"/><Relationship Id="rId116" Type="http://schemas.openxmlformats.org/officeDocument/2006/relationships/image" Target="../media/image120.jpeg"/><Relationship Id="rId323" Type="http://schemas.openxmlformats.org/officeDocument/2006/relationships/image" Target="../media/image327.jpeg"/><Relationship Id="rId530" Type="http://schemas.openxmlformats.org/officeDocument/2006/relationships/image" Target="../media/image534.jpeg"/><Relationship Id="rId768" Type="http://schemas.openxmlformats.org/officeDocument/2006/relationships/image" Target="../media/image772.jpeg"/><Relationship Id="rId975" Type="http://schemas.openxmlformats.org/officeDocument/2006/relationships/image" Target="../media/image979.jpeg"/><Relationship Id="rId20" Type="http://schemas.openxmlformats.org/officeDocument/2006/relationships/image" Target="../media/image24.jpeg"/><Relationship Id="rId628" Type="http://schemas.openxmlformats.org/officeDocument/2006/relationships/image" Target="../media/image632.jpeg"/><Relationship Id="rId835" Type="http://schemas.openxmlformats.org/officeDocument/2006/relationships/image" Target="../media/image839.jpeg"/><Relationship Id="rId267" Type="http://schemas.openxmlformats.org/officeDocument/2006/relationships/image" Target="../media/image271.jpeg"/><Relationship Id="rId474" Type="http://schemas.openxmlformats.org/officeDocument/2006/relationships/image" Target="../media/image478.jpeg"/><Relationship Id="rId1020" Type="http://schemas.openxmlformats.org/officeDocument/2006/relationships/image" Target="../media/image1024.jpeg"/><Relationship Id="rId127" Type="http://schemas.openxmlformats.org/officeDocument/2006/relationships/image" Target="../media/image131.jpeg"/><Relationship Id="rId681" Type="http://schemas.openxmlformats.org/officeDocument/2006/relationships/image" Target="../media/image685.jpeg"/><Relationship Id="rId779" Type="http://schemas.openxmlformats.org/officeDocument/2006/relationships/image" Target="../media/image783.jpeg"/><Relationship Id="rId902" Type="http://schemas.openxmlformats.org/officeDocument/2006/relationships/image" Target="../media/image906.jpeg"/><Relationship Id="rId986" Type="http://schemas.openxmlformats.org/officeDocument/2006/relationships/image" Target="../media/image990.jpeg"/><Relationship Id="rId31" Type="http://schemas.openxmlformats.org/officeDocument/2006/relationships/image" Target="../media/image35.jpeg"/><Relationship Id="rId334" Type="http://schemas.openxmlformats.org/officeDocument/2006/relationships/image" Target="../media/image338.jpeg"/><Relationship Id="rId541" Type="http://schemas.openxmlformats.org/officeDocument/2006/relationships/image" Target="../media/image545.jpeg"/><Relationship Id="rId639" Type="http://schemas.openxmlformats.org/officeDocument/2006/relationships/image" Target="../media/image643.jpeg"/><Relationship Id="rId180" Type="http://schemas.openxmlformats.org/officeDocument/2006/relationships/image" Target="../media/image184.jpeg"/><Relationship Id="rId278" Type="http://schemas.openxmlformats.org/officeDocument/2006/relationships/image" Target="../media/image282.jpeg"/><Relationship Id="rId401" Type="http://schemas.openxmlformats.org/officeDocument/2006/relationships/image" Target="../media/image405.jpeg"/><Relationship Id="rId846" Type="http://schemas.openxmlformats.org/officeDocument/2006/relationships/image" Target="../media/image850.jpeg"/><Relationship Id="rId1031" Type="http://schemas.openxmlformats.org/officeDocument/2006/relationships/image" Target="../media/image1035.jpeg"/><Relationship Id="rId485" Type="http://schemas.openxmlformats.org/officeDocument/2006/relationships/image" Target="../media/image489.jpeg"/><Relationship Id="rId692" Type="http://schemas.openxmlformats.org/officeDocument/2006/relationships/image" Target="../media/image696.jpeg"/><Relationship Id="rId706" Type="http://schemas.openxmlformats.org/officeDocument/2006/relationships/image" Target="../media/image710.jpeg"/><Relationship Id="rId913" Type="http://schemas.openxmlformats.org/officeDocument/2006/relationships/image" Target="../media/image917.jpeg"/><Relationship Id="rId42" Type="http://schemas.openxmlformats.org/officeDocument/2006/relationships/image" Target="../media/image46.jpeg"/><Relationship Id="rId138" Type="http://schemas.openxmlformats.org/officeDocument/2006/relationships/image" Target="../media/image142.jpeg"/><Relationship Id="rId345" Type="http://schemas.openxmlformats.org/officeDocument/2006/relationships/image" Target="../media/image349.jpeg"/><Relationship Id="rId552" Type="http://schemas.openxmlformats.org/officeDocument/2006/relationships/image" Target="../media/image556.jpeg"/><Relationship Id="rId997" Type="http://schemas.openxmlformats.org/officeDocument/2006/relationships/image" Target="../media/image1001.jpeg"/><Relationship Id="rId191" Type="http://schemas.openxmlformats.org/officeDocument/2006/relationships/image" Target="../media/image195.jpeg"/><Relationship Id="rId205" Type="http://schemas.openxmlformats.org/officeDocument/2006/relationships/image" Target="../media/image209.jpeg"/><Relationship Id="rId412" Type="http://schemas.openxmlformats.org/officeDocument/2006/relationships/image" Target="../media/image416.jpeg"/><Relationship Id="rId857" Type="http://schemas.openxmlformats.org/officeDocument/2006/relationships/image" Target="../media/image861.jpeg"/><Relationship Id="rId1042" Type="http://schemas.openxmlformats.org/officeDocument/2006/relationships/image" Target="../media/image1046.jpeg"/><Relationship Id="rId289" Type="http://schemas.openxmlformats.org/officeDocument/2006/relationships/image" Target="../media/image293.jpeg"/><Relationship Id="rId496" Type="http://schemas.openxmlformats.org/officeDocument/2006/relationships/image" Target="../media/image500.jpeg"/><Relationship Id="rId717" Type="http://schemas.openxmlformats.org/officeDocument/2006/relationships/image" Target="../media/image721.jpeg"/><Relationship Id="rId924" Type="http://schemas.openxmlformats.org/officeDocument/2006/relationships/image" Target="../media/image928.jpeg"/><Relationship Id="rId53" Type="http://schemas.openxmlformats.org/officeDocument/2006/relationships/image" Target="../media/image57.jpeg"/><Relationship Id="rId149" Type="http://schemas.openxmlformats.org/officeDocument/2006/relationships/image" Target="../media/image153.jpeg"/><Relationship Id="rId356" Type="http://schemas.openxmlformats.org/officeDocument/2006/relationships/image" Target="../media/image360.jpeg"/><Relationship Id="rId563" Type="http://schemas.openxmlformats.org/officeDocument/2006/relationships/image" Target="../media/image567.jpeg"/><Relationship Id="rId770" Type="http://schemas.openxmlformats.org/officeDocument/2006/relationships/image" Target="../media/image774.jpeg"/><Relationship Id="rId216" Type="http://schemas.openxmlformats.org/officeDocument/2006/relationships/image" Target="../media/image220.jpeg"/><Relationship Id="rId423" Type="http://schemas.openxmlformats.org/officeDocument/2006/relationships/image" Target="../media/image427.jpeg"/><Relationship Id="rId868" Type="http://schemas.openxmlformats.org/officeDocument/2006/relationships/image" Target="../media/image872.jpeg"/><Relationship Id="rId1053" Type="http://schemas.openxmlformats.org/officeDocument/2006/relationships/image" Target="../media/image1057.jpeg"/><Relationship Id="rId630" Type="http://schemas.openxmlformats.org/officeDocument/2006/relationships/image" Target="../media/image634.jpeg"/><Relationship Id="rId728" Type="http://schemas.openxmlformats.org/officeDocument/2006/relationships/image" Target="../media/image732.jpeg"/><Relationship Id="rId935" Type="http://schemas.openxmlformats.org/officeDocument/2006/relationships/image" Target="../media/image939.jpeg"/><Relationship Id="rId64" Type="http://schemas.openxmlformats.org/officeDocument/2006/relationships/image" Target="../media/image68.jpeg"/><Relationship Id="rId367" Type="http://schemas.openxmlformats.org/officeDocument/2006/relationships/image" Target="../media/image371.jpeg"/><Relationship Id="rId574" Type="http://schemas.openxmlformats.org/officeDocument/2006/relationships/image" Target="../media/image578.jpeg"/><Relationship Id="rId227" Type="http://schemas.openxmlformats.org/officeDocument/2006/relationships/image" Target="../media/image231.jpeg"/><Relationship Id="rId781" Type="http://schemas.openxmlformats.org/officeDocument/2006/relationships/image" Target="../media/image785.jpeg"/><Relationship Id="rId879" Type="http://schemas.openxmlformats.org/officeDocument/2006/relationships/image" Target="../media/image883.jpeg"/><Relationship Id="rId434" Type="http://schemas.openxmlformats.org/officeDocument/2006/relationships/image" Target="../media/image438.jpeg"/><Relationship Id="rId641" Type="http://schemas.openxmlformats.org/officeDocument/2006/relationships/image" Target="../media/image645.jpeg"/><Relationship Id="rId739" Type="http://schemas.openxmlformats.org/officeDocument/2006/relationships/image" Target="../media/image743.jpeg"/><Relationship Id="rId1064" Type="http://schemas.openxmlformats.org/officeDocument/2006/relationships/image" Target="../media/image1068.jpeg"/><Relationship Id="rId280" Type="http://schemas.openxmlformats.org/officeDocument/2006/relationships/image" Target="../media/image284.jpeg"/><Relationship Id="rId501" Type="http://schemas.openxmlformats.org/officeDocument/2006/relationships/image" Target="../media/image505.jpeg"/><Relationship Id="rId946" Type="http://schemas.openxmlformats.org/officeDocument/2006/relationships/image" Target="../media/image950.jpeg"/><Relationship Id="rId75" Type="http://schemas.openxmlformats.org/officeDocument/2006/relationships/image" Target="../media/image79.jpeg"/><Relationship Id="rId140" Type="http://schemas.openxmlformats.org/officeDocument/2006/relationships/image" Target="../media/image144.jpeg"/><Relationship Id="rId378" Type="http://schemas.openxmlformats.org/officeDocument/2006/relationships/image" Target="../media/image382.jpeg"/><Relationship Id="rId585" Type="http://schemas.openxmlformats.org/officeDocument/2006/relationships/image" Target="../media/image589.jpeg"/><Relationship Id="rId792" Type="http://schemas.openxmlformats.org/officeDocument/2006/relationships/image" Target="../media/image796.jpeg"/><Relationship Id="rId806" Type="http://schemas.openxmlformats.org/officeDocument/2006/relationships/image" Target="../media/image810.jpeg"/><Relationship Id="rId6" Type="http://schemas.openxmlformats.org/officeDocument/2006/relationships/image" Target="../media/image10.jpeg"/><Relationship Id="rId238" Type="http://schemas.openxmlformats.org/officeDocument/2006/relationships/image" Target="../media/image242.jpeg"/><Relationship Id="rId445" Type="http://schemas.openxmlformats.org/officeDocument/2006/relationships/image" Target="../media/image449.jpeg"/><Relationship Id="rId652" Type="http://schemas.openxmlformats.org/officeDocument/2006/relationships/image" Target="../media/image656.jpeg"/><Relationship Id="rId1075" Type="http://schemas.openxmlformats.org/officeDocument/2006/relationships/image" Target="../media/image1079.jpeg"/><Relationship Id="rId291" Type="http://schemas.openxmlformats.org/officeDocument/2006/relationships/image" Target="../media/image295.jpeg"/><Relationship Id="rId305" Type="http://schemas.openxmlformats.org/officeDocument/2006/relationships/image" Target="../media/image309.jpeg"/><Relationship Id="rId512" Type="http://schemas.openxmlformats.org/officeDocument/2006/relationships/image" Target="../media/image516.jpeg"/><Relationship Id="rId957" Type="http://schemas.openxmlformats.org/officeDocument/2006/relationships/image" Target="../media/image961.jpeg"/><Relationship Id="rId86" Type="http://schemas.openxmlformats.org/officeDocument/2006/relationships/image" Target="../media/image90.jpeg"/><Relationship Id="rId151" Type="http://schemas.openxmlformats.org/officeDocument/2006/relationships/image" Target="../media/image155.jpeg"/><Relationship Id="rId389" Type="http://schemas.openxmlformats.org/officeDocument/2006/relationships/image" Target="../media/image393.jpeg"/><Relationship Id="rId596" Type="http://schemas.openxmlformats.org/officeDocument/2006/relationships/image" Target="../media/image600.jpeg"/><Relationship Id="rId817" Type="http://schemas.openxmlformats.org/officeDocument/2006/relationships/image" Target="../media/image821.jpeg"/><Relationship Id="rId1002" Type="http://schemas.openxmlformats.org/officeDocument/2006/relationships/image" Target="../media/image1006.jpeg"/><Relationship Id="rId249" Type="http://schemas.openxmlformats.org/officeDocument/2006/relationships/image" Target="../media/image253.jpeg"/><Relationship Id="rId456" Type="http://schemas.openxmlformats.org/officeDocument/2006/relationships/image" Target="../media/image460.jpeg"/><Relationship Id="rId663" Type="http://schemas.openxmlformats.org/officeDocument/2006/relationships/image" Target="../media/image667.jpeg"/><Relationship Id="rId870" Type="http://schemas.openxmlformats.org/officeDocument/2006/relationships/image" Target="../media/image874.jpeg"/><Relationship Id="rId1086" Type="http://schemas.openxmlformats.org/officeDocument/2006/relationships/image" Target="../media/image1090.jpeg"/><Relationship Id="rId13" Type="http://schemas.openxmlformats.org/officeDocument/2006/relationships/image" Target="../media/image17.jpeg"/><Relationship Id="rId109" Type="http://schemas.openxmlformats.org/officeDocument/2006/relationships/image" Target="../media/image113.jpeg"/><Relationship Id="rId316" Type="http://schemas.openxmlformats.org/officeDocument/2006/relationships/image" Target="../media/image320.jpeg"/><Relationship Id="rId523" Type="http://schemas.openxmlformats.org/officeDocument/2006/relationships/image" Target="../media/image527.jpeg"/><Relationship Id="rId968" Type="http://schemas.openxmlformats.org/officeDocument/2006/relationships/image" Target="../media/image972.jpeg"/><Relationship Id="rId97" Type="http://schemas.openxmlformats.org/officeDocument/2006/relationships/image" Target="../media/image101.jpeg"/><Relationship Id="rId730" Type="http://schemas.openxmlformats.org/officeDocument/2006/relationships/image" Target="../media/image734.jpeg"/><Relationship Id="rId828" Type="http://schemas.openxmlformats.org/officeDocument/2006/relationships/image" Target="../media/image832.jpeg"/><Relationship Id="rId1013" Type="http://schemas.openxmlformats.org/officeDocument/2006/relationships/image" Target="../media/image1017.jpeg"/><Relationship Id="rId162" Type="http://schemas.openxmlformats.org/officeDocument/2006/relationships/image" Target="../media/image166.jpeg"/><Relationship Id="rId467" Type="http://schemas.openxmlformats.org/officeDocument/2006/relationships/image" Target="../media/image471.jpeg"/><Relationship Id="rId1097" Type="http://schemas.openxmlformats.org/officeDocument/2006/relationships/image" Target="../media/image1101.jpeg"/><Relationship Id="rId674" Type="http://schemas.openxmlformats.org/officeDocument/2006/relationships/image" Target="../media/image678.jpeg"/><Relationship Id="rId881" Type="http://schemas.openxmlformats.org/officeDocument/2006/relationships/image" Target="../media/image885.jpeg"/><Relationship Id="rId979" Type="http://schemas.openxmlformats.org/officeDocument/2006/relationships/image" Target="../media/image983.jpeg"/><Relationship Id="rId24" Type="http://schemas.openxmlformats.org/officeDocument/2006/relationships/image" Target="../media/image28.jpeg"/><Relationship Id="rId327" Type="http://schemas.openxmlformats.org/officeDocument/2006/relationships/image" Target="../media/image331.jpeg"/><Relationship Id="rId534" Type="http://schemas.openxmlformats.org/officeDocument/2006/relationships/image" Target="../media/image538.jpeg"/><Relationship Id="rId741" Type="http://schemas.openxmlformats.org/officeDocument/2006/relationships/image" Target="../media/image745.jpeg"/><Relationship Id="rId839" Type="http://schemas.openxmlformats.org/officeDocument/2006/relationships/image" Target="../media/image843.jpeg"/><Relationship Id="rId173" Type="http://schemas.openxmlformats.org/officeDocument/2006/relationships/image" Target="../media/image177.jpeg"/><Relationship Id="rId380" Type="http://schemas.openxmlformats.org/officeDocument/2006/relationships/image" Target="../media/image384.jpeg"/><Relationship Id="rId601" Type="http://schemas.openxmlformats.org/officeDocument/2006/relationships/image" Target="../media/image605.jpeg"/><Relationship Id="rId1024" Type="http://schemas.openxmlformats.org/officeDocument/2006/relationships/image" Target="../media/image1028.jpeg"/><Relationship Id="rId240" Type="http://schemas.openxmlformats.org/officeDocument/2006/relationships/image" Target="../media/image244.jpeg"/><Relationship Id="rId478" Type="http://schemas.openxmlformats.org/officeDocument/2006/relationships/image" Target="../media/image482.jpeg"/><Relationship Id="rId685" Type="http://schemas.openxmlformats.org/officeDocument/2006/relationships/image" Target="../media/image689.jpeg"/><Relationship Id="rId892" Type="http://schemas.openxmlformats.org/officeDocument/2006/relationships/image" Target="../media/image896.jpeg"/><Relationship Id="rId906" Type="http://schemas.openxmlformats.org/officeDocument/2006/relationships/image" Target="../media/image910.jpeg"/><Relationship Id="rId35" Type="http://schemas.openxmlformats.org/officeDocument/2006/relationships/image" Target="../media/image39.jpeg"/><Relationship Id="rId100" Type="http://schemas.openxmlformats.org/officeDocument/2006/relationships/image" Target="../media/image104.jpeg"/><Relationship Id="rId338" Type="http://schemas.openxmlformats.org/officeDocument/2006/relationships/image" Target="../media/image342.jpeg"/><Relationship Id="rId545" Type="http://schemas.openxmlformats.org/officeDocument/2006/relationships/image" Target="../media/image549.jpeg"/><Relationship Id="rId752" Type="http://schemas.openxmlformats.org/officeDocument/2006/relationships/image" Target="../media/image756.jpeg"/><Relationship Id="rId184" Type="http://schemas.openxmlformats.org/officeDocument/2006/relationships/image" Target="../media/image188.jpeg"/><Relationship Id="rId391" Type="http://schemas.openxmlformats.org/officeDocument/2006/relationships/image" Target="../media/image395.jpeg"/><Relationship Id="rId405" Type="http://schemas.openxmlformats.org/officeDocument/2006/relationships/image" Target="../media/image409.jpeg"/><Relationship Id="rId612" Type="http://schemas.openxmlformats.org/officeDocument/2006/relationships/image" Target="../media/image616.jpeg"/><Relationship Id="rId1035" Type="http://schemas.openxmlformats.org/officeDocument/2006/relationships/image" Target="../media/image1039.jpeg"/><Relationship Id="rId251" Type="http://schemas.openxmlformats.org/officeDocument/2006/relationships/image" Target="../media/image255.jpeg"/><Relationship Id="rId489" Type="http://schemas.openxmlformats.org/officeDocument/2006/relationships/image" Target="../media/image493.jpeg"/><Relationship Id="rId696" Type="http://schemas.openxmlformats.org/officeDocument/2006/relationships/image" Target="../media/image700.jpeg"/><Relationship Id="rId917" Type="http://schemas.openxmlformats.org/officeDocument/2006/relationships/image" Target="../media/image921.jpeg"/><Relationship Id="rId1102" Type="http://schemas.openxmlformats.org/officeDocument/2006/relationships/image" Target="../media/image1106.jpeg"/><Relationship Id="rId46" Type="http://schemas.openxmlformats.org/officeDocument/2006/relationships/image" Target="../media/image50.jpeg"/><Relationship Id="rId349" Type="http://schemas.openxmlformats.org/officeDocument/2006/relationships/image" Target="../media/image353.jpeg"/><Relationship Id="rId556" Type="http://schemas.openxmlformats.org/officeDocument/2006/relationships/image" Target="../media/image560.jpeg"/><Relationship Id="rId763" Type="http://schemas.openxmlformats.org/officeDocument/2006/relationships/image" Target="../media/image767.jpeg"/><Relationship Id="rId111" Type="http://schemas.openxmlformats.org/officeDocument/2006/relationships/image" Target="../media/image115.jpeg"/><Relationship Id="rId195" Type="http://schemas.openxmlformats.org/officeDocument/2006/relationships/image" Target="../media/image199.jpeg"/><Relationship Id="rId209" Type="http://schemas.openxmlformats.org/officeDocument/2006/relationships/image" Target="../media/image213.jpeg"/><Relationship Id="rId416" Type="http://schemas.openxmlformats.org/officeDocument/2006/relationships/image" Target="../media/image420.jpeg"/><Relationship Id="rId970" Type="http://schemas.openxmlformats.org/officeDocument/2006/relationships/image" Target="../media/image974.jpeg"/><Relationship Id="rId1046" Type="http://schemas.openxmlformats.org/officeDocument/2006/relationships/image" Target="../media/image1050.jpeg"/><Relationship Id="rId623" Type="http://schemas.openxmlformats.org/officeDocument/2006/relationships/image" Target="../media/image627.jpeg"/><Relationship Id="rId830" Type="http://schemas.openxmlformats.org/officeDocument/2006/relationships/image" Target="../media/image834.jpeg"/><Relationship Id="rId928" Type="http://schemas.openxmlformats.org/officeDocument/2006/relationships/image" Target="../media/image932.jpeg"/><Relationship Id="rId57" Type="http://schemas.openxmlformats.org/officeDocument/2006/relationships/image" Target="../media/image61.jpeg"/><Relationship Id="rId262" Type="http://schemas.openxmlformats.org/officeDocument/2006/relationships/image" Target="../media/image266.jpeg"/><Relationship Id="rId567" Type="http://schemas.openxmlformats.org/officeDocument/2006/relationships/image" Target="../media/image571.jpeg"/><Relationship Id="rId122" Type="http://schemas.openxmlformats.org/officeDocument/2006/relationships/image" Target="../media/image126.jpeg"/><Relationship Id="rId774" Type="http://schemas.openxmlformats.org/officeDocument/2006/relationships/image" Target="../media/image778.jpeg"/><Relationship Id="rId981" Type="http://schemas.openxmlformats.org/officeDocument/2006/relationships/image" Target="../media/image985.jpeg"/><Relationship Id="rId1057" Type="http://schemas.openxmlformats.org/officeDocument/2006/relationships/image" Target="../media/image1061.jpeg"/><Relationship Id="rId427" Type="http://schemas.openxmlformats.org/officeDocument/2006/relationships/image" Target="../media/image431.jpeg"/><Relationship Id="rId634" Type="http://schemas.openxmlformats.org/officeDocument/2006/relationships/image" Target="../media/image638.jpeg"/><Relationship Id="rId841" Type="http://schemas.openxmlformats.org/officeDocument/2006/relationships/image" Target="../media/image845.jpeg"/><Relationship Id="rId273" Type="http://schemas.openxmlformats.org/officeDocument/2006/relationships/image" Target="../media/image277.jpeg"/><Relationship Id="rId480" Type="http://schemas.openxmlformats.org/officeDocument/2006/relationships/image" Target="../media/image484.jpeg"/><Relationship Id="rId701" Type="http://schemas.openxmlformats.org/officeDocument/2006/relationships/image" Target="../media/image705.jpeg"/><Relationship Id="rId939" Type="http://schemas.openxmlformats.org/officeDocument/2006/relationships/image" Target="../media/image943.jpeg"/><Relationship Id="rId68" Type="http://schemas.openxmlformats.org/officeDocument/2006/relationships/image" Target="../media/image72.jpeg"/><Relationship Id="rId133" Type="http://schemas.openxmlformats.org/officeDocument/2006/relationships/image" Target="../media/image137.jpeg"/><Relationship Id="rId340" Type="http://schemas.openxmlformats.org/officeDocument/2006/relationships/image" Target="../media/image344.jpeg"/><Relationship Id="rId578" Type="http://schemas.openxmlformats.org/officeDocument/2006/relationships/image" Target="../media/image582.jpeg"/><Relationship Id="rId785" Type="http://schemas.openxmlformats.org/officeDocument/2006/relationships/image" Target="../media/image789.jpeg"/><Relationship Id="rId992" Type="http://schemas.openxmlformats.org/officeDocument/2006/relationships/image" Target="../media/image996.jpeg"/><Relationship Id="rId200" Type="http://schemas.openxmlformats.org/officeDocument/2006/relationships/image" Target="../media/image204.jpeg"/><Relationship Id="rId438" Type="http://schemas.openxmlformats.org/officeDocument/2006/relationships/image" Target="../media/image442.jpeg"/><Relationship Id="rId645" Type="http://schemas.openxmlformats.org/officeDocument/2006/relationships/image" Target="../media/image649.jpeg"/><Relationship Id="rId852" Type="http://schemas.openxmlformats.org/officeDocument/2006/relationships/image" Target="../media/image856.jpeg"/><Relationship Id="rId1068" Type="http://schemas.openxmlformats.org/officeDocument/2006/relationships/image" Target="../media/image1072.jpeg"/><Relationship Id="rId284" Type="http://schemas.openxmlformats.org/officeDocument/2006/relationships/image" Target="../media/image288.jpeg"/><Relationship Id="rId491" Type="http://schemas.openxmlformats.org/officeDocument/2006/relationships/image" Target="../media/image495.jpeg"/><Relationship Id="rId505" Type="http://schemas.openxmlformats.org/officeDocument/2006/relationships/image" Target="../media/image509.jpeg"/><Relationship Id="rId712" Type="http://schemas.openxmlformats.org/officeDocument/2006/relationships/image" Target="../media/image716.jpeg"/><Relationship Id="rId79" Type="http://schemas.openxmlformats.org/officeDocument/2006/relationships/image" Target="../media/image83.jpeg"/><Relationship Id="rId144" Type="http://schemas.openxmlformats.org/officeDocument/2006/relationships/image" Target="../media/image148.jpeg"/><Relationship Id="rId589" Type="http://schemas.openxmlformats.org/officeDocument/2006/relationships/image" Target="../media/image593.jpeg"/><Relationship Id="rId796" Type="http://schemas.openxmlformats.org/officeDocument/2006/relationships/image" Target="../media/image800.jpeg"/><Relationship Id="rId351" Type="http://schemas.openxmlformats.org/officeDocument/2006/relationships/image" Target="../media/image355.jpeg"/><Relationship Id="rId449" Type="http://schemas.openxmlformats.org/officeDocument/2006/relationships/image" Target="../media/image453.jpeg"/><Relationship Id="rId656" Type="http://schemas.openxmlformats.org/officeDocument/2006/relationships/image" Target="../media/image660.jpeg"/><Relationship Id="rId863" Type="http://schemas.openxmlformats.org/officeDocument/2006/relationships/image" Target="../media/image867.jpeg"/><Relationship Id="rId1079" Type="http://schemas.openxmlformats.org/officeDocument/2006/relationships/image" Target="../media/image1083.jpeg"/><Relationship Id="rId211" Type="http://schemas.openxmlformats.org/officeDocument/2006/relationships/image" Target="../media/image215.jpeg"/><Relationship Id="rId295" Type="http://schemas.openxmlformats.org/officeDocument/2006/relationships/image" Target="../media/image299.jpeg"/><Relationship Id="rId309" Type="http://schemas.openxmlformats.org/officeDocument/2006/relationships/image" Target="../media/image313.jpeg"/><Relationship Id="rId516" Type="http://schemas.openxmlformats.org/officeDocument/2006/relationships/image" Target="../media/image520.jpeg"/><Relationship Id="rId723" Type="http://schemas.openxmlformats.org/officeDocument/2006/relationships/image" Target="../media/image727.jpeg"/><Relationship Id="rId930" Type="http://schemas.openxmlformats.org/officeDocument/2006/relationships/image" Target="../media/image934.jpeg"/><Relationship Id="rId1006" Type="http://schemas.openxmlformats.org/officeDocument/2006/relationships/image" Target="../media/image1010.jpeg"/><Relationship Id="rId155" Type="http://schemas.openxmlformats.org/officeDocument/2006/relationships/image" Target="../media/image159.jpeg"/><Relationship Id="rId362" Type="http://schemas.openxmlformats.org/officeDocument/2006/relationships/image" Target="../media/image366.jpeg"/><Relationship Id="rId222" Type="http://schemas.openxmlformats.org/officeDocument/2006/relationships/image" Target="../media/image226.jpeg"/><Relationship Id="rId667" Type="http://schemas.openxmlformats.org/officeDocument/2006/relationships/image" Target="../media/image671.jpeg"/><Relationship Id="rId874" Type="http://schemas.openxmlformats.org/officeDocument/2006/relationships/image" Target="../media/image878.jpeg"/><Relationship Id="rId17" Type="http://schemas.openxmlformats.org/officeDocument/2006/relationships/image" Target="../media/image21.jpeg"/><Relationship Id="rId527" Type="http://schemas.openxmlformats.org/officeDocument/2006/relationships/image" Target="../media/image531.jpeg"/><Relationship Id="rId734" Type="http://schemas.openxmlformats.org/officeDocument/2006/relationships/image" Target="../media/image738.jpeg"/><Relationship Id="rId941" Type="http://schemas.openxmlformats.org/officeDocument/2006/relationships/image" Target="../media/image945.jpeg"/><Relationship Id="rId70" Type="http://schemas.openxmlformats.org/officeDocument/2006/relationships/image" Target="../media/image74.jpeg"/><Relationship Id="rId166" Type="http://schemas.openxmlformats.org/officeDocument/2006/relationships/image" Target="../media/image170.jpeg"/><Relationship Id="rId373" Type="http://schemas.openxmlformats.org/officeDocument/2006/relationships/image" Target="../media/image377.jpeg"/><Relationship Id="rId580" Type="http://schemas.openxmlformats.org/officeDocument/2006/relationships/image" Target="../media/image584.jpeg"/><Relationship Id="rId801" Type="http://schemas.openxmlformats.org/officeDocument/2006/relationships/image" Target="../media/image805.jpeg"/><Relationship Id="rId1017" Type="http://schemas.openxmlformats.org/officeDocument/2006/relationships/image" Target="../media/image1021.jpeg"/><Relationship Id="rId1" Type="http://schemas.openxmlformats.org/officeDocument/2006/relationships/image" Target="../media/image5.png"/><Relationship Id="rId233" Type="http://schemas.openxmlformats.org/officeDocument/2006/relationships/image" Target="../media/image237.jpeg"/><Relationship Id="rId440" Type="http://schemas.openxmlformats.org/officeDocument/2006/relationships/image" Target="../media/image444.jpeg"/><Relationship Id="rId678" Type="http://schemas.openxmlformats.org/officeDocument/2006/relationships/image" Target="../media/image682.jpeg"/><Relationship Id="rId885" Type="http://schemas.openxmlformats.org/officeDocument/2006/relationships/image" Target="../media/image889.jpeg"/><Relationship Id="rId1070" Type="http://schemas.openxmlformats.org/officeDocument/2006/relationships/image" Target="../media/image1074.jpeg"/><Relationship Id="rId28" Type="http://schemas.openxmlformats.org/officeDocument/2006/relationships/image" Target="../media/image32.jpeg"/><Relationship Id="rId300" Type="http://schemas.openxmlformats.org/officeDocument/2006/relationships/image" Target="../media/image304.jpeg"/><Relationship Id="rId538" Type="http://schemas.openxmlformats.org/officeDocument/2006/relationships/image" Target="../media/image542.jpeg"/><Relationship Id="rId745" Type="http://schemas.openxmlformats.org/officeDocument/2006/relationships/image" Target="../media/image749.jpeg"/><Relationship Id="rId952" Type="http://schemas.openxmlformats.org/officeDocument/2006/relationships/image" Target="../media/image956.jpeg"/><Relationship Id="rId81" Type="http://schemas.openxmlformats.org/officeDocument/2006/relationships/image" Target="../media/image85.jpeg"/><Relationship Id="rId177" Type="http://schemas.openxmlformats.org/officeDocument/2006/relationships/image" Target="../media/image181.jpeg"/><Relationship Id="rId384" Type="http://schemas.openxmlformats.org/officeDocument/2006/relationships/image" Target="../media/image388.jpeg"/><Relationship Id="rId591" Type="http://schemas.openxmlformats.org/officeDocument/2006/relationships/image" Target="../media/image595.jpeg"/><Relationship Id="rId605" Type="http://schemas.openxmlformats.org/officeDocument/2006/relationships/image" Target="../media/image609.jpeg"/><Relationship Id="rId812" Type="http://schemas.openxmlformats.org/officeDocument/2006/relationships/image" Target="../media/image816.jpeg"/><Relationship Id="rId1028" Type="http://schemas.openxmlformats.org/officeDocument/2006/relationships/image" Target="../media/image1032.jpeg"/><Relationship Id="rId244" Type="http://schemas.openxmlformats.org/officeDocument/2006/relationships/image" Target="../media/image248.jpeg"/><Relationship Id="rId689" Type="http://schemas.openxmlformats.org/officeDocument/2006/relationships/image" Target="../media/image693.jpeg"/><Relationship Id="rId896" Type="http://schemas.openxmlformats.org/officeDocument/2006/relationships/image" Target="../media/image900.jpeg"/><Relationship Id="rId1081" Type="http://schemas.openxmlformats.org/officeDocument/2006/relationships/image" Target="../media/image1085.jpeg"/><Relationship Id="rId39" Type="http://schemas.openxmlformats.org/officeDocument/2006/relationships/image" Target="../media/image43.jpeg"/><Relationship Id="rId451" Type="http://schemas.openxmlformats.org/officeDocument/2006/relationships/image" Target="../media/image455.jpeg"/><Relationship Id="rId549" Type="http://schemas.openxmlformats.org/officeDocument/2006/relationships/image" Target="../media/image553.jpeg"/><Relationship Id="rId756" Type="http://schemas.openxmlformats.org/officeDocument/2006/relationships/image" Target="../media/image760.jpeg"/><Relationship Id="rId104" Type="http://schemas.openxmlformats.org/officeDocument/2006/relationships/image" Target="../media/image108.jpeg"/><Relationship Id="rId188" Type="http://schemas.openxmlformats.org/officeDocument/2006/relationships/image" Target="../media/image192.jpeg"/><Relationship Id="rId311" Type="http://schemas.openxmlformats.org/officeDocument/2006/relationships/image" Target="../media/image315.jpeg"/><Relationship Id="rId395" Type="http://schemas.openxmlformats.org/officeDocument/2006/relationships/image" Target="../media/image399.jpeg"/><Relationship Id="rId409" Type="http://schemas.openxmlformats.org/officeDocument/2006/relationships/image" Target="../media/image413.jpeg"/><Relationship Id="rId963" Type="http://schemas.openxmlformats.org/officeDocument/2006/relationships/image" Target="../media/image967.jpeg"/><Relationship Id="rId1039" Type="http://schemas.openxmlformats.org/officeDocument/2006/relationships/image" Target="../media/image1043.jpeg"/><Relationship Id="rId92" Type="http://schemas.openxmlformats.org/officeDocument/2006/relationships/image" Target="../media/image96.jpeg"/><Relationship Id="rId616" Type="http://schemas.openxmlformats.org/officeDocument/2006/relationships/image" Target="../media/image620.jpeg"/><Relationship Id="rId823" Type="http://schemas.openxmlformats.org/officeDocument/2006/relationships/image" Target="../media/image827.jpeg"/><Relationship Id="rId255" Type="http://schemas.openxmlformats.org/officeDocument/2006/relationships/image" Target="../media/image259.jpeg"/><Relationship Id="rId462" Type="http://schemas.openxmlformats.org/officeDocument/2006/relationships/image" Target="../media/image466.jpeg"/><Relationship Id="rId1092" Type="http://schemas.openxmlformats.org/officeDocument/2006/relationships/image" Target="../media/image1096.jpeg"/><Relationship Id="rId115" Type="http://schemas.openxmlformats.org/officeDocument/2006/relationships/image" Target="../media/image119.jpeg"/><Relationship Id="rId322" Type="http://schemas.openxmlformats.org/officeDocument/2006/relationships/image" Target="../media/image326.jpeg"/><Relationship Id="rId767" Type="http://schemas.openxmlformats.org/officeDocument/2006/relationships/image" Target="../media/image771.jpeg"/><Relationship Id="rId974" Type="http://schemas.openxmlformats.org/officeDocument/2006/relationships/image" Target="../media/image978.jpeg"/><Relationship Id="rId199" Type="http://schemas.openxmlformats.org/officeDocument/2006/relationships/image" Target="../media/image203.jpeg"/><Relationship Id="rId627" Type="http://schemas.openxmlformats.org/officeDocument/2006/relationships/image" Target="../media/image631.jpeg"/><Relationship Id="rId834" Type="http://schemas.openxmlformats.org/officeDocument/2006/relationships/image" Target="../media/image838.jpeg"/><Relationship Id="rId266" Type="http://schemas.openxmlformats.org/officeDocument/2006/relationships/image" Target="../media/image270.jpeg"/><Relationship Id="rId473" Type="http://schemas.openxmlformats.org/officeDocument/2006/relationships/image" Target="../media/image477.jpeg"/><Relationship Id="rId680" Type="http://schemas.openxmlformats.org/officeDocument/2006/relationships/image" Target="../media/image684.jpeg"/><Relationship Id="rId901" Type="http://schemas.openxmlformats.org/officeDocument/2006/relationships/image" Target="../media/image905.jpeg"/><Relationship Id="rId30" Type="http://schemas.openxmlformats.org/officeDocument/2006/relationships/image" Target="../media/image34.jpeg"/><Relationship Id="rId126" Type="http://schemas.openxmlformats.org/officeDocument/2006/relationships/image" Target="../media/image130.jpeg"/><Relationship Id="rId333" Type="http://schemas.openxmlformats.org/officeDocument/2006/relationships/image" Target="../media/image337.jpeg"/><Relationship Id="rId540" Type="http://schemas.openxmlformats.org/officeDocument/2006/relationships/image" Target="../media/image544.jpeg"/><Relationship Id="rId778" Type="http://schemas.openxmlformats.org/officeDocument/2006/relationships/image" Target="../media/image782.jpeg"/><Relationship Id="rId985" Type="http://schemas.openxmlformats.org/officeDocument/2006/relationships/image" Target="../media/image989.jpeg"/><Relationship Id="rId638" Type="http://schemas.openxmlformats.org/officeDocument/2006/relationships/image" Target="../media/image642.jpeg"/><Relationship Id="rId845" Type="http://schemas.openxmlformats.org/officeDocument/2006/relationships/image" Target="../media/image849.jpeg"/><Relationship Id="rId1030" Type="http://schemas.openxmlformats.org/officeDocument/2006/relationships/image" Target="../media/image1034.jpeg"/><Relationship Id="rId277" Type="http://schemas.openxmlformats.org/officeDocument/2006/relationships/image" Target="../media/image281.jpeg"/><Relationship Id="rId400" Type="http://schemas.openxmlformats.org/officeDocument/2006/relationships/image" Target="../media/image404.jpeg"/><Relationship Id="rId484" Type="http://schemas.openxmlformats.org/officeDocument/2006/relationships/image" Target="../media/image488.jpeg"/><Relationship Id="rId705" Type="http://schemas.openxmlformats.org/officeDocument/2006/relationships/image" Target="../media/image709.jpeg"/><Relationship Id="rId137" Type="http://schemas.openxmlformats.org/officeDocument/2006/relationships/image" Target="../media/image141.jpeg"/><Relationship Id="rId344" Type="http://schemas.openxmlformats.org/officeDocument/2006/relationships/image" Target="../media/image348.jpeg"/><Relationship Id="rId691" Type="http://schemas.openxmlformats.org/officeDocument/2006/relationships/image" Target="../media/image695.jpeg"/><Relationship Id="rId789" Type="http://schemas.openxmlformats.org/officeDocument/2006/relationships/image" Target="../media/image793.jpeg"/><Relationship Id="rId912" Type="http://schemas.openxmlformats.org/officeDocument/2006/relationships/image" Target="../media/image916.jpeg"/><Relationship Id="rId996" Type="http://schemas.openxmlformats.org/officeDocument/2006/relationships/image" Target="../media/image1000.jpeg"/><Relationship Id="rId41" Type="http://schemas.openxmlformats.org/officeDocument/2006/relationships/image" Target="../media/image45.jpeg"/><Relationship Id="rId551" Type="http://schemas.openxmlformats.org/officeDocument/2006/relationships/image" Target="../media/image555.jpeg"/><Relationship Id="rId649" Type="http://schemas.openxmlformats.org/officeDocument/2006/relationships/image" Target="../media/image653.jpeg"/><Relationship Id="rId856" Type="http://schemas.openxmlformats.org/officeDocument/2006/relationships/image" Target="../media/image860.jpeg"/><Relationship Id="rId190" Type="http://schemas.openxmlformats.org/officeDocument/2006/relationships/image" Target="../media/image194.jpeg"/><Relationship Id="rId204" Type="http://schemas.openxmlformats.org/officeDocument/2006/relationships/image" Target="../media/image208.jpeg"/><Relationship Id="rId288" Type="http://schemas.openxmlformats.org/officeDocument/2006/relationships/image" Target="../media/image292.jpeg"/><Relationship Id="rId411" Type="http://schemas.openxmlformats.org/officeDocument/2006/relationships/image" Target="../media/image415.jpeg"/><Relationship Id="rId509" Type="http://schemas.openxmlformats.org/officeDocument/2006/relationships/image" Target="../media/image513.jpeg"/><Relationship Id="rId1041" Type="http://schemas.openxmlformats.org/officeDocument/2006/relationships/image" Target="../media/image1045.jpeg"/><Relationship Id="rId495" Type="http://schemas.openxmlformats.org/officeDocument/2006/relationships/image" Target="../media/image499.jpeg"/><Relationship Id="rId716" Type="http://schemas.openxmlformats.org/officeDocument/2006/relationships/image" Target="../media/image720.jpeg"/><Relationship Id="rId923" Type="http://schemas.openxmlformats.org/officeDocument/2006/relationships/image" Target="../media/image927.jpeg"/><Relationship Id="rId52" Type="http://schemas.openxmlformats.org/officeDocument/2006/relationships/image" Target="../media/image56.jpeg"/><Relationship Id="rId148" Type="http://schemas.openxmlformats.org/officeDocument/2006/relationships/image" Target="../media/image152.jpeg"/><Relationship Id="rId355" Type="http://schemas.openxmlformats.org/officeDocument/2006/relationships/image" Target="../media/image359.jpeg"/><Relationship Id="rId562" Type="http://schemas.openxmlformats.org/officeDocument/2006/relationships/image" Target="../media/image566.jpeg"/><Relationship Id="rId215" Type="http://schemas.openxmlformats.org/officeDocument/2006/relationships/image" Target="../media/image219.jpeg"/><Relationship Id="rId422" Type="http://schemas.openxmlformats.org/officeDocument/2006/relationships/image" Target="../media/image426.jpeg"/><Relationship Id="rId867" Type="http://schemas.openxmlformats.org/officeDocument/2006/relationships/image" Target="../media/image871.jpeg"/><Relationship Id="rId1052" Type="http://schemas.openxmlformats.org/officeDocument/2006/relationships/image" Target="../media/image1056.jpeg"/><Relationship Id="rId299" Type="http://schemas.openxmlformats.org/officeDocument/2006/relationships/image" Target="../media/image303.jpeg"/><Relationship Id="rId727" Type="http://schemas.openxmlformats.org/officeDocument/2006/relationships/image" Target="../media/image731.jpeg"/><Relationship Id="rId934" Type="http://schemas.openxmlformats.org/officeDocument/2006/relationships/image" Target="../media/image938.jpeg"/><Relationship Id="rId63" Type="http://schemas.openxmlformats.org/officeDocument/2006/relationships/image" Target="../media/image67.jpeg"/><Relationship Id="rId159" Type="http://schemas.openxmlformats.org/officeDocument/2006/relationships/image" Target="../media/image163.jpeg"/><Relationship Id="rId366" Type="http://schemas.openxmlformats.org/officeDocument/2006/relationships/image" Target="../media/image370.jpeg"/><Relationship Id="rId573" Type="http://schemas.openxmlformats.org/officeDocument/2006/relationships/image" Target="../media/image577.jpeg"/><Relationship Id="rId780" Type="http://schemas.openxmlformats.org/officeDocument/2006/relationships/image" Target="../media/image784.jpeg"/><Relationship Id="rId226" Type="http://schemas.openxmlformats.org/officeDocument/2006/relationships/image" Target="../media/image230.jpeg"/><Relationship Id="rId433" Type="http://schemas.openxmlformats.org/officeDocument/2006/relationships/image" Target="../media/image437.jpeg"/><Relationship Id="rId878" Type="http://schemas.openxmlformats.org/officeDocument/2006/relationships/image" Target="../media/image882.jpeg"/><Relationship Id="rId1063" Type="http://schemas.openxmlformats.org/officeDocument/2006/relationships/image" Target="../media/image1067.jpeg"/><Relationship Id="rId640" Type="http://schemas.openxmlformats.org/officeDocument/2006/relationships/image" Target="../media/image644.jpeg"/><Relationship Id="rId738" Type="http://schemas.openxmlformats.org/officeDocument/2006/relationships/image" Target="../media/image742.jpeg"/><Relationship Id="rId945" Type="http://schemas.openxmlformats.org/officeDocument/2006/relationships/image" Target="../media/image949.jpeg"/><Relationship Id="rId74" Type="http://schemas.openxmlformats.org/officeDocument/2006/relationships/image" Target="../media/image78.jpeg"/><Relationship Id="rId377" Type="http://schemas.openxmlformats.org/officeDocument/2006/relationships/image" Target="../media/image381.jpeg"/><Relationship Id="rId500" Type="http://schemas.openxmlformats.org/officeDocument/2006/relationships/image" Target="../media/image504.jpeg"/><Relationship Id="rId584" Type="http://schemas.openxmlformats.org/officeDocument/2006/relationships/image" Target="../media/image588.jpeg"/><Relationship Id="rId805" Type="http://schemas.openxmlformats.org/officeDocument/2006/relationships/image" Target="../media/image809.jpeg"/><Relationship Id="rId5" Type="http://schemas.openxmlformats.org/officeDocument/2006/relationships/image" Target="../media/image9.jpeg"/><Relationship Id="rId237" Type="http://schemas.openxmlformats.org/officeDocument/2006/relationships/image" Target="../media/image241.jpeg"/><Relationship Id="rId791" Type="http://schemas.openxmlformats.org/officeDocument/2006/relationships/image" Target="../media/image795.jpeg"/><Relationship Id="rId889" Type="http://schemas.openxmlformats.org/officeDocument/2006/relationships/image" Target="../media/image893.jpeg"/><Relationship Id="rId1074" Type="http://schemas.openxmlformats.org/officeDocument/2006/relationships/image" Target="../media/image1078.jpeg"/><Relationship Id="rId444" Type="http://schemas.openxmlformats.org/officeDocument/2006/relationships/image" Target="../media/image448.jpeg"/><Relationship Id="rId651" Type="http://schemas.openxmlformats.org/officeDocument/2006/relationships/image" Target="../media/image655.jpeg"/><Relationship Id="rId749" Type="http://schemas.openxmlformats.org/officeDocument/2006/relationships/image" Target="../media/image753.jpeg"/><Relationship Id="rId290" Type="http://schemas.openxmlformats.org/officeDocument/2006/relationships/image" Target="../media/image294.jpeg"/><Relationship Id="rId304" Type="http://schemas.openxmlformats.org/officeDocument/2006/relationships/image" Target="../media/image308.jpeg"/><Relationship Id="rId388" Type="http://schemas.openxmlformats.org/officeDocument/2006/relationships/image" Target="../media/image392.jpeg"/><Relationship Id="rId511" Type="http://schemas.openxmlformats.org/officeDocument/2006/relationships/image" Target="../media/image515.jpeg"/><Relationship Id="rId609" Type="http://schemas.openxmlformats.org/officeDocument/2006/relationships/image" Target="../media/image613.jpeg"/><Relationship Id="rId956" Type="http://schemas.openxmlformats.org/officeDocument/2006/relationships/image" Target="../media/image960.jpeg"/><Relationship Id="rId85" Type="http://schemas.openxmlformats.org/officeDocument/2006/relationships/image" Target="../media/image89.jpeg"/><Relationship Id="rId150" Type="http://schemas.openxmlformats.org/officeDocument/2006/relationships/image" Target="../media/image154.jpeg"/><Relationship Id="rId595" Type="http://schemas.openxmlformats.org/officeDocument/2006/relationships/image" Target="../media/image599.png"/><Relationship Id="rId816" Type="http://schemas.openxmlformats.org/officeDocument/2006/relationships/image" Target="../media/image820.jpeg"/><Relationship Id="rId1001" Type="http://schemas.openxmlformats.org/officeDocument/2006/relationships/image" Target="../media/image1005.jpeg"/><Relationship Id="rId248" Type="http://schemas.openxmlformats.org/officeDocument/2006/relationships/image" Target="../media/image252.jpeg"/><Relationship Id="rId455" Type="http://schemas.openxmlformats.org/officeDocument/2006/relationships/image" Target="../media/image459.jpeg"/><Relationship Id="rId662" Type="http://schemas.openxmlformats.org/officeDocument/2006/relationships/image" Target="../media/image666.jpeg"/><Relationship Id="rId1085" Type="http://schemas.openxmlformats.org/officeDocument/2006/relationships/image" Target="../media/image1089.jpeg"/><Relationship Id="rId12" Type="http://schemas.openxmlformats.org/officeDocument/2006/relationships/image" Target="../media/image16.jpeg"/><Relationship Id="rId108" Type="http://schemas.openxmlformats.org/officeDocument/2006/relationships/image" Target="../media/image112.jpeg"/><Relationship Id="rId315" Type="http://schemas.openxmlformats.org/officeDocument/2006/relationships/image" Target="../media/image319.jpeg"/><Relationship Id="rId522" Type="http://schemas.openxmlformats.org/officeDocument/2006/relationships/image" Target="../media/image526.jpeg"/><Relationship Id="rId967" Type="http://schemas.openxmlformats.org/officeDocument/2006/relationships/image" Target="../media/image971.jpeg"/><Relationship Id="rId96" Type="http://schemas.openxmlformats.org/officeDocument/2006/relationships/image" Target="../media/image100.jpeg"/><Relationship Id="rId161" Type="http://schemas.openxmlformats.org/officeDocument/2006/relationships/image" Target="../media/image165.jpeg"/><Relationship Id="rId399" Type="http://schemas.openxmlformats.org/officeDocument/2006/relationships/image" Target="../media/image403.jpeg"/><Relationship Id="rId827" Type="http://schemas.openxmlformats.org/officeDocument/2006/relationships/image" Target="../media/image831.jpeg"/><Relationship Id="rId1012" Type="http://schemas.openxmlformats.org/officeDocument/2006/relationships/image" Target="../media/image1016.jpeg"/><Relationship Id="rId259" Type="http://schemas.openxmlformats.org/officeDocument/2006/relationships/image" Target="../media/image263.jpeg"/><Relationship Id="rId466" Type="http://schemas.openxmlformats.org/officeDocument/2006/relationships/image" Target="../media/image470.jpeg"/><Relationship Id="rId673" Type="http://schemas.openxmlformats.org/officeDocument/2006/relationships/image" Target="../media/image677.jpeg"/><Relationship Id="rId880" Type="http://schemas.openxmlformats.org/officeDocument/2006/relationships/image" Target="../media/image884.jpeg"/><Relationship Id="rId1096" Type="http://schemas.openxmlformats.org/officeDocument/2006/relationships/image" Target="../media/image1100.jpeg"/><Relationship Id="rId23" Type="http://schemas.openxmlformats.org/officeDocument/2006/relationships/image" Target="../media/image27.jpeg"/><Relationship Id="rId119" Type="http://schemas.openxmlformats.org/officeDocument/2006/relationships/image" Target="../media/image123.jpeg"/><Relationship Id="rId326" Type="http://schemas.openxmlformats.org/officeDocument/2006/relationships/image" Target="../media/image330.jpeg"/><Relationship Id="rId533" Type="http://schemas.openxmlformats.org/officeDocument/2006/relationships/image" Target="../media/image537.jpeg"/><Relationship Id="rId978" Type="http://schemas.openxmlformats.org/officeDocument/2006/relationships/image" Target="../media/image982.jpeg"/><Relationship Id="rId740" Type="http://schemas.openxmlformats.org/officeDocument/2006/relationships/image" Target="../media/image744.jpeg"/><Relationship Id="rId838" Type="http://schemas.openxmlformats.org/officeDocument/2006/relationships/image" Target="../media/image842.jpeg"/><Relationship Id="rId1023" Type="http://schemas.openxmlformats.org/officeDocument/2006/relationships/image" Target="../media/image1027.jpeg"/><Relationship Id="rId172" Type="http://schemas.openxmlformats.org/officeDocument/2006/relationships/image" Target="../media/image176.jpeg"/><Relationship Id="rId477" Type="http://schemas.openxmlformats.org/officeDocument/2006/relationships/image" Target="../media/image481.jpeg"/><Relationship Id="rId600" Type="http://schemas.openxmlformats.org/officeDocument/2006/relationships/image" Target="../media/image604.jpeg"/><Relationship Id="rId684" Type="http://schemas.openxmlformats.org/officeDocument/2006/relationships/image" Target="../media/image688.jpeg"/><Relationship Id="rId337" Type="http://schemas.openxmlformats.org/officeDocument/2006/relationships/image" Target="../media/image341.jpeg"/><Relationship Id="rId891" Type="http://schemas.openxmlformats.org/officeDocument/2006/relationships/image" Target="../media/image895.jpeg"/><Relationship Id="rId905" Type="http://schemas.openxmlformats.org/officeDocument/2006/relationships/image" Target="../media/image909.jpeg"/><Relationship Id="rId989" Type="http://schemas.openxmlformats.org/officeDocument/2006/relationships/image" Target="../media/image993.jpeg"/><Relationship Id="rId34" Type="http://schemas.openxmlformats.org/officeDocument/2006/relationships/image" Target="../media/image38.jpeg"/><Relationship Id="rId544" Type="http://schemas.openxmlformats.org/officeDocument/2006/relationships/image" Target="../media/image548.jpeg"/><Relationship Id="rId751" Type="http://schemas.openxmlformats.org/officeDocument/2006/relationships/image" Target="../media/image755.jpeg"/><Relationship Id="rId849" Type="http://schemas.openxmlformats.org/officeDocument/2006/relationships/image" Target="../media/image853.jpeg"/><Relationship Id="rId183" Type="http://schemas.openxmlformats.org/officeDocument/2006/relationships/image" Target="../media/image187.jpeg"/><Relationship Id="rId390" Type="http://schemas.openxmlformats.org/officeDocument/2006/relationships/image" Target="../media/image394.jpeg"/><Relationship Id="rId404" Type="http://schemas.openxmlformats.org/officeDocument/2006/relationships/image" Target="../media/image408.jpeg"/><Relationship Id="rId611" Type="http://schemas.openxmlformats.org/officeDocument/2006/relationships/image" Target="../media/image615.jpeg"/><Relationship Id="rId1034" Type="http://schemas.openxmlformats.org/officeDocument/2006/relationships/image" Target="../media/image1038.jpeg"/><Relationship Id="rId250" Type="http://schemas.openxmlformats.org/officeDocument/2006/relationships/image" Target="../media/image254.jpeg"/><Relationship Id="rId488" Type="http://schemas.openxmlformats.org/officeDocument/2006/relationships/image" Target="../media/image492.jpeg"/><Relationship Id="rId695" Type="http://schemas.openxmlformats.org/officeDocument/2006/relationships/image" Target="../media/image699.jpeg"/><Relationship Id="rId709" Type="http://schemas.openxmlformats.org/officeDocument/2006/relationships/image" Target="../media/image713.jpeg"/><Relationship Id="rId916" Type="http://schemas.openxmlformats.org/officeDocument/2006/relationships/image" Target="../media/image920.jpeg"/><Relationship Id="rId1101" Type="http://schemas.openxmlformats.org/officeDocument/2006/relationships/image" Target="../media/image1105.jpeg"/><Relationship Id="rId45" Type="http://schemas.openxmlformats.org/officeDocument/2006/relationships/image" Target="../media/image49.jpeg"/><Relationship Id="rId110" Type="http://schemas.openxmlformats.org/officeDocument/2006/relationships/image" Target="../media/image114.jpeg"/><Relationship Id="rId348" Type="http://schemas.openxmlformats.org/officeDocument/2006/relationships/image" Target="../media/image352.jpeg"/><Relationship Id="rId555" Type="http://schemas.openxmlformats.org/officeDocument/2006/relationships/image" Target="../media/image559.jpeg"/><Relationship Id="rId762" Type="http://schemas.openxmlformats.org/officeDocument/2006/relationships/image" Target="../media/image766.jpeg"/><Relationship Id="rId194" Type="http://schemas.openxmlformats.org/officeDocument/2006/relationships/image" Target="../media/image198.jpeg"/><Relationship Id="rId208" Type="http://schemas.openxmlformats.org/officeDocument/2006/relationships/image" Target="../media/image212.jpeg"/><Relationship Id="rId415" Type="http://schemas.openxmlformats.org/officeDocument/2006/relationships/image" Target="../media/image419.jpeg"/><Relationship Id="rId622" Type="http://schemas.openxmlformats.org/officeDocument/2006/relationships/image" Target="../media/image626.jpeg"/><Relationship Id="rId1045" Type="http://schemas.openxmlformats.org/officeDocument/2006/relationships/image" Target="../media/image1049.jpeg"/><Relationship Id="rId261" Type="http://schemas.openxmlformats.org/officeDocument/2006/relationships/image" Target="../media/image265.jpeg"/><Relationship Id="rId499" Type="http://schemas.openxmlformats.org/officeDocument/2006/relationships/image" Target="../media/image503.jpeg"/><Relationship Id="rId927" Type="http://schemas.openxmlformats.org/officeDocument/2006/relationships/image" Target="../media/image931.jpeg"/><Relationship Id="rId56" Type="http://schemas.openxmlformats.org/officeDocument/2006/relationships/image" Target="../media/image60.jpeg"/><Relationship Id="rId359" Type="http://schemas.openxmlformats.org/officeDocument/2006/relationships/image" Target="../media/image363.jpeg"/><Relationship Id="rId566" Type="http://schemas.openxmlformats.org/officeDocument/2006/relationships/image" Target="../media/image570.jpeg"/><Relationship Id="rId773" Type="http://schemas.openxmlformats.org/officeDocument/2006/relationships/image" Target="../media/image777.jpeg"/><Relationship Id="rId121" Type="http://schemas.openxmlformats.org/officeDocument/2006/relationships/image" Target="../media/image125.jpeg"/><Relationship Id="rId219" Type="http://schemas.openxmlformats.org/officeDocument/2006/relationships/image" Target="../media/image223.jpeg"/><Relationship Id="rId426" Type="http://schemas.openxmlformats.org/officeDocument/2006/relationships/image" Target="../media/image430.jpeg"/><Relationship Id="rId633" Type="http://schemas.openxmlformats.org/officeDocument/2006/relationships/image" Target="../media/image637.jpeg"/><Relationship Id="rId980" Type="http://schemas.openxmlformats.org/officeDocument/2006/relationships/image" Target="../media/image984.jpeg"/><Relationship Id="rId1056" Type="http://schemas.openxmlformats.org/officeDocument/2006/relationships/image" Target="../media/image1060.jpeg"/><Relationship Id="rId840" Type="http://schemas.openxmlformats.org/officeDocument/2006/relationships/image" Target="../media/image844.jpeg"/><Relationship Id="rId938" Type="http://schemas.openxmlformats.org/officeDocument/2006/relationships/image" Target="../media/image942.jpeg"/><Relationship Id="rId67" Type="http://schemas.openxmlformats.org/officeDocument/2006/relationships/image" Target="../media/image71.jpeg"/><Relationship Id="rId272" Type="http://schemas.openxmlformats.org/officeDocument/2006/relationships/image" Target="../media/image276.jpeg"/><Relationship Id="rId577" Type="http://schemas.openxmlformats.org/officeDocument/2006/relationships/image" Target="../media/image581.jpeg"/><Relationship Id="rId700" Type="http://schemas.openxmlformats.org/officeDocument/2006/relationships/image" Target="../media/image704.jpeg"/><Relationship Id="rId132" Type="http://schemas.openxmlformats.org/officeDocument/2006/relationships/image" Target="../media/image136.jpeg"/><Relationship Id="rId784" Type="http://schemas.openxmlformats.org/officeDocument/2006/relationships/image" Target="../media/image788.jpeg"/><Relationship Id="rId991" Type="http://schemas.openxmlformats.org/officeDocument/2006/relationships/image" Target="../media/image995.jpeg"/><Relationship Id="rId1067" Type="http://schemas.openxmlformats.org/officeDocument/2006/relationships/image" Target="../media/image1071.jpeg"/><Relationship Id="rId437" Type="http://schemas.openxmlformats.org/officeDocument/2006/relationships/image" Target="../media/image441.jpeg"/><Relationship Id="rId644" Type="http://schemas.openxmlformats.org/officeDocument/2006/relationships/image" Target="../media/image648.jpeg"/><Relationship Id="rId851" Type="http://schemas.openxmlformats.org/officeDocument/2006/relationships/image" Target="../media/image855.jpeg"/><Relationship Id="rId283" Type="http://schemas.openxmlformats.org/officeDocument/2006/relationships/image" Target="../media/image287.jpeg"/><Relationship Id="rId490" Type="http://schemas.openxmlformats.org/officeDocument/2006/relationships/image" Target="../media/image494.jpeg"/><Relationship Id="rId504" Type="http://schemas.openxmlformats.org/officeDocument/2006/relationships/image" Target="../media/image508.jpeg"/><Relationship Id="rId711" Type="http://schemas.openxmlformats.org/officeDocument/2006/relationships/image" Target="../media/image715.jpeg"/><Relationship Id="rId949" Type="http://schemas.openxmlformats.org/officeDocument/2006/relationships/image" Target="../media/image953.jpeg"/><Relationship Id="rId78" Type="http://schemas.openxmlformats.org/officeDocument/2006/relationships/image" Target="../media/image82.jpeg"/><Relationship Id="rId143" Type="http://schemas.openxmlformats.org/officeDocument/2006/relationships/image" Target="../media/image147.jpeg"/><Relationship Id="rId350" Type="http://schemas.openxmlformats.org/officeDocument/2006/relationships/image" Target="../media/image354.jpeg"/><Relationship Id="rId588" Type="http://schemas.openxmlformats.org/officeDocument/2006/relationships/image" Target="../media/image592.jpeg"/><Relationship Id="rId795" Type="http://schemas.openxmlformats.org/officeDocument/2006/relationships/image" Target="../media/image799.jpeg"/><Relationship Id="rId809" Type="http://schemas.openxmlformats.org/officeDocument/2006/relationships/image" Target="../media/image813.jpeg"/><Relationship Id="rId9" Type="http://schemas.openxmlformats.org/officeDocument/2006/relationships/image" Target="../media/image13.jpeg"/><Relationship Id="rId210" Type="http://schemas.openxmlformats.org/officeDocument/2006/relationships/image" Target="../media/image214.jpeg"/><Relationship Id="rId448" Type="http://schemas.openxmlformats.org/officeDocument/2006/relationships/image" Target="../media/image452.jpeg"/><Relationship Id="rId655" Type="http://schemas.openxmlformats.org/officeDocument/2006/relationships/image" Target="../media/image659.jpeg"/><Relationship Id="rId862" Type="http://schemas.openxmlformats.org/officeDocument/2006/relationships/image" Target="../media/image866.jpeg"/><Relationship Id="rId1078" Type="http://schemas.openxmlformats.org/officeDocument/2006/relationships/image" Target="../media/image1082.jpeg"/><Relationship Id="rId294" Type="http://schemas.openxmlformats.org/officeDocument/2006/relationships/image" Target="../media/image298.jpeg"/><Relationship Id="rId308" Type="http://schemas.openxmlformats.org/officeDocument/2006/relationships/image" Target="../media/image312.jpeg"/><Relationship Id="rId515" Type="http://schemas.openxmlformats.org/officeDocument/2006/relationships/image" Target="../media/image519.jpeg"/><Relationship Id="rId722" Type="http://schemas.openxmlformats.org/officeDocument/2006/relationships/image" Target="../media/image726.jpeg"/><Relationship Id="rId89" Type="http://schemas.openxmlformats.org/officeDocument/2006/relationships/image" Target="../media/image93.jpeg"/><Relationship Id="rId154" Type="http://schemas.openxmlformats.org/officeDocument/2006/relationships/image" Target="../media/image158.jpeg"/><Relationship Id="rId361" Type="http://schemas.openxmlformats.org/officeDocument/2006/relationships/image" Target="../media/image365.jpeg"/><Relationship Id="rId599" Type="http://schemas.openxmlformats.org/officeDocument/2006/relationships/image" Target="../media/image603.jpeg"/><Relationship Id="rId1005" Type="http://schemas.openxmlformats.org/officeDocument/2006/relationships/image" Target="../media/image1009.jpeg"/><Relationship Id="rId459" Type="http://schemas.openxmlformats.org/officeDocument/2006/relationships/image" Target="../media/image463.jpeg"/><Relationship Id="rId666" Type="http://schemas.openxmlformats.org/officeDocument/2006/relationships/image" Target="../media/image670.jpeg"/><Relationship Id="rId873" Type="http://schemas.openxmlformats.org/officeDocument/2006/relationships/image" Target="../media/image877.jpeg"/><Relationship Id="rId1089" Type="http://schemas.openxmlformats.org/officeDocument/2006/relationships/image" Target="../media/image1093.jpeg"/><Relationship Id="rId16" Type="http://schemas.openxmlformats.org/officeDocument/2006/relationships/image" Target="../media/image20.jpeg"/><Relationship Id="rId221" Type="http://schemas.openxmlformats.org/officeDocument/2006/relationships/image" Target="../media/image225.jpeg"/><Relationship Id="rId319" Type="http://schemas.openxmlformats.org/officeDocument/2006/relationships/image" Target="../media/image323.jpeg"/><Relationship Id="rId526" Type="http://schemas.openxmlformats.org/officeDocument/2006/relationships/image" Target="../media/image530.jpeg"/><Relationship Id="rId733" Type="http://schemas.openxmlformats.org/officeDocument/2006/relationships/image" Target="../media/image737.jpeg"/><Relationship Id="rId940" Type="http://schemas.openxmlformats.org/officeDocument/2006/relationships/image" Target="../media/image944.jpeg"/><Relationship Id="rId1016" Type="http://schemas.openxmlformats.org/officeDocument/2006/relationships/image" Target="../media/image1020.jpeg"/><Relationship Id="rId165" Type="http://schemas.openxmlformats.org/officeDocument/2006/relationships/image" Target="../media/image169.jpeg"/><Relationship Id="rId372" Type="http://schemas.openxmlformats.org/officeDocument/2006/relationships/image" Target="../media/image376.jpeg"/><Relationship Id="rId677" Type="http://schemas.openxmlformats.org/officeDocument/2006/relationships/image" Target="../media/image681.jpeg"/><Relationship Id="rId800" Type="http://schemas.openxmlformats.org/officeDocument/2006/relationships/image" Target="../media/image804.jpeg"/><Relationship Id="rId232" Type="http://schemas.openxmlformats.org/officeDocument/2006/relationships/image" Target="../media/image236.jpeg"/><Relationship Id="rId884" Type="http://schemas.openxmlformats.org/officeDocument/2006/relationships/image" Target="../media/image888.jpeg"/><Relationship Id="rId27" Type="http://schemas.openxmlformats.org/officeDocument/2006/relationships/image" Target="../media/image31.jpeg"/><Relationship Id="rId537" Type="http://schemas.openxmlformats.org/officeDocument/2006/relationships/image" Target="../media/image541.jpeg"/><Relationship Id="rId744" Type="http://schemas.openxmlformats.org/officeDocument/2006/relationships/image" Target="../media/image748.jpeg"/><Relationship Id="rId951" Type="http://schemas.openxmlformats.org/officeDocument/2006/relationships/image" Target="../media/image955.jpeg"/><Relationship Id="rId80" Type="http://schemas.openxmlformats.org/officeDocument/2006/relationships/image" Target="../media/image84.jpeg"/><Relationship Id="rId176" Type="http://schemas.openxmlformats.org/officeDocument/2006/relationships/image" Target="../media/image180.jpeg"/><Relationship Id="rId383" Type="http://schemas.openxmlformats.org/officeDocument/2006/relationships/image" Target="../media/image387.jpeg"/><Relationship Id="rId590" Type="http://schemas.openxmlformats.org/officeDocument/2006/relationships/image" Target="../media/image594.jpeg"/><Relationship Id="rId604" Type="http://schemas.openxmlformats.org/officeDocument/2006/relationships/image" Target="../media/image608.jpeg"/><Relationship Id="rId811" Type="http://schemas.openxmlformats.org/officeDocument/2006/relationships/image" Target="../media/image815.jpeg"/><Relationship Id="rId1027" Type="http://schemas.openxmlformats.org/officeDocument/2006/relationships/image" Target="../media/image1031.jpeg"/><Relationship Id="rId243" Type="http://schemas.openxmlformats.org/officeDocument/2006/relationships/image" Target="../media/image247.jpeg"/><Relationship Id="rId450" Type="http://schemas.openxmlformats.org/officeDocument/2006/relationships/image" Target="../media/image454.jpeg"/><Relationship Id="rId688" Type="http://schemas.openxmlformats.org/officeDocument/2006/relationships/image" Target="../media/image692.jpeg"/><Relationship Id="rId895" Type="http://schemas.openxmlformats.org/officeDocument/2006/relationships/image" Target="../media/image899.jpeg"/><Relationship Id="rId909" Type="http://schemas.openxmlformats.org/officeDocument/2006/relationships/image" Target="../media/image913.jpeg"/><Relationship Id="rId1080" Type="http://schemas.openxmlformats.org/officeDocument/2006/relationships/image" Target="../media/image1084.jpeg"/><Relationship Id="rId38" Type="http://schemas.openxmlformats.org/officeDocument/2006/relationships/image" Target="../media/image42.jpeg"/><Relationship Id="rId103" Type="http://schemas.openxmlformats.org/officeDocument/2006/relationships/image" Target="../media/image107.jpeg"/><Relationship Id="rId310" Type="http://schemas.openxmlformats.org/officeDocument/2006/relationships/image" Target="../media/image314.jpeg"/><Relationship Id="rId548" Type="http://schemas.openxmlformats.org/officeDocument/2006/relationships/image" Target="../media/image552.jpeg"/><Relationship Id="rId755" Type="http://schemas.openxmlformats.org/officeDocument/2006/relationships/image" Target="../media/image759.jpeg"/><Relationship Id="rId962" Type="http://schemas.openxmlformats.org/officeDocument/2006/relationships/image" Target="../media/image966.jpeg"/><Relationship Id="rId91" Type="http://schemas.openxmlformats.org/officeDocument/2006/relationships/image" Target="../media/image95.jpeg"/><Relationship Id="rId187" Type="http://schemas.openxmlformats.org/officeDocument/2006/relationships/image" Target="../media/image191.jpeg"/><Relationship Id="rId394" Type="http://schemas.openxmlformats.org/officeDocument/2006/relationships/image" Target="../media/image398.jpeg"/><Relationship Id="rId408" Type="http://schemas.openxmlformats.org/officeDocument/2006/relationships/image" Target="../media/image412.jpeg"/><Relationship Id="rId615" Type="http://schemas.openxmlformats.org/officeDocument/2006/relationships/image" Target="../media/image619.jpeg"/><Relationship Id="rId822" Type="http://schemas.openxmlformats.org/officeDocument/2006/relationships/image" Target="../media/image826.jpeg"/><Relationship Id="rId1038" Type="http://schemas.openxmlformats.org/officeDocument/2006/relationships/image" Target="../media/image1042.jpeg"/><Relationship Id="rId254" Type="http://schemas.openxmlformats.org/officeDocument/2006/relationships/image" Target="../media/image258.jpeg"/><Relationship Id="rId699" Type="http://schemas.openxmlformats.org/officeDocument/2006/relationships/image" Target="../media/image703.jpeg"/><Relationship Id="rId1091" Type="http://schemas.openxmlformats.org/officeDocument/2006/relationships/image" Target="../media/image1095.jpeg"/><Relationship Id="rId1105" Type="http://schemas.openxmlformats.org/officeDocument/2006/relationships/image" Target="../media/image1109.jpeg"/><Relationship Id="rId49" Type="http://schemas.openxmlformats.org/officeDocument/2006/relationships/image" Target="../media/image53.jpeg"/><Relationship Id="rId114" Type="http://schemas.openxmlformats.org/officeDocument/2006/relationships/image" Target="../media/image118.jpeg"/><Relationship Id="rId461" Type="http://schemas.openxmlformats.org/officeDocument/2006/relationships/image" Target="../media/image465.jpeg"/><Relationship Id="rId559" Type="http://schemas.openxmlformats.org/officeDocument/2006/relationships/image" Target="../media/image563.jpeg"/><Relationship Id="rId766" Type="http://schemas.openxmlformats.org/officeDocument/2006/relationships/image" Target="../media/image770.jpeg"/><Relationship Id="rId198" Type="http://schemas.openxmlformats.org/officeDocument/2006/relationships/image" Target="../media/image202.jpeg"/><Relationship Id="rId321" Type="http://schemas.openxmlformats.org/officeDocument/2006/relationships/image" Target="../media/image325.jpeg"/><Relationship Id="rId419" Type="http://schemas.openxmlformats.org/officeDocument/2006/relationships/image" Target="../media/image423.jpeg"/><Relationship Id="rId626" Type="http://schemas.openxmlformats.org/officeDocument/2006/relationships/image" Target="../media/image630.jpeg"/><Relationship Id="rId973" Type="http://schemas.openxmlformats.org/officeDocument/2006/relationships/image" Target="../media/image977.jpeg"/><Relationship Id="rId1049" Type="http://schemas.openxmlformats.org/officeDocument/2006/relationships/image" Target="../media/image1053.jpeg"/><Relationship Id="rId833" Type="http://schemas.openxmlformats.org/officeDocument/2006/relationships/image" Target="../media/image837.jpeg"/><Relationship Id="rId265" Type="http://schemas.openxmlformats.org/officeDocument/2006/relationships/image" Target="../media/image269.jpeg"/><Relationship Id="rId472" Type="http://schemas.openxmlformats.org/officeDocument/2006/relationships/image" Target="../media/image476.jpeg"/><Relationship Id="rId900" Type="http://schemas.openxmlformats.org/officeDocument/2006/relationships/image" Target="../media/image904.jpeg"/><Relationship Id="rId125" Type="http://schemas.openxmlformats.org/officeDocument/2006/relationships/image" Target="../media/image129.jpeg"/><Relationship Id="rId332" Type="http://schemas.openxmlformats.org/officeDocument/2006/relationships/image" Target="../media/image336.jpeg"/><Relationship Id="rId777" Type="http://schemas.openxmlformats.org/officeDocument/2006/relationships/image" Target="../media/image781.jpeg"/><Relationship Id="rId984" Type="http://schemas.openxmlformats.org/officeDocument/2006/relationships/image" Target="../media/image988.jpeg"/><Relationship Id="rId637" Type="http://schemas.openxmlformats.org/officeDocument/2006/relationships/image" Target="../media/image641.jpeg"/><Relationship Id="rId844" Type="http://schemas.openxmlformats.org/officeDocument/2006/relationships/image" Target="../media/image848.jpeg"/><Relationship Id="rId276" Type="http://schemas.openxmlformats.org/officeDocument/2006/relationships/image" Target="../media/image280.jpeg"/><Relationship Id="rId483" Type="http://schemas.openxmlformats.org/officeDocument/2006/relationships/image" Target="../media/image487.jpeg"/><Relationship Id="rId690" Type="http://schemas.openxmlformats.org/officeDocument/2006/relationships/image" Target="../media/image694.jpeg"/><Relationship Id="rId704" Type="http://schemas.openxmlformats.org/officeDocument/2006/relationships/image" Target="../media/image708.jpeg"/><Relationship Id="rId911" Type="http://schemas.openxmlformats.org/officeDocument/2006/relationships/image" Target="../media/image915.jpeg"/><Relationship Id="rId40" Type="http://schemas.openxmlformats.org/officeDocument/2006/relationships/image" Target="../media/image44.jpeg"/><Relationship Id="rId136" Type="http://schemas.openxmlformats.org/officeDocument/2006/relationships/image" Target="../media/image140.jpeg"/><Relationship Id="rId343" Type="http://schemas.openxmlformats.org/officeDocument/2006/relationships/image" Target="../media/image347.jpeg"/><Relationship Id="rId550" Type="http://schemas.openxmlformats.org/officeDocument/2006/relationships/image" Target="../media/image554.jpeg"/><Relationship Id="rId788" Type="http://schemas.openxmlformats.org/officeDocument/2006/relationships/image" Target="../media/image792.jpeg"/><Relationship Id="rId995" Type="http://schemas.openxmlformats.org/officeDocument/2006/relationships/image" Target="../media/image999.jpeg"/><Relationship Id="rId203" Type="http://schemas.openxmlformats.org/officeDocument/2006/relationships/image" Target="../media/image207.jpeg"/><Relationship Id="rId648" Type="http://schemas.openxmlformats.org/officeDocument/2006/relationships/image" Target="../media/image652.jpeg"/><Relationship Id="rId855" Type="http://schemas.openxmlformats.org/officeDocument/2006/relationships/image" Target="../media/image859.jpeg"/><Relationship Id="rId1040" Type="http://schemas.openxmlformats.org/officeDocument/2006/relationships/image" Target="../media/image1044.jpeg"/><Relationship Id="rId287" Type="http://schemas.openxmlformats.org/officeDocument/2006/relationships/image" Target="../media/image291.jpeg"/><Relationship Id="rId410" Type="http://schemas.openxmlformats.org/officeDocument/2006/relationships/image" Target="../media/image414.jpeg"/><Relationship Id="rId494" Type="http://schemas.openxmlformats.org/officeDocument/2006/relationships/image" Target="../media/image498.jpeg"/><Relationship Id="rId508" Type="http://schemas.openxmlformats.org/officeDocument/2006/relationships/image" Target="../media/image512.jpeg"/><Relationship Id="rId715" Type="http://schemas.openxmlformats.org/officeDocument/2006/relationships/image" Target="../media/image719.jpeg"/><Relationship Id="rId922" Type="http://schemas.openxmlformats.org/officeDocument/2006/relationships/image" Target="../media/image926.jpeg"/><Relationship Id="rId147" Type="http://schemas.openxmlformats.org/officeDocument/2006/relationships/image" Target="../media/image151.jpeg"/><Relationship Id="rId354" Type="http://schemas.openxmlformats.org/officeDocument/2006/relationships/image" Target="../media/image358.jpeg"/><Relationship Id="rId799" Type="http://schemas.openxmlformats.org/officeDocument/2006/relationships/image" Target="../media/image803.jpeg"/><Relationship Id="rId51" Type="http://schemas.openxmlformats.org/officeDocument/2006/relationships/image" Target="../media/image55.jpeg"/><Relationship Id="rId561" Type="http://schemas.openxmlformats.org/officeDocument/2006/relationships/image" Target="../media/image565.jpeg"/><Relationship Id="rId659" Type="http://schemas.openxmlformats.org/officeDocument/2006/relationships/image" Target="../media/image663.jpeg"/><Relationship Id="rId866" Type="http://schemas.openxmlformats.org/officeDocument/2006/relationships/image" Target="../media/image870.jpeg"/><Relationship Id="rId214" Type="http://schemas.openxmlformats.org/officeDocument/2006/relationships/image" Target="../media/image218.jpeg"/><Relationship Id="rId298" Type="http://schemas.openxmlformats.org/officeDocument/2006/relationships/image" Target="../media/image302.jpeg"/><Relationship Id="rId421" Type="http://schemas.openxmlformats.org/officeDocument/2006/relationships/image" Target="../media/image425.jpeg"/><Relationship Id="rId519" Type="http://schemas.openxmlformats.org/officeDocument/2006/relationships/image" Target="../media/image523.jpeg"/><Relationship Id="rId1051" Type="http://schemas.openxmlformats.org/officeDocument/2006/relationships/image" Target="../media/image1055.jpeg"/><Relationship Id="rId158" Type="http://schemas.openxmlformats.org/officeDocument/2006/relationships/image" Target="../media/image162.jpeg"/><Relationship Id="rId726" Type="http://schemas.openxmlformats.org/officeDocument/2006/relationships/image" Target="../media/image730.jpeg"/><Relationship Id="rId933" Type="http://schemas.openxmlformats.org/officeDocument/2006/relationships/image" Target="../media/image937.jpeg"/><Relationship Id="rId1009" Type="http://schemas.openxmlformats.org/officeDocument/2006/relationships/image" Target="../media/image1013.jpeg"/><Relationship Id="rId62" Type="http://schemas.openxmlformats.org/officeDocument/2006/relationships/image" Target="../media/image66.jpeg"/><Relationship Id="rId365" Type="http://schemas.openxmlformats.org/officeDocument/2006/relationships/image" Target="../media/image369.jpeg"/><Relationship Id="rId572" Type="http://schemas.openxmlformats.org/officeDocument/2006/relationships/image" Target="../media/image576.jpeg"/><Relationship Id="rId225" Type="http://schemas.openxmlformats.org/officeDocument/2006/relationships/image" Target="../media/image229.jpeg"/><Relationship Id="rId432" Type="http://schemas.openxmlformats.org/officeDocument/2006/relationships/image" Target="../media/image436.jpeg"/><Relationship Id="rId877" Type="http://schemas.openxmlformats.org/officeDocument/2006/relationships/image" Target="../media/image881.jpeg"/><Relationship Id="rId1062" Type="http://schemas.openxmlformats.org/officeDocument/2006/relationships/image" Target="../media/image1066.jpeg"/><Relationship Id="rId737" Type="http://schemas.openxmlformats.org/officeDocument/2006/relationships/image" Target="../media/image741.jpeg"/><Relationship Id="rId944" Type="http://schemas.openxmlformats.org/officeDocument/2006/relationships/image" Target="../media/image948.jpeg"/><Relationship Id="rId73" Type="http://schemas.openxmlformats.org/officeDocument/2006/relationships/image" Target="../media/image77.jpeg"/><Relationship Id="rId169" Type="http://schemas.openxmlformats.org/officeDocument/2006/relationships/image" Target="../media/image173.jpeg"/><Relationship Id="rId376" Type="http://schemas.openxmlformats.org/officeDocument/2006/relationships/image" Target="../media/image380.jpeg"/><Relationship Id="rId583" Type="http://schemas.openxmlformats.org/officeDocument/2006/relationships/image" Target="../media/image587.jpeg"/><Relationship Id="rId790" Type="http://schemas.openxmlformats.org/officeDocument/2006/relationships/image" Target="../media/image794.jpeg"/><Relationship Id="rId804" Type="http://schemas.openxmlformats.org/officeDocument/2006/relationships/image" Target="../media/image808.jpeg"/><Relationship Id="rId4" Type="http://schemas.openxmlformats.org/officeDocument/2006/relationships/image" Target="../media/image8.jpeg"/><Relationship Id="rId236" Type="http://schemas.openxmlformats.org/officeDocument/2006/relationships/image" Target="../media/image240.jpeg"/><Relationship Id="rId443" Type="http://schemas.openxmlformats.org/officeDocument/2006/relationships/image" Target="../media/image447.jpeg"/><Relationship Id="rId650" Type="http://schemas.openxmlformats.org/officeDocument/2006/relationships/image" Target="../media/image654.jpeg"/><Relationship Id="rId888" Type="http://schemas.openxmlformats.org/officeDocument/2006/relationships/image" Target="../media/image892.jpeg"/><Relationship Id="rId1073" Type="http://schemas.openxmlformats.org/officeDocument/2006/relationships/image" Target="../media/image1077.jpeg"/><Relationship Id="rId303" Type="http://schemas.openxmlformats.org/officeDocument/2006/relationships/image" Target="../media/image307.jpeg"/><Relationship Id="rId748" Type="http://schemas.openxmlformats.org/officeDocument/2006/relationships/image" Target="../media/image752.jpeg"/><Relationship Id="rId955" Type="http://schemas.openxmlformats.org/officeDocument/2006/relationships/image" Target="../media/image959.jpeg"/><Relationship Id="rId84" Type="http://schemas.openxmlformats.org/officeDocument/2006/relationships/image" Target="../media/image88.jpeg"/><Relationship Id="rId387" Type="http://schemas.openxmlformats.org/officeDocument/2006/relationships/image" Target="../media/image391.jpeg"/><Relationship Id="rId510" Type="http://schemas.openxmlformats.org/officeDocument/2006/relationships/image" Target="../media/image514.jpeg"/><Relationship Id="rId594" Type="http://schemas.openxmlformats.org/officeDocument/2006/relationships/image" Target="../media/image598.jpeg"/><Relationship Id="rId608" Type="http://schemas.openxmlformats.org/officeDocument/2006/relationships/image" Target="../media/image612.jpeg"/><Relationship Id="rId815" Type="http://schemas.openxmlformats.org/officeDocument/2006/relationships/image" Target="../media/image819.png"/><Relationship Id="rId247" Type="http://schemas.openxmlformats.org/officeDocument/2006/relationships/image" Target="../media/image251.jpeg"/><Relationship Id="rId899" Type="http://schemas.openxmlformats.org/officeDocument/2006/relationships/image" Target="../media/image903.jpeg"/><Relationship Id="rId1000" Type="http://schemas.openxmlformats.org/officeDocument/2006/relationships/image" Target="../media/image1004.jpeg"/><Relationship Id="rId1084" Type="http://schemas.openxmlformats.org/officeDocument/2006/relationships/image" Target="../media/image1088.jpeg"/><Relationship Id="rId107" Type="http://schemas.openxmlformats.org/officeDocument/2006/relationships/image" Target="../media/image111.jpeg"/><Relationship Id="rId454" Type="http://schemas.openxmlformats.org/officeDocument/2006/relationships/image" Target="../media/image458.jpeg"/><Relationship Id="rId661" Type="http://schemas.openxmlformats.org/officeDocument/2006/relationships/image" Target="../media/image665.jpeg"/><Relationship Id="rId759" Type="http://schemas.openxmlformats.org/officeDocument/2006/relationships/image" Target="../media/image763.jpeg"/><Relationship Id="rId966" Type="http://schemas.openxmlformats.org/officeDocument/2006/relationships/image" Target="../media/image970.jpeg"/><Relationship Id="rId11" Type="http://schemas.openxmlformats.org/officeDocument/2006/relationships/image" Target="../media/image15.jpeg"/><Relationship Id="rId314" Type="http://schemas.openxmlformats.org/officeDocument/2006/relationships/image" Target="../media/image318.jpeg"/><Relationship Id="rId398" Type="http://schemas.openxmlformats.org/officeDocument/2006/relationships/image" Target="../media/image402.jpeg"/><Relationship Id="rId521" Type="http://schemas.openxmlformats.org/officeDocument/2006/relationships/image" Target="../media/image525.jpeg"/><Relationship Id="rId619" Type="http://schemas.openxmlformats.org/officeDocument/2006/relationships/image" Target="../media/image623.jpeg"/><Relationship Id="rId95" Type="http://schemas.openxmlformats.org/officeDocument/2006/relationships/image" Target="../media/image99.jpeg"/><Relationship Id="rId160" Type="http://schemas.openxmlformats.org/officeDocument/2006/relationships/image" Target="../media/image164.jpeg"/><Relationship Id="rId826" Type="http://schemas.openxmlformats.org/officeDocument/2006/relationships/image" Target="../media/image830.jpeg"/><Relationship Id="rId1011" Type="http://schemas.openxmlformats.org/officeDocument/2006/relationships/image" Target="../media/image1015.jpeg"/><Relationship Id="rId258" Type="http://schemas.openxmlformats.org/officeDocument/2006/relationships/image" Target="../media/image262.jpeg"/><Relationship Id="rId465" Type="http://schemas.openxmlformats.org/officeDocument/2006/relationships/image" Target="../media/image469.jpeg"/><Relationship Id="rId672" Type="http://schemas.openxmlformats.org/officeDocument/2006/relationships/image" Target="../media/image676.jpeg"/><Relationship Id="rId1095" Type="http://schemas.openxmlformats.org/officeDocument/2006/relationships/image" Target="../media/image1099.jpeg"/><Relationship Id="rId22" Type="http://schemas.openxmlformats.org/officeDocument/2006/relationships/image" Target="../media/image26.jpeg"/><Relationship Id="rId118" Type="http://schemas.openxmlformats.org/officeDocument/2006/relationships/image" Target="../media/image122.jpeg"/><Relationship Id="rId325" Type="http://schemas.openxmlformats.org/officeDocument/2006/relationships/image" Target="../media/image329.jpeg"/><Relationship Id="rId532" Type="http://schemas.openxmlformats.org/officeDocument/2006/relationships/image" Target="../media/image536.jpeg"/><Relationship Id="rId977" Type="http://schemas.openxmlformats.org/officeDocument/2006/relationships/image" Target="../media/image981.jpeg"/><Relationship Id="rId171" Type="http://schemas.openxmlformats.org/officeDocument/2006/relationships/image" Target="../media/image175.jpeg"/><Relationship Id="rId837" Type="http://schemas.openxmlformats.org/officeDocument/2006/relationships/image" Target="../media/image841.jpeg"/><Relationship Id="rId1022" Type="http://schemas.openxmlformats.org/officeDocument/2006/relationships/image" Target="../media/image1026.jpeg"/><Relationship Id="rId269" Type="http://schemas.openxmlformats.org/officeDocument/2006/relationships/image" Target="../media/image273.jpeg"/><Relationship Id="rId476" Type="http://schemas.openxmlformats.org/officeDocument/2006/relationships/image" Target="../media/image480.jpeg"/><Relationship Id="rId683" Type="http://schemas.openxmlformats.org/officeDocument/2006/relationships/image" Target="../media/image687.jpeg"/><Relationship Id="rId890" Type="http://schemas.openxmlformats.org/officeDocument/2006/relationships/image" Target="../media/image894.jpeg"/><Relationship Id="rId904" Type="http://schemas.openxmlformats.org/officeDocument/2006/relationships/image" Target="../media/image908.jpeg"/><Relationship Id="rId33" Type="http://schemas.openxmlformats.org/officeDocument/2006/relationships/image" Target="../media/image37.jpeg"/><Relationship Id="rId129" Type="http://schemas.openxmlformats.org/officeDocument/2006/relationships/image" Target="../media/image133.jpeg"/><Relationship Id="rId336" Type="http://schemas.openxmlformats.org/officeDocument/2006/relationships/image" Target="../media/image340.jpeg"/><Relationship Id="rId543" Type="http://schemas.openxmlformats.org/officeDocument/2006/relationships/image" Target="../media/image547.jpeg"/><Relationship Id="rId988" Type="http://schemas.openxmlformats.org/officeDocument/2006/relationships/image" Target="../media/image992.jpeg"/><Relationship Id="rId182" Type="http://schemas.openxmlformats.org/officeDocument/2006/relationships/image" Target="../media/image186.jpeg"/><Relationship Id="rId403" Type="http://schemas.openxmlformats.org/officeDocument/2006/relationships/image" Target="../media/image407.jpeg"/><Relationship Id="rId750" Type="http://schemas.openxmlformats.org/officeDocument/2006/relationships/image" Target="../media/image754.jpeg"/><Relationship Id="rId848" Type="http://schemas.openxmlformats.org/officeDocument/2006/relationships/image" Target="../media/image852.jpeg"/><Relationship Id="rId1033" Type="http://schemas.openxmlformats.org/officeDocument/2006/relationships/image" Target="../media/image1037.jpeg"/><Relationship Id="rId487" Type="http://schemas.openxmlformats.org/officeDocument/2006/relationships/image" Target="../media/image491.jpeg"/><Relationship Id="rId610" Type="http://schemas.openxmlformats.org/officeDocument/2006/relationships/image" Target="../media/image614.jpeg"/><Relationship Id="rId694" Type="http://schemas.openxmlformats.org/officeDocument/2006/relationships/image" Target="../media/image698.jpeg"/><Relationship Id="rId708" Type="http://schemas.openxmlformats.org/officeDocument/2006/relationships/image" Target="../media/image712.jpeg"/><Relationship Id="rId915" Type="http://schemas.openxmlformats.org/officeDocument/2006/relationships/image" Target="../media/image919.jpeg"/><Relationship Id="rId347" Type="http://schemas.openxmlformats.org/officeDocument/2006/relationships/image" Target="../media/image351.jpeg"/><Relationship Id="rId999" Type="http://schemas.openxmlformats.org/officeDocument/2006/relationships/image" Target="../media/image1003.jpeg"/><Relationship Id="rId1100" Type="http://schemas.openxmlformats.org/officeDocument/2006/relationships/image" Target="../media/image1104.jpeg"/><Relationship Id="rId44" Type="http://schemas.openxmlformats.org/officeDocument/2006/relationships/image" Target="../media/image48.jpeg"/><Relationship Id="rId554" Type="http://schemas.openxmlformats.org/officeDocument/2006/relationships/image" Target="../media/image558.jpeg"/><Relationship Id="rId761" Type="http://schemas.openxmlformats.org/officeDocument/2006/relationships/image" Target="../media/image765.jpeg"/><Relationship Id="rId859" Type="http://schemas.openxmlformats.org/officeDocument/2006/relationships/image" Target="../media/image863.jpeg"/><Relationship Id="rId193" Type="http://schemas.openxmlformats.org/officeDocument/2006/relationships/image" Target="../media/image197.jpeg"/><Relationship Id="rId207" Type="http://schemas.openxmlformats.org/officeDocument/2006/relationships/image" Target="../media/image211.jpeg"/><Relationship Id="rId414" Type="http://schemas.openxmlformats.org/officeDocument/2006/relationships/image" Target="../media/image418.jpeg"/><Relationship Id="rId498" Type="http://schemas.openxmlformats.org/officeDocument/2006/relationships/image" Target="../media/image502.jpeg"/><Relationship Id="rId621" Type="http://schemas.openxmlformats.org/officeDocument/2006/relationships/image" Target="../media/image625.jpeg"/><Relationship Id="rId1044" Type="http://schemas.openxmlformats.org/officeDocument/2006/relationships/image" Target="../media/image1048.jpeg"/><Relationship Id="rId260" Type="http://schemas.openxmlformats.org/officeDocument/2006/relationships/image" Target="../media/image264.jpeg"/><Relationship Id="rId719" Type="http://schemas.openxmlformats.org/officeDocument/2006/relationships/image" Target="../media/image723.jpeg"/><Relationship Id="rId926" Type="http://schemas.openxmlformats.org/officeDocument/2006/relationships/image" Target="../media/image930.jpeg"/><Relationship Id="rId55" Type="http://schemas.openxmlformats.org/officeDocument/2006/relationships/image" Target="../media/image59.jpeg"/><Relationship Id="rId120" Type="http://schemas.openxmlformats.org/officeDocument/2006/relationships/image" Target="../media/image124.jpeg"/><Relationship Id="rId358" Type="http://schemas.openxmlformats.org/officeDocument/2006/relationships/image" Target="../media/image362.jpeg"/><Relationship Id="rId565" Type="http://schemas.openxmlformats.org/officeDocument/2006/relationships/image" Target="../media/image569.jpeg"/><Relationship Id="rId772" Type="http://schemas.openxmlformats.org/officeDocument/2006/relationships/image" Target="../media/image776.jpeg"/><Relationship Id="rId218" Type="http://schemas.openxmlformats.org/officeDocument/2006/relationships/image" Target="../media/image222.jpeg"/><Relationship Id="rId425" Type="http://schemas.openxmlformats.org/officeDocument/2006/relationships/image" Target="../media/image429.jpeg"/><Relationship Id="rId632" Type="http://schemas.openxmlformats.org/officeDocument/2006/relationships/image" Target="../media/image636.jpeg"/><Relationship Id="rId1055" Type="http://schemas.openxmlformats.org/officeDocument/2006/relationships/image" Target="../media/image1059.jpeg"/><Relationship Id="rId271" Type="http://schemas.openxmlformats.org/officeDocument/2006/relationships/image" Target="../media/image275.jpeg"/><Relationship Id="rId937" Type="http://schemas.openxmlformats.org/officeDocument/2006/relationships/image" Target="../media/image941.jpeg"/><Relationship Id="rId66" Type="http://schemas.openxmlformats.org/officeDocument/2006/relationships/image" Target="../media/image70.jpeg"/><Relationship Id="rId131" Type="http://schemas.openxmlformats.org/officeDocument/2006/relationships/image" Target="../media/image135.jpeg"/><Relationship Id="rId369" Type="http://schemas.openxmlformats.org/officeDocument/2006/relationships/image" Target="../media/image373.jpeg"/><Relationship Id="rId576" Type="http://schemas.openxmlformats.org/officeDocument/2006/relationships/image" Target="../media/image580.jpeg"/><Relationship Id="rId783" Type="http://schemas.openxmlformats.org/officeDocument/2006/relationships/image" Target="../media/image787.jpeg"/><Relationship Id="rId990" Type="http://schemas.openxmlformats.org/officeDocument/2006/relationships/image" Target="../media/image994.jpeg"/><Relationship Id="rId229" Type="http://schemas.openxmlformats.org/officeDocument/2006/relationships/image" Target="../media/image233.jpeg"/><Relationship Id="rId436" Type="http://schemas.openxmlformats.org/officeDocument/2006/relationships/image" Target="../media/image440.jpeg"/><Relationship Id="rId643" Type="http://schemas.openxmlformats.org/officeDocument/2006/relationships/image" Target="../media/image647.jpeg"/><Relationship Id="rId1066" Type="http://schemas.openxmlformats.org/officeDocument/2006/relationships/image" Target="../media/image1070.jpeg"/><Relationship Id="rId850" Type="http://schemas.openxmlformats.org/officeDocument/2006/relationships/image" Target="../media/image854.jpeg"/><Relationship Id="rId948" Type="http://schemas.openxmlformats.org/officeDocument/2006/relationships/image" Target="../media/image952.jpeg"/><Relationship Id="rId77" Type="http://schemas.openxmlformats.org/officeDocument/2006/relationships/image" Target="../media/image81.jpeg"/><Relationship Id="rId282" Type="http://schemas.openxmlformats.org/officeDocument/2006/relationships/image" Target="../media/image286.jpeg"/><Relationship Id="rId503" Type="http://schemas.openxmlformats.org/officeDocument/2006/relationships/image" Target="../media/image507.jpeg"/><Relationship Id="rId587" Type="http://schemas.openxmlformats.org/officeDocument/2006/relationships/image" Target="../media/image591.jpeg"/><Relationship Id="rId710" Type="http://schemas.openxmlformats.org/officeDocument/2006/relationships/image" Target="../media/image714.jpeg"/><Relationship Id="rId808" Type="http://schemas.openxmlformats.org/officeDocument/2006/relationships/image" Target="../media/image812.jpeg"/><Relationship Id="rId8" Type="http://schemas.openxmlformats.org/officeDocument/2006/relationships/image" Target="../media/image12.jpeg"/><Relationship Id="rId142" Type="http://schemas.openxmlformats.org/officeDocument/2006/relationships/image" Target="../media/image146.jpeg"/><Relationship Id="rId447" Type="http://schemas.openxmlformats.org/officeDocument/2006/relationships/image" Target="../media/image451.jpeg"/><Relationship Id="rId794" Type="http://schemas.openxmlformats.org/officeDocument/2006/relationships/image" Target="../media/image798.jpeg"/><Relationship Id="rId1077" Type="http://schemas.openxmlformats.org/officeDocument/2006/relationships/image" Target="../media/image1081.jpeg"/><Relationship Id="rId654" Type="http://schemas.openxmlformats.org/officeDocument/2006/relationships/image" Target="../media/image658.jpeg"/><Relationship Id="rId861" Type="http://schemas.openxmlformats.org/officeDocument/2006/relationships/image" Target="../media/image865.jpeg"/><Relationship Id="rId959" Type="http://schemas.openxmlformats.org/officeDocument/2006/relationships/image" Target="../media/image963.jpeg"/><Relationship Id="rId293" Type="http://schemas.openxmlformats.org/officeDocument/2006/relationships/image" Target="../media/image297.jpeg"/><Relationship Id="rId307" Type="http://schemas.openxmlformats.org/officeDocument/2006/relationships/image" Target="../media/image311.jpeg"/><Relationship Id="rId514" Type="http://schemas.openxmlformats.org/officeDocument/2006/relationships/image" Target="../media/image518.jpeg"/><Relationship Id="rId721" Type="http://schemas.openxmlformats.org/officeDocument/2006/relationships/image" Target="../media/image725.jpeg"/><Relationship Id="rId88" Type="http://schemas.openxmlformats.org/officeDocument/2006/relationships/image" Target="../media/image92.jpeg"/><Relationship Id="rId153" Type="http://schemas.openxmlformats.org/officeDocument/2006/relationships/image" Target="../media/image157.jpeg"/><Relationship Id="rId360" Type="http://schemas.openxmlformats.org/officeDocument/2006/relationships/image" Target="../media/image364.jpeg"/><Relationship Id="rId598" Type="http://schemas.openxmlformats.org/officeDocument/2006/relationships/image" Target="../media/image602.jpeg"/><Relationship Id="rId819" Type="http://schemas.openxmlformats.org/officeDocument/2006/relationships/image" Target="../media/image823.jpeg"/><Relationship Id="rId1004" Type="http://schemas.openxmlformats.org/officeDocument/2006/relationships/image" Target="../media/image1008.jpeg"/><Relationship Id="rId220" Type="http://schemas.openxmlformats.org/officeDocument/2006/relationships/image" Target="../media/image224.jpeg"/><Relationship Id="rId458" Type="http://schemas.openxmlformats.org/officeDocument/2006/relationships/image" Target="../media/image462.jpeg"/><Relationship Id="rId665" Type="http://schemas.openxmlformats.org/officeDocument/2006/relationships/image" Target="../media/image669.jpeg"/><Relationship Id="rId872" Type="http://schemas.openxmlformats.org/officeDocument/2006/relationships/image" Target="../media/image876.jpeg"/><Relationship Id="rId1088" Type="http://schemas.openxmlformats.org/officeDocument/2006/relationships/image" Target="../media/image1092.jpeg"/><Relationship Id="rId15" Type="http://schemas.openxmlformats.org/officeDocument/2006/relationships/image" Target="../media/image19.jpeg"/><Relationship Id="rId318" Type="http://schemas.openxmlformats.org/officeDocument/2006/relationships/image" Target="../media/image322.jpeg"/><Relationship Id="rId525" Type="http://schemas.openxmlformats.org/officeDocument/2006/relationships/image" Target="../media/image529.jpeg"/><Relationship Id="rId732" Type="http://schemas.openxmlformats.org/officeDocument/2006/relationships/image" Target="../media/image736.jpeg"/><Relationship Id="rId99" Type="http://schemas.openxmlformats.org/officeDocument/2006/relationships/image" Target="../media/image103.jpeg"/><Relationship Id="rId164" Type="http://schemas.openxmlformats.org/officeDocument/2006/relationships/image" Target="../media/image168.jpeg"/><Relationship Id="rId371" Type="http://schemas.openxmlformats.org/officeDocument/2006/relationships/image" Target="../media/image375.jpeg"/><Relationship Id="rId1015" Type="http://schemas.openxmlformats.org/officeDocument/2006/relationships/image" Target="../media/image1019.jpeg"/><Relationship Id="rId469" Type="http://schemas.openxmlformats.org/officeDocument/2006/relationships/image" Target="../media/image473.jpeg"/><Relationship Id="rId676" Type="http://schemas.openxmlformats.org/officeDocument/2006/relationships/image" Target="../media/image680.jpeg"/><Relationship Id="rId883" Type="http://schemas.openxmlformats.org/officeDocument/2006/relationships/image" Target="../media/image887.jpeg"/><Relationship Id="rId1099" Type="http://schemas.openxmlformats.org/officeDocument/2006/relationships/image" Target="../media/image1103.jpeg"/><Relationship Id="rId26" Type="http://schemas.openxmlformats.org/officeDocument/2006/relationships/image" Target="../media/image30.jpeg"/><Relationship Id="rId231" Type="http://schemas.openxmlformats.org/officeDocument/2006/relationships/image" Target="../media/image235.jpeg"/><Relationship Id="rId329" Type="http://schemas.openxmlformats.org/officeDocument/2006/relationships/image" Target="../media/image333.jpeg"/><Relationship Id="rId536" Type="http://schemas.openxmlformats.org/officeDocument/2006/relationships/image" Target="../media/image540.jpeg"/><Relationship Id="rId175" Type="http://schemas.openxmlformats.org/officeDocument/2006/relationships/image" Target="../media/image179.jpeg"/><Relationship Id="rId743" Type="http://schemas.openxmlformats.org/officeDocument/2006/relationships/image" Target="../media/image747.jpeg"/><Relationship Id="rId950" Type="http://schemas.openxmlformats.org/officeDocument/2006/relationships/image" Target="../media/image954.jpeg"/><Relationship Id="rId1026" Type="http://schemas.openxmlformats.org/officeDocument/2006/relationships/image" Target="../media/image1030.jpeg"/><Relationship Id="rId382" Type="http://schemas.openxmlformats.org/officeDocument/2006/relationships/image" Target="../media/image386.jpeg"/><Relationship Id="rId603" Type="http://schemas.openxmlformats.org/officeDocument/2006/relationships/image" Target="../media/image607.jpeg"/><Relationship Id="rId687" Type="http://schemas.openxmlformats.org/officeDocument/2006/relationships/image" Target="../media/image691.jpeg"/><Relationship Id="rId810" Type="http://schemas.openxmlformats.org/officeDocument/2006/relationships/image" Target="../media/image814.jpeg"/><Relationship Id="rId908" Type="http://schemas.openxmlformats.org/officeDocument/2006/relationships/image" Target="../media/image912.jpeg"/><Relationship Id="rId242" Type="http://schemas.openxmlformats.org/officeDocument/2006/relationships/image" Target="../media/image246.jpeg"/><Relationship Id="rId894" Type="http://schemas.openxmlformats.org/officeDocument/2006/relationships/image" Target="../media/image898.jpeg"/><Relationship Id="rId37" Type="http://schemas.openxmlformats.org/officeDocument/2006/relationships/image" Target="../media/image41.jpeg"/><Relationship Id="rId102" Type="http://schemas.openxmlformats.org/officeDocument/2006/relationships/image" Target="../media/image106.jpeg"/><Relationship Id="rId547" Type="http://schemas.openxmlformats.org/officeDocument/2006/relationships/image" Target="../media/image551.jpeg"/><Relationship Id="rId754" Type="http://schemas.openxmlformats.org/officeDocument/2006/relationships/image" Target="../media/image758.jpeg"/><Relationship Id="rId961" Type="http://schemas.openxmlformats.org/officeDocument/2006/relationships/image" Target="../media/image965.jpeg"/><Relationship Id="rId90" Type="http://schemas.openxmlformats.org/officeDocument/2006/relationships/image" Target="../media/image94.jpeg"/><Relationship Id="rId186" Type="http://schemas.openxmlformats.org/officeDocument/2006/relationships/image" Target="../media/image190.jpeg"/><Relationship Id="rId393" Type="http://schemas.openxmlformats.org/officeDocument/2006/relationships/image" Target="../media/image397.jpeg"/><Relationship Id="rId407" Type="http://schemas.openxmlformats.org/officeDocument/2006/relationships/image" Target="../media/image411.jpeg"/><Relationship Id="rId614" Type="http://schemas.openxmlformats.org/officeDocument/2006/relationships/image" Target="../media/image618.jpeg"/><Relationship Id="rId821" Type="http://schemas.openxmlformats.org/officeDocument/2006/relationships/image" Target="../media/image825.jpeg"/><Relationship Id="rId1037" Type="http://schemas.openxmlformats.org/officeDocument/2006/relationships/image" Target="../media/image1041.jpeg"/><Relationship Id="rId253" Type="http://schemas.openxmlformats.org/officeDocument/2006/relationships/image" Target="../media/image257.jpeg"/><Relationship Id="rId460" Type="http://schemas.openxmlformats.org/officeDocument/2006/relationships/image" Target="../media/image464.jpeg"/><Relationship Id="rId698" Type="http://schemas.openxmlformats.org/officeDocument/2006/relationships/image" Target="../media/image702.jpeg"/><Relationship Id="rId919" Type="http://schemas.openxmlformats.org/officeDocument/2006/relationships/image" Target="../media/image923.jpeg"/><Relationship Id="rId1090" Type="http://schemas.openxmlformats.org/officeDocument/2006/relationships/image" Target="../media/image1094.jpeg"/><Relationship Id="rId1104" Type="http://schemas.openxmlformats.org/officeDocument/2006/relationships/image" Target="../media/image1108.jpeg"/><Relationship Id="rId48" Type="http://schemas.openxmlformats.org/officeDocument/2006/relationships/image" Target="../media/image52.jpeg"/><Relationship Id="rId113" Type="http://schemas.openxmlformats.org/officeDocument/2006/relationships/image" Target="../media/image117.jpeg"/><Relationship Id="rId320" Type="http://schemas.openxmlformats.org/officeDocument/2006/relationships/image" Target="../media/image324.jpeg"/><Relationship Id="rId558" Type="http://schemas.openxmlformats.org/officeDocument/2006/relationships/image" Target="../media/image562.jpeg"/><Relationship Id="rId765" Type="http://schemas.openxmlformats.org/officeDocument/2006/relationships/image" Target="../media/image769.jpeg"/><Relationship Id="rId972" Type="http://schemas.openxmlformats.org/officeDocument/2006/relationships/image" Target="../media/image976.jpeg"/><Relationship Id="rId197" Type="http://schemas.openxmlformats.org/officeDocument/2006/relationships/image" Target="../media/image201.jpeg"/><Relationship Id="rId418" Type="http://schemas.openxmlformats.org/officeDocument/2006/relationships/image" Target="../media/image422.jpeg"/><Relationship Id="rId625" Type="http://schemas.openxmlformats.org/officeDocument/2006/relationships/image" Target="../media/image629.jpeg"/><Relationship Id="rId832" Type="http://schemas.openxmlformats.org/officeDocument/2006/relationships/image" Target="../media/image836.jpeg"/><Relationship Id="rId1048" Type="http://schemas.openxmlformats.org/officeDocument/2006/relationships/image" Target="../media/image1052.jpeg"/><Relationship Id="rId264" Type="http://schemas.openxmlformats.org/officeDocument/2006/relationships/image" Target="../media/image268.jpeg"/><Relationship Id="rId471" Type="http://schemas.openxmlformats.org/officeDocument/2006/relationships/image" Target="../media/image475.jpeg"/><Relationship Id="rId59" Type="http://schemas.openxmlformats.org/officeDocument/2006/relationships/image" Target="../media/image63.jpeg"/><Relationship Id="rId124" Type="http://schemas.openxmlformats.org/officeDocument/2006/relationships/image" Target="../media/image128.jpeg"/><Relationship Id="rId569" Type="http://schemas.openxmlformats.org/officeDocument/2006/relationships/image" Target="../media/image573.jpeg"/><Relationship Id="rId776" Type="http://schemas.openxmlformats.org/officeDocument/2006/relationships/image" Target="../media/image780.jpeg"/><Relationship Id="rId983" Type="http://schemas.openxmlformats.org/officeDocument/2006/relationships/image" Target="../media/image987.jpeg"/><Relationship Id="rId331" Type="http://schemas.openxmlformats.org/officeDocument/2006/relationships/image" Target="../media/image335.jpeg"/><Relationship Id="rId429" Type="http://schemas.openxmlformats.org/officeDocument/2006/relationships/image" Target="../media/image433.jpeg"/><Relationship Id="rId636" Type="http://schemas.openxmlformats.org/officeDocument/2006/relationships/image" Target="../media/image640.jpeg"/><Relationship Id="rId1059" Type="http://schemas.openxmlformats.org/officeDocument/2006/relationships/image" Target="../media/image1063.jpeg"/><Relationship Id="rId843" Type="http://schemas.openxmlformats.org/officeDocument/2006/relationships/image" Target="../media/image847.jpeg"/><Relationship Id="rId275" Type="http://schemas.openxmlformats.org/officeDocument/2006/relationships/image" Target="../media/image279.jpeg"/><Relationship Id="rId482" Type="http://schemas.openxmlformats.org/officeDocument/2006/relationships/image" Target="../media/image486.jpeg"/><Relationship Id="rId703" Type="http://schemas.openxmlformats.org/officeDocument/2006/relationships/image" Target="../media/image707.jpeg"/><Relationship Id="rId910" Type="http://schemas.openxmlformats.org/officeDocument/2006/relationships/image" Target="../media/image914.jpeg"/><Relationship Id="rId135" Type="http://schemas.openxmlformats.org/officeDocument/2006/relationships/image" Target="../media/image139.jpeg"/><Relationship Id="rId342" Type="http://schemas.openxmlformats.org/officeDocument/2006/relationships/image" Target="../media/image346.jpeg"/><Relationship Id="rId787" Type="http://schemas.openxmlformats.org/officeDocument/2006/relationships/image" Target="../media/image791.jpeg"/><Relationship Id="rId994" Type="http://schemas.openxmlformats.org/officeDocument/2006/relationships/image" Target="../media/image998.jpeg"/><Relationship Id="rId202" Type="http://schemas.openxmlformats.org/officeDocument/2006/relationships/image" Target="../media/image206.jpeg"/><Relationship Id="rId647" Type="http://schemas.openxmlformats.org/officeDocument/2006/relationships/image" Target="../media/image651.jpeg"/><Relationship Id="rId854" Type="http://schemas.openxmlformats.org/officeDocument/2006/relationships/image" Target="../media/image858.jpeg"/><Relationship Id="rId286" Type="http://schemas.openxmlformats.org/officeDocument/2006/relationships/image" Target="../media/image290.jpeg"/><Relationship Id="rId493" Type="http://schemas.openxmlformats.org/officeDocument/2006/relationships/image" Target="../media/image497.jpeg"/><Relationship Id="rId507" Type="http://schemas.openxmlformats.org/officeDocument/2006/relationships/image" Target="../media/image511.jpeg"/><Relationship Id="rId714" Type="http://schemas.openxmlformats.org/officeDocument/2006/relationships/image" Target="../media/image718.jpeg"/><Relationship Id="rId921" Type="http://schemas.openxmlformats.org/officeDocument/2006/relationships/image" Target="../media/image925.jpeg"/><Relationship Id="rId50" Type="http://schemas.openxmlformats.org/officeDocument/2006/relationships/image" Target="../media/image54.jpeg"/><Relationship Id="rId146" Type="http://schemas.openxmlformats.org/officeDocument/2006/relationships/image" Target="../media/image150.jpeg"/><Relationship Id="rId353" Type="http://schemas.openxmlformats.org/officeDocument/2006/relationships/image" Target="../media/image357.jpeg"/><Relationship Id="rId560" Type="http://schemas.openxmlformats.org/officeDocument/2006/relationships/image" Target="../media/image564.jpeg"/><Relationship Id="rId798" Type="http://schemas.openxmlformats.org/officeDocument/2006/relationships/image" Target="../media/image802.jpeg"/><Relationship Id="rId213" Type="http://schemas.openxmlformats.org/officeDocument/2006/relationships/image" Target="../media/image217.jpeg"/><Relationship Id="rId420" Type="http://schemas.openxmlformats.org/officeDocument/2006/relationships/image" Target="../media/image424.jpeg"/><Relationship Id="rId658" Type="http://schemas.openxmlformats.org/officeDocument/2006/relationships/image" Target="../media/image662.jpeg"/><Relationship Id="rId865" Type="http://schemas.openxmlformats.org/officeDocument/2006/relationships/image" Target="../media/image869.jpeg"/><Relationship Id="rId1050" Type="http://schemas.openxmlformats.org/officeDocument/2006/relationships/image" Target="../media/image1054.jpeg"/><Relationship Id="rId297" Type="http://schemas.openxmlformats.org/officeDocument/2006/relationships/image" Target="../media/image301.jpeg"/><Relationship Id="rId518" Type="http://schemas.openxmlformats.org/officeDocument/2006/relationships/image" Target="../media/image522.jpeg"/><Relationship Id="rId725" Type="http://schemas.openxmlformats.org/officeDocument/2006/relationships/image" Target="../media/image729.jpeg"/><Relationship Id="rId932" Type="http://schemas.openxmlformats.org/officeDocument/2006/relationships/image" Target="../media/image936.jpeg"/><Relationship Id="rId157" Type="http://schemas.openxmlformats.org/officeDocument/2006/relationships/image" Target="../media/image161.jpeg"/><Relationship Id="rId364" Type="http://schemas.openxmlformats.org/officeDocument/2006/relationships/image" Target="../media/image368.jpeg"/><Relationship Id="rId1008" Type="http://schemas.openxmlformats.org/officeDocument/2006/relationships/image" Target="../media/image1012.jpeg"/><Relationship Id="rId61" Type="http://schemas.openxmlformats.org/officeDocument/2006/relationships/image" Target="../media/image65.jpeg"/><Relationship Id="rId571" Type="http://schemas.openxmlformats.org/officeDocument/2006/relationships/image" Target="../media/image575.jpeg"/><Relationship Id="rId669" Type="http://schemas.openxmlformats.org/officeDocument/2006/relationships/image" Target="../media/image673.jpeg"/><Relationship Id="rId876" Type="http://schemas.openxmlformats.org/officeDocument/2006/relationships/image" Target="../media/image880.jpeg"/><Relationship Id="rId19" Type="http://schemas.openxmlformats.org/officeDocument/2006/relationships/image" Target="../media/image23.jpeg"/><Relationship Id="rId224" Type="http://schemas.openxmlformats.org/officeDocument/2006/relationships/image" Target="../media/image228.jpeg"/><Relationship Id="rId431" Type="http://schemas.openxmlformats.org/officeDocument/2006/relationships/image" Target="../media/image435.jpeg"/><Relationship Id="rId529" Type="http://schemas.openxmlformats.org/officeDocument/2006/relationships/image" Target="../media/image533.jpeg"/><Relationship Id="rId736" Type="http://schemas.openxmlformats.org/officeDocument/2006/relationships/image" Target="../media/image740.jpeg"/><Relationship Id="rId1061" Type="http://schemas.openxmlformats.org/officeDocument/2006/relationships/image" Target="../media/image1065.jpeg"/><Relationship Id="rId168" Type="http://schemas.openxmlformats.org/officeDocument/2006/relationships/image" Target="../media/image172.jpeg"/><Relationship Id="rId943" Type="http://schemas.openxmlformats.org/officeDocument/2006/relationships/image" Target="../media/image947.jpeg"/><Relationship Id="rId1019" Type="http://schemas.openxmlformats.org/officeDocument/2006/relationships/image" Target="../media/image1023.jpeg"/><Relationship Id="rId72" Type="http://schemas.openxmlformats.org/officeDocument/2006/relationships/image" Target="../media/image76.jpeg"/><Relationship Id="rId375" Type="http://schemas.openxmlformats.org/officeDocument/2006/relationships/image" Target="../media/image379.jpeg"/><Relationship Id="rId582" Type="http://schemas.openxmlformats.org/officeDocument/2006/relationships/image" Target="../media/image586.jpeg"/><Relationship Id="rId803" Type="http://schemas.openxmlformats.org/officeDocument/2006/relationships/image" Target="../media/image807.jpeg"/><Relationship Id="rId3" Type="http://schemas.openxmlformats.org/officeDocument/2006/relationships/image" Target="../media/image7.jpeg"/><Relationship Id="rId235" Type="http://schemas.openxmlformats.org/officeDocument/2006/relationships/image" Target="../media/image239.jpeg"/><Relationship Id="rId442" Type="http://schemas.openxmlformats.org/officeDocument/2006/relationships/image" Target="../media/image446.jpeg"/><Relationship Id="rId887" Type="http://schemas.openxmlformats.org/officeDocument/2006/relationships/image" Target="../media/image891.jpeg"/><Relationship Id="rId1072" Type="http://schemas.openxmlformats.org/officeDocument/2006/relationships/image" Target="../media/image1076.jpeg"/><Relationship Id="rId302" Type="http://schemas.openxmlformats.org/officeDocument/2006/relationships/image" Target="../media/image306.jpeg"/><Relationship Id="rId747" Type="http://schemas.openxmlformats.org/officeDocument/2006/relationships/image" Target="../media/image751.jpeg"/><Relationship Id="rId954" Type="http://schemas.openxmlformats.org/officeDocument/2006/relationships/image" Target="../media/image958.jpeg"/><Relationship Id="rId83" Type="http://schemas.openxmlformats.org/officeDocument/2006/relationships/image" Target="../media/image87.jpeg"/><Relationship Id="rId179" Type="http://schemas.openxmlformats.org/officeDocument/2006/relationships/image" Target="../media/image183.jpeg"/><Relationship Id="rId386" Type="http://schemas.openxmlformats.org/officeDocument/2006/relationships/image" Target="../media/image390.jpeg"/><Relationship Id="rId593" Type="http://schemas.openxmlformats.org/officeDocument/2006/relationships/image" Target="../media/image597.jpeg"/><Relationship Id="rId607" Type="http://schemas.openxmlformats.org/officeDocument/2006/relationships/image" Target="../media/image611.jpeg"/><Relationship Id="rId814" Type="http://schemas.openxmlformats.org/officeDocument/2006/relationships/image" Target="../media/image818.jpeg"/><Relationship Id="rId246" Type="http://schemas.openxmlformats.org/officeDocument/2006/relationships/image" Target="../media/image250.jpeg"/><Relationship Id="rId453" Type="http://schemas.openxmlformats.org/officeDocument/2006/relationships/image" Target="../media/image457.jpeg"/><Relationship Id="rId660" Type="http://schemas.openxmlformats.org/officeDocument/2006/relationships/image" Target="../media/image664.jpeg"/><Relationship Id="rId898" Type="http://schemas.openxmlformats.org/officeDocument/2006/relationships/image" Target="../media/image902.jpeg"/><Relationship Id="rId1083" Type="http://schemas.openxmlformats.org/officeDocument/2006/relationships/image" Target="../media/image1087.jpeg"/><Relationship Id="rId106" Type="http://schemas.openxmlformats.org/officeDocument/2006/relationships/image" Target="../media/image110.jpeg"/><Relationship Id="rId313" Type="http://schemas.openxmlformats.org/officeDocument/2006/relationships/image" Target="../media/image317.jpeg"/><Relationship Id="rId758" Type="http://schemas.openxmlformats.org/officeDocument/2006/relationships/image" Target="../media/image762.jpeg"/><Relationship Id="rId965" Type="http://schemas.openxmlformats.org/officeDocument/2006/relationships/image" Target="../media/image969.jpeg"/><Relationship Id="rId10" Type="http://schemas.openxmlformats.org/officeDocument/2006/relationships/image" Target="../media/image14.jpeg"/><Relationship Id="rId94" Type="http://schemas.openxmlformats.org/officeDocument/2006/relationships/image" Target="../media/image98.jpeg"/><Relationship Id="rId397" Type="http://schemas.openxmlformats.org/officeDocument/2006/relationships/image" Target="../media/image401.jpeg"/><Relationship Id="rId520" Type="http://schemas.openxmlformats.org/officeDocument/2006/relationships/image" Target="../media/image524.jpeg"/><Relationship Id="rId618" Type="http://schemas.openxmlformats.org/officeDocument/2006/relationships/image" Target="../media/image622.jpeg"/><Relationship Id="rId825" Type="http://schemas.openxmlformats.org/officeDocument/2006/relationships/image" Target="../media/image829.jpeg"/><Relationship Id="rId257" Type="http://schemas.openxmlformats.org/officeDocument/2006/relationships/image" Target="../media/image261.jpeg"/><Relationship Id="rId464" Type="http://schemas.openxmlformats.org/officeDocument/2006/relationships/image" Target="../media/image468.jpeg"/><Relationship Id="rId1010" Type="http://schemas.openxmlformats.org/officeDocument/2006/relationships/image" Target="../media/image1014.jpeg"/><Relationship Id="rId1094" Type="http://schemas.openxmlformats.org/officeDocument/2006/relationships/image" Target="../media/image1098.jpeg"/><Relationship Id="rId117" Type="http://schemas.openxmlformats.org/officeDocument/2006/relationships/image" Target="../media/image121.jpeg"/><Relationship Id="rId671" Type="http://schemas.openxmlformats.org/officeDocument/2006/relationships/image" Target="../media/image675.jpeg"/><Relationship Id="rId769" Type="http://schemas.openxmlformats.org/officeDocument/2006/relationships/image" Target="../media/image773.jpeg"/><Relationship Id="rId976" Type="http://schemas.openxmlformats.org/officeDocument/2006/relationships/image" Target="../media/image980.jpeg"/><Relationship Id="rId324" Type="http://schemas.openxmlformats.org/officeDocument/2006/relationships/image" Target="../media/image328.jpeg"/><Relationship Id="rId531" Type="http://schemas.openxmlformats.org/officeDocument/2006/relationships/image" Target="../media/image535.jpeg"/><Relationship Id="rId629" Type="http://schemas.openxmlformats.org/officeDocument/2006/relationships/image" Target="../media/image633.jpeg"/><Relationship Id="rId836" Type="http://schemas.openxmlformats.org/officeDocument/2006/relationships/image" Target="../media/image840.jpeg"/><Relationship Id="rId1021" Type="http://schemas.openxmlformats.org/officeDocument/2006/relationships/image" Target="../media/image1025.jpeg"/><Relationship Id="rId903" Type="http://schemas.openxmlformats.org/officeDocument/2006/relationships/image" Target="../media/image907.jpeg"/><Relationship Id="rId32" Type="http://schemas.openxmlformats.org/officeDocument/2006/relationships/image" Target="../media/image36.jpeg"/><Relationship Id="rId181" Type="http://schemas.openxmlformats.org/officeDocument/2006/relationships/image" Target="../media/image185.jpeg"/><Relationship Id="rId279" Type="http://schemas.openxmlformats.org/officeDocument/2006/relationships/image" Target="../media/image283.jpeg"/><Relationship Id="rId486" Type="http://schemas.openxmlformats.org/officeDocument/2006/relationships/image" Target="../media/image490.jpeg"/><Relationship Id="rId693" Type="http://schemas.openxmlformats.org/officeDocument/2006/relationships/image" Target="../media/image697.jpeg"/><Relationship Id="rId139" Type="http://schemas.openxmlformats.org/officeDocument/2006/relationships/image" Target="../media/image143.jpeg"/><Relationship Id="rId346" Type="http://schemas.openxmlformats.org/officeDocument/2006/relationships/image" Target="../media/image350.jpeg"/><Relationship Id="rId553" Type="http://schemas.openxmlformats.org/officeDocument/2006/relationships/image" Target="../media/image557.jpeg"/><Relationship Id="rId760" Type="http://schemas.openxmlformats.org/officeDocument/2006/relationships/image" Target="../media/image764.jpeg"/><Relationship Id="rId998" Type="http://schemas.openxmlformats.org/officeDocument/2006/relationships/image" Target="../media/image1002.jpeg"/><Relationship Id="rId206" Type="http://schemas.openxmlformats.org/officeDocument/2006/relationships/image" Target="../media/image210.jpeg"/><Relationship Id="rId413" Type="http://schemas.openxmlformats.org/officeDocument/2006/relationships/image" Target="../media/image417.jpeg"/><Relationship Id="rId858" Type="http://schemas.openxmlformats.org/officeDocument/2006/relationships/image" Target="../media/image862.jpeg"/><Relationship Id="rId1043" Type="http://schemas.openxmlformats.org/officeDocument/2006/relationships/image" Target="../media/image1047.jpeg"/><Relationship Id="rId620" Type="http://schemas.openxmlformats.org/officeDocument/2006/relationships/image" Target="../media/image624.jpeg"/><Relationship Id="rId718" Type="http://schemas.openxmlformats.org/officeDocument/2006/relationships/image" Target="../media/image722.jpeg"/><Relationship Id="rId925" Type="http://schemas.openxmlformats.org/officeDocument/2006/relationships/image" Target="../media/image929.jpeg"/><Relationship Id="rId54" Type="http://schemas.openxmlformats.org/officeDocument/2006/relationships/image" Target="../media/image58.jpeg"/><Relationship Id="rId270" Type="http://schemas.openxmlformats.org/officeDocument/2006/relationships/image" Target="../media/image274.jpeg"/><Relationship Id="rId130" Type="http://schemas.openxmlformats.org/officeDocument/2006/relationships/image" Target="../media/image134.jpeg"/><Relationship Id="rId368" Type="http://schemas.openxmlformats.org/officeDocument/2006/relationships/image" Target="../media/image372.jpeg"/><Relationship Id="rId575" Type="http://schemas.openxmlformats.org/officeDocument/2006/relationships/image" Target="../media/image579.jpeg"/><Relationship Id="rId782" Type="http://schemas.openxmlformats.org/officeDocument/2006/relationships/image" Target="../media/image786.jpeg"/><Relationship Id="rId228" Type="http://schemas.openxmlformats.org/officeDocument/2006/relationships/image" Target="../media/image232.jpeg"/><Relationship Id="rId435" Type="http://schemas.openxmlformats.org/officeDocument/2006/relationships/image" Target="../media/image439.jpeg"/><Relationship Id="rId642" Type="http://schemas.openxmlformats.org/officeDocument/2006/relationships/image" Target="../media/image646.jpeg"/><Relationship Id="rId1065" Type="http://schemas.openxmlformats.org/officeDocument/2006/relationships/image" Target="../media/image1069.jpeg"/><Relationship Id="rId502" Type="http://schemas.openxmlformats.org/officeDocument/2006/relationships/image" Target="../media/image506.jpeg"/><Relationship Id="rId947" Type="http://schemas.openxmlformats.org/officeDocument/2006/relationships/image" Target="../media/image951.jpeg"/><Relationship Id="rId76" Type="http://schemas.openxmlformats.org/officeDocument/2006/relationships/image" Target="../media/image80.jpeg"/><Relationship Id="rId807" Type="http://schemas.openxmlformats.org/officeDocument/2006/relationships/image" Target="../media/image811.jpeg"/><Relationship Id="rId292" Type="http://schemas.openxmlformats.org/officeDocument/2006/relationships/image" Target="../media/image296.jpeg"/><Relationship Id="rId597" Type="http://schemas.openxmlformats.org/officeDocument/2006/relationships/image" Target="../media/image601.jpeg"/></Relationships>
</file>

<file path=xl/drawings/_rels/drawing3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19.jpeg"/><Relationship Id="rId21" Type="http://schemas.openxmlformats.org/officeDocument/2006/relationships/image" Target="../media/image1129.jpeg"/><Relationship Id="rId42" Type="http://schemas.openxmlformats.org/officeDocument/2006/relationships/image" Target="../media/image1150.jpeg"/><Relationship Id="rId63" Type="http://schemas.openxmlformats.org/officeDocument/2006/relationships/image" Target="../media/image1166.jpeg"/><Relationship Id="rId84" Type="http://schemas.openxmlformats.org/officeDocument/2006/relationships/image" Target="../media/image1187.jpeg"/><Relationship Id="rId138" Type="http://schemas.openxmlformats.org/officeDocument/2006/relationships/image" Target="../media/image1240.jpeg"/><Relationship Id="rId159" Type="http://schemas.openxmlformats.org/officeDocument/2006/relationships/image" Target="../media/image1261.jpeg"/><Relationship Id="rId107" Type="http://schemas.openxmlformats.org/officeDocument/2006/relationships/image" Target="../media/image1209.jpeg"/><Relationship Id="rId11" Type="http://schemas.openxmlformats.org/officeDocument/2006/relationships/image" Target="../media/image1119.jpeg"/><Relationship Id="rId32" Type="http://schemas.openxmlformats.org/officeDocument/2006/relationships/image" Target="../media/image1140.jpeg"/><Relationship Id="rId53" Type="http://schemas.openxmlformats.org/officeDocument/2006/relationships/image" Target="../media/image1161.jpeg"/><Relationship Id="rId74" Type="http://schemas.openxmlformats.org/officeDocument/2006/relationships/image" Target="../media/image1177.jpeg"/><Relationship Id="rId128" Type="http://schemas.openxmlformats.org/officeDocument/2006/relationships/image" Target="../media/image1230.jpeg"/><Relationship Id="rId149" Type="http://schemas.openxmlformats.org/officeDocument/2006/relationships/image" Target="../media/image1251.png"/><Relationship Id="rId5" Type="http://schemas.openxmlformats.org/officeDocument/2006/relationships/image" Target="../media/image1113.jpeg"/><Relationship Id="rId95" Type="http://schemas.openxmlformats.org/officeDocument/2006/relationships/image" Target="../media/image1198.jpeg"/><Relationship Id="rId160" Type="http://schemas.openxmlformats.org/officeDocument/2006/relationships/image" Target="../media/image1262.jpeg"/><Relationship Id="rId22" Type="http://schemas.openxmlformats.org/officeDocument/2006/relationships/image" Target="../media/image1130.jpeg"/><Relationship Id="rId43" Type="http://schemas.openxmlformats.org/officeDocument/2006/relationships/image" Target="../media/image1151.jpeg"/><Relationship Id="rId64" Type="http://schemas.openxmlformats.org/officeDocument/2006/relationships/image" Target="../media/image1167.jpeg"/><Relationship Id="rId118" Type="http://schemas.openxmlformats.org/officeDocument/2006/relationships/image" Target="../media/image1220.jpeg"/><Relationship Id="rId139" Type="http://schemas.openxmlformats.org/officeDocument/2006/relationships/image" Target="../media/image1241.jpeg"/><Relationship Id="rId85" Type="http://schemas.openxmlformats.org/officeDocument/2006/relationships/image" Target="../media/image1188.jpeg"/><Relationship Id="rId150" Type="http://schemas.openxmlformats.org/officeDocument/2006/relationships/image" Target="../media/image1252.jpeg"/><Relationship Id="rId12" Type="http://schemas.openxmlformats.org/officeDocument/2006/relationships/image" Target="../media/image1120.jpeg"/><Relationship Id="rId17" Type="http://schemas.openxmlformats.org/officeDocument/2006/relationships/image" Target="../media/image1125.jpeg"/><Relationship Id="rId33" Type="http://schemas.openxmlformats.org/officeDocument/2006/relationships/image" Target="../media/image1141.jpeg"/><Relationship Id="rId38" Type="http://schemas.openxmlformats.org/officeDocument/2006/relationships/image" Target="../media/image1146.jpeg"/><Relationship Id="rId59" Type="http://schemas.openxmlformats.org/officeDocument/2006/relationships/image" Target="../media/image750.jpeg"/><Relationship Id="rId103" Type="http://schemas.openxmlformats.org/officeDocument/2006/relationships/image" Target="../media/image1205.jpeg"/><Relationship Id="rId108" Type="http://schemas.openxmlformats.org/officeDocument/2006/relationships/image" Target="../media/image1210.jpeg"/><Relationship Id="rId124" Type="http://schemas.openxmlformats.org/officeDocument/2006/relationships/image" Target="../media/image1226.jpeg"/><Relationship Id="rId129" Type="http://schemas.openxmlformats.org/officeDocument/2006/relationships/image" Target="../media/image1231.jpeg"/><Relationship Id="rId54" Type="http://schemas.openxmlformats.org/officeDocument/2006/relationships/image" Target="../media/image1162.jpeg"/><Relationship Id="rId70" Type="http://schemas.openxmlformats.org/officeDocument/2006/relationships/image" Target="../media/image1173.jpeg"/><Relationship Id="rId75" Type="http://schemas.openxmlformats.org/officeDocument/2006/relationships/image" Target="../media/image1178.jpeg"/><Relationship Id="rId91" Type="http://schemas.openxmlformats.org/officeDocument/2006/relationships/image" Target="../media/image1194.jpeg"/><Relationship Id="rId96" Type="http://schemas.openxmlformats.org/officeDocument/2006/relationships/image" Target="../media/image1199.jpeg"/><Relationship Id="rId140" Type="http://schemas.openxmlformats.org/officeDocument/2006/relationships/image" Target="../media/image1242.jpeg"/><Relationship Id="rId145" Type="http://schemas.openxmlformats.org/officeDocument/2006/relationships/image" Target="../media/image1247.jpeg"/><Relationship Id="rId161" Type="http://schemas.openxmlformats.org/officeDocument/2006/relationships/image" Target="../media/image1263.jpeg"/><Relationship Id="rId166" Type="http://schemas.openxmlformats.org/officeDocument/2006/relationships/image" Target="../media/image1268.jpeg"/><Relationship Id="rId1" Type="http://schemas.openxmlformats.org/officeDocument/2006/relationships/image" Target="../media/image5.png"/><Relationship Id="rId6" Type="http://schemas.openxmlformats.org/officeDocument/2006/relationships/image" Target="../media/image1114.jpeg"/><Relationship Id="rId23" Type="http://schemas.openxmlformats.org/officeDocument/2006/relationships/image" Target="../media/image1131.jpeg"/><Relationship Id="rId28" Type="http://schemas.openxmlformats.org/officeDocument/2006/relationships/image" Target="../media/image1136.jpeg"/><Relationship Id="rId49" Type="http://schemas.openxmlformats.org/officeDocument/2006/relationships/image" Target="../media/image1157.jpeg"/><Relationship Id="rId114" Type="http://schemas.openxmlformats.org/officeDocument/2006/relationships/image" Target="../media/image1216.jpeg"/><Relationship Id="rId119" Type="http://schemas.openxmlformats.org/officeDocument/2006/relationships/image" Target="../media/image1221.jpeg"/><Relationship Id="rId44" Type="http://schemas.openxmlformats.org/officeDocument/2006/relationships/image" Target="../media/image1152.jpeg"/><Relationship Id="rId60" Type="http://schemas.openxmlformats.org/officeDocument/2006/relationships/image" Target="../media/image1163.jpeg"/><Relationship Id="rId65" Type="http://schemas.openxmlformats.org/officeDocument/2006/relationships/image" Target="../media/image1168.jpeg"/><Relationship Id="rId81" Type="http://schemas.openxmlformats.org/officeDocument/2006/relationships/image" Target="../media/image1184.jpeg"/><Relationship Id="rId86" Type="http://schemas.openxmlformats.org/officeDocument/2006/relationships/image" Target="../media/image1189.png"/><Relationship Id="rId130" Type="http://schemas.openxmlformats.org/officeDocument/2006/relationships/image" Target="../media/image1232.jpeg"/><Relationship Id="rId135" Type="http://schemas.openxmlformats.org/officeDocument/2006/relationships/image" Target="../media/image1237.jpeg"/><Relationship Id="rId151" Type="http://schemas.openxmlformats.org/officeDocument/2006/relationships/image" Target="../media/image1253.jpeg"/><Relationship Id="rId156" Type="http://schemas.openxmlformats.org/officeDocument/2006/relationships/image" Target="../media/image1258.jpeg"/><Relationship Id="rId13" Type="http://schemas.openxmlformats.org/officeDocument/2006/relationships/image" Target="../media/image1121.jpeg"/><Relationship Id="rId18" Type="http://schemas.openxmlformats.org/officeDocument/2006/relationships/image" Target="../media/image1126.jpeg"/><Relationship Id="rId39" Type="http://schemas.openxmlformats.org/officeDocument/2006/relationships/image" Target="../media/image1147.jpeg"/><Relationship Id="rId109" Type="http://schemas.openxmlformats.org/officeDocument/2006/relationships/image" Target="../media/image1211.jpeg"/><Relationship Id="rId34" Type="http://schemas.openxmlformats.org/officeDocument/2006/relationships/image" Target="../media/image1142.jpeg"/><Relationship Id="rId50" Type="http://schemas.openxmlformats.org/officeDocument/2006/relationships/image" Target="../media/image1158.jpeg"/><Relationship Id="rId55" Type="http://schemas.openxmlformats.org/officeDocument/2006/relationships/image" Target="../media/image939.jpeg"/><Relationship Id="rId76" Type="http://schemas.openxmlformats.org/officeDocument/2006/relationships/image" Target="../media/image1179.jpeg"/><Relationship Id="rId97" Type="http://schemas.openxmlformats.org/officeDocument/2006/relationships/image" Target="../media/image1200.jpeg"/><Relationship Id="rId104" Type="http://schemas.openxmlformats.org/officeDocument/2006/relationships/image" Target="../media/image1206.jpeg"/><Relationship Id="rId120" Type="http://schemas.openxmlformats.org/officeDocument/2006/relationships/image" Target="../media/image1222.jpeg"/><Relationship Id="rId125" Type="http://schemas.openxmlformats.org/officeDocument/2006/relationships/image" Target="../media/image1227.jpeg"/><Relationship Id="rId141" Type="http://schemas.openxmlformats.org/officeDocument/2006/relationships/image" Target="../media/image1243.jpeg"/><Relationship Id="rId146" Type="http://schemas.openxmlformats.org/officeDocument/2006/relationships/image" Target="../media/image1248.jpeg"/><Relationship Id="rId167" Type="http://schemas.openxmlformats.org/officeDocument/2006/relationships/image" Target="../media/image1269.jpeg"/><Relationship Id="rId7" Type="http://schemas.openxmlformats.org/officeDocument/2006/relationships/image" Target="../media/image1115.jpeg"/><Relationship Id="rId71" Type="http://schemas.openxmlformats.org/officeDocument/2006/relationships/image" Target="../media/image1174.jpeg"/><Relationship Id="rId92" Type="http://schemas.openxmlformats.org/officeDocument/2006/relationships/image" Target="../media/image1195.jpeg"/><Relationship Id="rId162" Type="http://schemas.openxmlformats.org/officeDocument/2006/relationships/image" Target="../media/image1264.jpeg"/><Relationship Id="rId2" Type="http://schemas.openxmlformats.org/officeDocument/2006/relationships/image" Target="../media/image1110.jpeg"/><Relationship Id="rId29" Type="http://schemas.openxmlformats.org/officeDocument/2006/relationships/image" Target="../media/image1137.jpeg"/><Relationship Id="rId24" Type="http://schemas.openxmlformats.org/officeDocument/2006/relationships/image" Target="../media/image1132.jpeg"/><Relationship Id="rId40" Type="http://schemas.openxmlformats.org/officeDocument/2006/relationships/image" Target="../media/image1148.jpeg"/><Relationship Id="rId45" Type="http://schemas.openxmlformats.org/officeDocument/2006/relationships/image" Target="../media/image1153.jpeg"/><Relationship Id="rId66" Type="http://schemas.openxmlformats.org/officeDocument/2006/relationships/image" Target="../media/image1169.jpeg"/><Relationship Id="rId87" Type="http://schemas.openxmlformats.org/officeDocument/2006/relationships/image" Target="../media/image1190.jpeg"/><Relationship Id="rId110" Type="http://schemas.openxmlformats.org/officeDocument/2006/relationships/image" Target="../media/image1212.jpeg"/><Relationship Id="rId115" Type="http://schemas.openxmlformats.org/officeDocument/2006/relationships/image" Target="../media/image1217.jpeg"/><Relationship Id="rId131" Type="http://schemas.openxmlformats.org/officeDocument/2006/relationships/image" Target="../media/image1233.jpeg"/><Relationship Id="rId136" Type="http://schemas.openxmlformats.org/officeDocument/2006/relationships/image" Target="../media/image1238.png"/><Relationship Id="rId157" Type="http://schemas.openxmlformats.org/officeDocument/2006/relationships/image" Target="../media/image1259.jpeg"/><Relationship Id="rId61" Type="http://schemas.openxmlformats.org/officeDocument/2006/relationships/image" Target="../media/image1164.jpeg"/><Relationship Id="rId82" Type="http://schemas.openxmlformats.org/officeDocument/2006/relationships/image" Target="../media/image1185.jpeg"/><Relationship Id="rId152" Type="http://schemas.openxmlformats.org/officeDocument/2006/relationships/image" Target="../media/image1254.jpeg"/><Relationship Id="rId19" Type="http://schemas.openxmlformats.org/officeDocument/2006/relationships/image" Target="../media/image1127.jpeg"/><Relationship Id="rId14" Type="http://schemas.openxmlformats.org/officeDocument/2006/relationships/image" Target="../media/image1122.jpeg"/><Relationship Id="rId30" Type="http://schemas.openxmlformats.org/officeDocument/2006/relationships/image" Target="../media/image1138.jpeg"/><Relationship Id="rId35" Type="http://schemas.openxmlformats.org/officeDocument/2006/relationships/image" Target="../media/image1143.jpeg"/><Relationship Id="rId56" Type="http://schemas.openxmlformats.org/officeDocument/2006/relationships/image" Target="../media/image948.jpeg"/><Relationship Id="rId77" Type="http://schemas.openxmlformats.org/officeDocument/2006/relationships/image" Target="../media/image1180.jpeg"/><Relationship Id="rId100" Type="http://schemas.openxmlformats.org/officeDocument/2006/relationships/image" Target="../media/image1203.jpeg"/><Relationship Id="rId105" Type="http://schemas.openxmlformats.org/officeDocument/2006/relationships/image" Target="../media/image1207.jpeg"/><Relationship Id="rId126" Type="http://schemas.openxmlformats.org/officeDocument/2006/relationships/image" Target="../media/image1228.jpeg"/><Relationship Id="rId147" Type="http://schemas.openxmlformats.org/officeDocument/2006/relationships/image" Target="../media/image1249.jpeg"/><Relationship Id="rId8" Type="http://schemas.openxmlformats.org/officeDocument/2006/relationships/image" Target="../media/image1116.jpeg"/><Relationship Id="rId51" Type="http://schemas.openxmlformats.org/officeDocument/2006/relationships/image" Target="../media/image1159.jpeg"/><Relationship Id="rId72" Type="http://schemas.openxmlformats.org/officeDocument/2006/relationships/image" Target="../media/image1175.jpeg"/><Relationship Id="rId93" Type="http://schemas.openxmlformats.org/officeDocument/2006/relationships/image" Target="../media/image1196.jpeg"/><Relationship Id="rId98" Type="http://schemas.openxmlformats.org/officeDocument/2006/relationships/image" Target="../media/image1201.jpeg"/><Relationship Id="rId121" Type="http://schemas.openxmlformats.org/officeDocument/2006/relationships/image" Target="../media/image1223.jpeg"/><Relationship Id="rId142" Type="http://schemas.openxmlformats.org/officeDocument/2006/relationships/image" Target="../media/image1244.jpeg"/><Relationship Id="rId163" Type="http://schemas.openxmlformats.org/officeDocument/2006/relationships/image" Target="../media/image1265.jpeg"/><Relationship Id="rId3" Type="http://schemas.openxmlformats.org/officeDocument/2006/relationships/image" Target="../media/image1111.jpeg"/><Relationship Id="rId25" Type="http://schemas.openxmlformats.org/officeDocument/2006/relationships/image" Target="../media/image1133.jpeg"/><Relationship Id="rId46" Type="http://schemas.openxmlformats.org/officeDocument/2006/relationships/image" Target="../media/image1154.jpeg"/><Relationship Id="rId67" Type="http://schemas.openxmlformats.org/officeDocument/2006/relationships/image" Target="../media/image1170.jpeg"/><Relationship Id="rId116" Type="http://schemas.openxmlformats.org/officeDocument/2006/relationships/image" Target="../media/image1218.jpeg"/><Relationship Id="rId137" Type="http://schemas.openxmlformats.org/officeDocument/2006/relationships/image" Target="../media/image1239.jpeg"/><Relationship Id="rId158" Type="http://schemas.openxmlformats.org/officeDocument/2006/relationships/image" Target="../media/image1260.jpeg"/><Relationship Id="rId20" Type="http://schemas.openxmlformats.org/officeDocument/2006/relationships/image" Target="../media/image1128.jpeg"/><Relationship Id="rId41" Type="http://schemas.openxmlformats.org/officeDocument/2006/relationships/image" Target="../media/image1149.jpeg"/><Relationship Id="rId62" Type="http://schemas.openxmlformats.org/officeDocument/2006/relationships/image" Target="../media/image1165.jpeg"/><Relationship Id="rId83" Type="http://schemas.openxmlformats.org/officeDocument/2006/relationships/image" Target="../media/image1186.jpeg"/><Relationship Id="rId88" Type="http://schemas.openxmlformats.org/officeDocument/2006/relationships/image" Target="../media/image1191.jpeg"/><Relationship Id="rId111" Type="http://schemas.openxmlformats.org/officeDocument/2006/relationships/image" Target="../media/image1213.jpeg"/><Relationship Id="rId132" Type="http://schemas.openxmlformats.org/officeDocument/2006/relationships/image" Target="../media/image1234.jpeg"/><Relationship Id="rId153" Type="http://schemas.openxmlformats.org/officeDocument/2006/relationships/image" Target="../media/image1255.jpeg"/><Relationship Id="rId15" Type="http://schemas.openxmlformats.org/officeDocument/2006/relationships/image" Target="../media/image1123.jpeg"/><Relationship Id="rId36" Type="http://schemas.openxmlformats.org/officeDocument/2006/relationships/image" Target="../media/image1144.jpeg"/><Relationship Id="rId57" Type="http://schemas.openxmlformats.org/officeDocument/2006/relationships/image" Target="../media/image749.jpeg"/><Relationship Id="rId106" Type="http://schemas.openxmlformats.org/officeDocument/2006/relationships/image" Target="../media/image1208.jpeg"/><Relationship Id="rId127" Type="http://schemas.openxmlformats.org/officeDocument/2006/relationships/image" Target="../media/image1229.jpeg"/><Relationship Id="rId10" Type="http://schemas.openxmlformats.org/officeDocument/2006/relationships/image" Target="../media/image1118.jpeg"/><Relationship Id="rId31" Type="http://schemas.openxmlformats.org/officeDocument/2006/relationships/image" Target="../media/image1139.jpeg"/><Relationship Id="rId52" Type="http://schemas.openxmlformats.org/officeDocument/2006/relationships/image" Target="../media/image1160.jpeg"/><Relationship Id="rId73" Type="http://schemas.openxmlformats.org/officeDocument/2006/relationships/image" Target="../media/image1176.jpeg"/><Relationship Id="rId78" Type="http://schemas.openxmlformats.org/officeDocument/2006/relationships/image" Target="../media/image1181.jpeg"/><Relationship Id="rId94" Type="http://schemas.openxmlformats.org/officeDocument/2006/relationships/image" Target="../media/image1197.jpeg"/><Relationship Id="rId99" Type="http://schemas.openxmlformats.org/officeDocument/2006/relationships/image" Target="../media/image1202.jpeg"/><Relationship Id="rId101" Type="http://schemas.openxmlformats.org/officeDocument/2006/relationships/image" Target="../media/image766.jpeg"/><Relationship Id="rId122" Type="http://schemas.openxmlformats.org/officeDocument/2006/relationships/image" Target="../media/image1224.jpeg"/><Relationship Id="rId143" Type="http://schemas.openxmlformats.org/officeDocument/2006/relationships/image" Target="../media/image1245.jpeg"/><Relationship Id="rId148" Type="http://schemas.openxmlformats.org/officeDocument/2006/relationships/image" Target="../media/image1250.jpeg"/><Relationship Id="rId164" Type="http://schemas.openxmlformats.org/officeDocument/2006/relationships/image" Target="../media/image1266.jpeg"/><Relationship Id="rId4" Type="http://schemas.openxmlformats.org/officeDocument/2006/relationships/image" Target="../media/image1112.jpeg"/><Relationship Id="rId9" Type="http://schemas.openxmlformats.org/officeDocument/2006/relationships/image" Target="../media/image1117.jpeg"/><Relationship Id="rId26" Type="http://schemas.openxmlformats.org/officeDocument/2006/relationships/image" Target="../media/image1134.jpeg"/><Relationship Id="rId47" Type="http://schemas.openxmlformats.org/officeDocument/2006/relationships/image" Target="../media/image1155.jpeg"/><Relationship Id="rId68" Type="http://schemas.openxmlformats.org/officeDocument/2006/relationships/image" Target="../media/image1171.jpeg"/><Relationship Id="rId89" Type="http://schemas.openxmlformats.org/officeDocument/2006/relationships/image" Target="../media/image1192.jpeg"/><Relationship Id="rId112" Type="http://schemas.openxmlformats.org/officeDocument/2006/relationships/image" Target="../media/image1214.jpeg"/><Relationship Id="rId133" Type="http://schemas.openxmlformats.org/officeDocument/2006/relationships/image" Target="../media/image1235.jpeg"/><Relationship Id="rId154" Type="http://schemas.openxmlformats.org/officeDocument/2006/relationships/image" Target="../media/image1256.jpeg"/><Relationship Id="rId16" Type="http://schemas.openxmlformats.org/officeDocument/2006/relationships/image" Target="../media/image1124.jpeg"/><Relationship Id="rId37" Type="http://schemas.openxmlformats.org/officeDocument/2006/relationships/image" Target="../media/image1145.jpeg"/><Relationship Id="rId58" Type="http://schemas.openxmlformats.org/officeDocument/2006/relationships/image" Target="../media/image754.jpeg"/><Relationship Id="rId79" Type="http://schemas.openxmlformats.org/officeDocument/2006/relationships/image" Target="../media/image1182.jpeg"/><Relationship Id="rId102" Type="http://schemas.openxmlformats.org/officeDocument/2006/relationships/image" Target="../media/image1204.jpeg"/><Relationship Id="rId123" Type="http://schemas.openxmlformats.org/officeDocument/2006/relationships/image" Target="../media/image1225.jpeg"/><Relationship Id="rId144" Type="http://schemas.openxmlformats.org/officeDocument/2006/relationships/image" Target="../media/image1246.jpeg"/><Relationship Id="rId90" Type="http://schemas.openxmlformats.org/officeDocument/2006/relationships/image" Target="../media/image1193.jpeg"/><Relationship Id="rId165" Type="http://schemas.openxmlformats.org/officeDocument/2006/relationships/image" Target="../media/image1267.jpeg"/><Relationship Id="rId27" Type="http://schemas.openxmlformats.org/officeDocument/2006/relationships/image" Target="../media/image1135.jpeg"/><Relationship Id="rId48" Type="http://schemas.openxmlformats.org/officeDocument/2006/relationships/image" Target="../media/image1156.jpeg"/><Relationship Id="rId69" Type="http://schemas.openxmlformats.org/officeDocument/2006/relationships/image" Target="../media/image1172.jpeg"/><Relationship Id="rId113" Type="http://schemas.openxmlformats.org/officeDocument/2006/relationships/image" Target="../media/image1215.jpeg"/><Relationship Id="rId134" Type="http://schemas.openxmlformats.org/officeDocument/2006/relationships/image" Target="../media/image1236.jpeg"/><Relationship Id="rId80" Type="http://schemas.openxmlformats.org/officeDocument/2006/relationships/image" Target="../media/image1183.jpeg"/><Relationship Id="rId155" Type="http://schemas.openxmlformats.org/officeDocument/2006/relationships/image" Target="../media/image1257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6351</xdr:colOff>
      <xdr:row>1</xdr:row>
      <xdr:rowOff>146050</xdr:rowOff>
    </xdr:from>
    <xdr:ext cx="6779792" cy="1146450"/>
    <xdr:pic>
      <xdr:nvPicPr>
        <xdr:cNvPr id="2" name="Obraz 1">
          <a:extLst>
            <a:ext uri="{FF2B5EF4-FFF2-40B4-BE49-F238E27FC236}">
              <a16:creationId xmlns:a16="http://schemas.microsoft.com/office/drawing/2014/main" id="{1D34643B-6FE3-4DD3-AD17-C33996E82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5951" y="1289050"/>
          <a:ext cx="6779792" cy="1146450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171450</xdr:colOff>
      <xdr:row>0</xdr:row>
      <xdr:rowOff>0</xdr:rowOff>
    </xdr:from>
    <xdr:to>
      <xdr:col>2</xdr:col>
      <xdr:colOff>286649</xdr:colOff>
      <xdr:row>0</xdr:row>
      <xdr:rowOff>510659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97288B9E-D0E4-4321-A2DF-42B3A4043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0"/>
          <a:ext cx="1774031" cy="514469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</xdr:row>
      <xdr:rowOff>760942</xdr:rowOff>
    </xdr:from>
    <xdr:to>
      <xdr:col>0</xdr:col>
      <xdr:colOff>871538</xdr:colOff>
      <xdr:row>5</xdr:row>
      <xdr:rowOff>760942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552B3589-2137-F9D0-848F-C591D56DF6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</xdr:row>
      <xdr:rowOff>760942</xdr:rowOff>
    </xdr:from>
    <xdr:to>
      <xdr:col>0</xdr:col>
      <xdr:colOff>871538</xdr:colOff>
      <xdr:row>6</xdr:row>
      <xdr:rowOff>760942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92061E63-785D-7924-0384-B90091BD51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</xdr:row>
      <xdr:rowOff>760942</xdr:rowOff>
    </xdr:from>
    <xdr:to>
      <xdr:col>0</xdr:col>
      <xdr:colOff>871538</xdr:colOff>
      <xdr:row>7</xdr:row>
      <xdr:rowOff>760942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0CDEB3E7-F8A7-B5BE-997F-A75BC5C32F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</xdr:row>
      <xdr:rowOff>760942</xdr:rowOff>
    </xdr:from>
    <xdr:to>
      <xdr:col>0</xdr:col>
      <xdr:colOff>871538</xdr:colOff>
      <xdr:row>8</xdr:row>
      <xdr:rowOff>760942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DADC8D81-26BB-C15B-390C-C33AB7BD14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6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</xdr:row>
      <xdr:rowOff>760942</xdr:rowOff>
    </xdr:from>
    <xdr:to>
      <xdr:col>0</xdr:col>
      <xdr:colOff>871538</xdr:colOff>
      <xdr:row>9</xdr:row>
      <xdr:rowOff>760942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010177F5-8FD5-6F75-2D06-FAC3BFA1D5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</xdr:row>
      <xdr:rowOff>760942</xdr:rowOff>
    </xdr:from>
    <xdr:to>
      <xdr:col>0</xdr:col>
      <xdr:colOff>871538</xdr:colOff>
      <xdr:row>10</xdr:row>
      <xdr:rowOff>760942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EB785906-1301-EBAC-1945-3E1AE64A29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</xdr:row>
      <xdr:rowOff>760942</xdr:rowOff>
    </xdr:from>
    <xdr:to>
      <xdr:col>0</xdr:col>
      <xdr:colOff>871538</xdr:colOff>
      <xdr:row>11</xdr:row>
      <xdr:rowOff>760942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CAB5BC92-C424-ADE2-0C14-82B8211CF6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</xdr:row>
      <xdr:rowOff>760942</xdr:rowOff>
    </xdr:from>
    <xdr:to>
      <xdr:col>0</xdr:col>
      <xdr:colOff>871538</xdr:colOff>
      <xdr:row>12</xdr:row>
      <xdr:rowOff>760942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C11FD6B6-F144-95C5-C2BE-B233CA9ADF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6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</xdr:row>
      <xdr:rowOff>760942</xdr:rowOff>
    </xdr:from>
    <xdr:to>
      <xdr:col>0</xdr:col>
      <xdr:colOff>871538</xdr:colOff>
      <xdr:row>13</xdr:row>
      <xdr:rowOff>760942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3574503B-DA93-073C-1CED-502560FE87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4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</xdr:row>
      <xdr:rowOff>760942</xdr:rowOff>
    </xdr:from>
    <xdr:to>
      <xdr:col>0</xdr:col>
      <xdr:colOff>871538</xdr:colOff>
      <xdr:row>14</xdr:row>
      <xdr:rowOff>760942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2D2434C3-AC33-F474-A5AF-A1119CFAC2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2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</xdr:row>
      <xdr:rowOff>760942</xdr:rowOff>
    </xdr:from>
    <xdr:to>
      <xdr:col>0</xdr:col>
      <xdr:colOff>871538</xdr:colOff>
      <xdr:row>15</xdr:row>
      <xdr:rowOff>760942</xdr:rowOff>
    </xdr:to>
    <xdr:pic>
      <xdr:nvPicPr>
        <xdr:cNvPr id="24" name="Obraz 23">
          <a:extLst>
            <a:ext uri="{FF2B5EF4-FFF2-40B4-BE49-F238E27FC236}">
              <a16:creationId xmlns:a16="http://schemas.microsoft.com/office/drawing/2014/main" id="{63E2919B-C4D6-FF51-2272-EAB84B3050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9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</xdr:row>
      <xdr:rowOff>760942</xdr:rowOff>
    </xdr:from>
    <xdr:to>
      <xdr:col>0</xdr:col>
      <xdr:colOff>871538</xdr:colOff>
      <xdr:row>16</xdr:row>
      <xdr:rowOff>760942</xdr:rowOff>
    </xdr:to>
    <xdr:pic>
      <xdr:nvPicPr>
        <xdr:cNvPr id="26" name="Obraz 25">
          <a:extLst>
            <a:ext uri="{FF2B5EF4-FFF2-40B4-BE49-F238E27FC236}">
              <a16:creationId xmlns:a16="http://schemas.microsoft.com/office/drawing/2014/main" id="{239DEB47-33B5-8268-419A-1B56D46029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7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</xdr:row>
      <xdr:rowOff>760942</xdr:rowOff>
    </xdr:from>
    <xdr:to>
      <xdr:col>0</xdr:col>
      <xdr:colOff>871538</xdr:colOff>
      <xdr:row>17</xdr:row>
      <xdr:rowOff>760942</xdr:rowOff>
    </xdr:to>
    <xdr:pic>
      <xdr:nvPicPr>
        <xdr:cNvPr id="28" name="Obraz 27">
          <a:extLst>
            <a:ext uri="{FF2B5EF4-FFF2-40B4-BE49-F238E27FC236}">
              <a16:creationId xmlns:a16="http://schemas.microsoft.com/office/drawing/2014/main" id="{01BFF2CD-8594-CBE3-97FB-CC937CBB7E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4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</xdr:row>
      <xdr:rowOff>760942</xdr:rowOff>
    </xdr:from>
    <xdr:to>
      <xdr:col>0</xdr:col>
      <xdr:colOff>871538</xdr:colOff>
      <xdr:row>18</xdr:row>
      <xdr:rowOff>760942</xdr:rowOff>
    </xdr:to>
    <xdr:pic>
      <xdr:nvPicPr>
        <xdr:cNvPr id="30" name="Obraz 29">
          <a:extLst>
            <a:ext uri="{FF2B5EF4-FFF2-40B4-BE49-F238E27FC236}">
              <a16:creationId xmlns:a16="http://schemas.microsoft.com/office/drawing/2014/main" id="{4F2323EB-E940-2E74-91A8-EEFA196648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2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</xdr:row>
      <xdr:rowOff>760942</xdr:rowOff>
    </xdr:from>
    <xdr:to>
      <xdr:col>0</xdr:col>
      <xdr:colOff>871538</xdr:colOff>
      <xdr:row>19</xdr:row>
      <xdr:rowOff>760942</xdr:rowOff>
    </xdr:to>
    <xdr:pic>
      <xdr:nvPicPr>
        <xdr:cNvPr id="32" name="Obraz 31">
          <a:extLst>
            <a:ext uri="{FF2B5EF4-FFF2-40B4-BE49-F238E27FC236}">
              <a16:creationId xmlns:a16="http://schemas.microsoft.com/office/drawing/2014/main" id="{D4AD6847-559F-8B3E-50B8-5EB836E0BE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0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</xdr:row>
      <xdr:rowOff>760942</xdr:rowOff>
    </xdr:from>
    <xdr:to>
      <xdr:col>0</xdr:col>
      <xdr:colOff>871538</xdr:colOff>
      <xdr:row>20</xdr:row>
      <xdr:rowOff>760942</xdr:rowOff>
    </xdr:to>
    <xdr:pic>
      <xdr:nvPicPr>
        <xdr:cNvPr id="34" name="Obraz 33">
          <a:extLst>
            <a:ext uri="{FF2B5EF4-FFF2-40B4-BE49-F238E27FC236}">
              <a16:creationId xmlns:a16="http://schemas.microsoft.com/office/drawing/2014/main" id="{8B421BC3-1124-8C8E-E98B-85B831DB83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7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</xdr:row>
      <xdr:rowOff>760942</xdr:rowOff>
    </xdr:from>
    <xdr:to>
      <xdr:col>0</xdr:col>
      <xdr:colOff>871538</xdr:colOff>
      <xdr:row>21</xdr:row>
      <xdr:rowOff>760942</xdr:rowOff>
    </xdr:to>
    <xdr:pic>
      <xdr:nvPicPr>
        <xdr:cNvPr id="36" name="Obraz 35">
          <a:extLst>
            <a:ext uri="{FF2B5EF4-FFF2-40B4-BE49-F238E27FC236}">
              <a16:creationId xmlns:a16="http://schemas.microsoft.com/office/drawing/2014/main" id="{2D6E152D-75D9-9A59-3F5B-E0E5EEA7F4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5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</xdr:row>
      <xdr:rowOff>760942</xdr:rowOff>
    </xdr:from>
    <xdr:to>
      <xdr:col>0</xdr:col>
      <xdr:colOff>871538</xdr:colOff>
      <xdr:row>22</xdr:row>
      <xdr:rowOff>760942</xdr:rowOff>
    </xdr:to>
    <xdr:pic>
      <xdr:nvPicPr>
        <xdr:cNvPr id="38" name="Obraz 37">
          <a:extLst>
            <a:ext uri="{FF2B5EF4-FFF2-40B4-BE49-F238E27FC236}">
              <a16:creationId xmlns:a16="http://schemas.microsoft.com/office/drawing/2014/main" id="{E93F5527-6F61-848F-7731-54B1F6FA08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2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22</xdr:row>
      <xdr:rowOff>760942</xdr:rowOff>
    </xdr:from>
    <xdr:to>
      <xdr:col>0</xdr:col>
      <xdr:colOff>871538</xdr:colOff>
      <xdr:row>23</xdr:row>
      <xdr:rowOff>760942</xdr:rowOff>
    </xdr:to>
    <xdr:pic>
      <xdr:nvPicPr>
        <xdr:cNvPr id="40" name="Obraz 39">
          <a:extLst>
            <a:ext uri="{FF2B5EF4-FFF2-40B4-BE49-F238E27FC236}">
              <a16:creationId xmlns:a16="http://schemas.microsoft.com/office/drawing/2014/main" id="{8E83C726-B2A7-D03F-BEF1-EB2BF3DC5D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70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23</xdr:row>
      <xdr:rowOff>760942</xdr:rowOff>
    </xdr:from>
    <xdr:to>
      <xdr:col>0</xdr:col>
      <xdr:colOff>871538</xdr:colOff>
      <xdr:row>24</xdr:row>
      <xdr:rowOff>760942</xdr:rowOff>
    </xdr:to>
    <xdr:pic>
      <xdr:nvPicPr>
        <xdr:cNvPr id="42" name="Obraz 41">
          <a:extLst>
            <a:ext uri="{FF2B5EF4-FFF2-40B4-BE49-F238E27FC236}">
              <a16:creationId xmlns:a16="http://schemas.microsoft.com/office/drawing/2014/main" id="{330B6282-5160-122B-42B1-1E4248F2D3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78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24</xdr:row>
      <xdr:rowOff>760942</xdr:rowOff>
    </xdr:from>
    <xdr:to>
      <xdr:col>0</xdr:col>
      <xdr:colOff>871538</xdr:colOff>
      <xdr:row>25</xdr:row>
      <xdr:rowOff>760942</xdr:rowOff>
    </xdr:to>
    <xdr:pic>
      <xdr:nvPicPr>
        <xdr:cNvPr id="44" name="Obraz 43">
          <a:extLst>
            <a:ext uri="{FF2B5EF4-FFF2-40B4-BE49-F238E27FC236}">
              <a16:creationId xmlns:a16="http://schemas.microsoft.com/office/drawing/2014/main" id="{9ABBC39F-4E9C-6E95-BB51-4E22524FD2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5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25</xdr:row>
      <xdr:rowOff>760942</xdr:rowOff>
    </xdr:from>
    <xdr:to>
      <xdr:col>0</xdr:col>
      <xdr:colOff>871538</xdr:colOff>
      <xdr:row>26</xdr:row>
      <xdr:rowOff>760942</xdr:rowOff>
    </xdr:to>
    <xdr:pic>
      <xdr:nvPicPr>
        <xdr:cNvPr id="46" name="Obraz 45">
          <a:extLst>
            <a:ext uri="{FF2B5EF4-FFF2-40B4-BE49-F238E27FC236}">
              <a16:creationId xmlns:a16="http://schemas.microsoft.com/office/drawing/2014/main" id="{C28E72A3-A63E-8FCB-12B7-B5A20AA28E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3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26</xdr:row>
      <xdr:rowOff>760942</xdr:rowOff>
    </xdr:from>
    <xdr:to>
      <xdr:col>0</xdr:col>
      <xdr:colOff>871538</xdr:colOff>
      <xdr:row>27</xdr:row>
      <xdr:rowOff>760942</xdr:rowOff>
    </xdr:to>
    <xdr:pic>
      <xdr:nvPicPr>
        <xdr:cNvPr id="48" name="Obraz 47">
          <a:extLst>
            <a:ext uri="{FF2B5EF4-FFF2-40B4-BE49-F238E27FC236}">
              <a16:creationId xmlns:a16="http://schemas.microsoft.com/office/drawing/2014/main" id="{1675E36E-57A3-546B-9D18-DD6B45ED23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1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27</xdr:row>
      <xdr:rowOff>760942</xdr:rowOff>
    </xdr:from>
    <xdr:to>
      <xdr:col>0</xdr:col>
      <xdr:colOff>871538</xdr:colOff>
      <xdr:row>28</xdr:row>
      <xdr:rowOff>760942</xdr:rowOff>
    </xdr:to>
    <xdr:pic>
      <xdr:nvPicPr>
        <xdr:cNvPr id="50" name="Obraz 49">
          <a:extLst>
            <a:ext uri="{FF2B5EF4-FFF2-40B4-BE49-F238E27FC236}">
              <a16:creationId xmlns:a16="http://schemas.microsoft.com/office/drawing/2014/main" id="{B82AA272-6658-100A-B3D6-82D634038D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8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28</xdr:row>
      <xdr:rowOff>760942</xdr:rowOff>
    </xdr:from>
    <xdr:to>
      <xdr:col>0</xdr:col>
      <xdr:colOff>871538</xdr:colOff>
      <xdr:row>29</xdr:row>
      <xdr:rowOff>760942</xdr:rowOff>
    </xdr:to>
    <xdr:pic>
      <xdr:nvPicPr>
        <xdr:cNvPr id="52" name="Obraz 51">
          <a:extLst>
            <a:ext uri="{FF2B5EF4-FFF2-40B4-BE49-F238E27FC236}">
              <a16:creationId xmlns:a16="http://schemas.microsoft.com/office/drawing/2014/main" id="{AE4EB91F-20DA-B531-7B34-3AA0157104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6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29</xdr:row>
      <xdr:rowOff>760942</xdr:rowOff>
    </xdr:from>
    <xdr:to>
      <xdr:col>0</xdr:col>
      <xdr:colOff>871538</xdr:colOff>
      <xdr:row>30</xdr:row>
      <xdr:rowOff>760942</xdr:rowOff>
    </xdr:to>
    <xdr:pic>
      <xdr:nvPicPr>
        <xdr:cNvPr id="54" name="Obraz 53">
          <a:extLst>
            <a:ext uri="{FF2B5EF4-FFF2-40B4-BE49-F238E27FC236}">
              <a16:creationId xmlns:a16="http://schemas.microsoft.com/office/drawing/2014/main" id="{F78FDCBE-FB0C-24FC-2E7B-C96716D9B1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23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30</xdr:row>
      <xdr:rowOff>760942</xdr:rowOff>
    </xdr:from>
    <xdr:to>
      <xdr:col>0</xdr:col>
      <xdr:colOff>871538</xdr:colOff>
      <xdr:row>31</xdr:row>
      <xdr:rowOff>760942</xdr:rowOff>
    </xdr:to>
    <xdr:pic>
      <xdr:nvPicPr>
        <xdr:cNvPr id="56" name="Obraz 55">
          <a:extLst>
            <a:ext uri="{FF2B5EF4-FFF2-40B4-BE49-F238E27FC236}">
              <a16:creationId xmlns:a16="http://schemas.microsoft.com/office/drawing/2014/main" id="{D7D8CC8D-D67B-CC3C-AFEE-BC590087E8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1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31</xdr:row>
      <xdr:rowOff>760942</xdr:rowOff>
    </xdr:from>
    <xdr:to>
      <xdr:col>0</xdr:col>
      <xdr:colOff>871538</xdr:colOff>
      <xdr:row>32</xdr:row>
      <xdr:rowOff>760942</xdr:rowOff>
    </xdr:to>
    <xdr:pic>
      <xdr:nvPicPr>
        <xdr:cNvPr id="58" name="Obraz 57">
          <a:extLst>
            <a:ext uri="{FF2B5EF4-FFF2-40B4-BE49-F238E27FC236}">
              <a16:creationId xmlns:a16="http://schemas.microsoft.com/office/drawing/2014/main" id="{25C3BA81-E852-42DC-6CC7-AE7751524C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9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32</xdr:row>
      <xdr:rowOff>760942</xdr:rowOff>
    </xdr:from>
    <xdr:to>
      <xdr:col>0</xdr:col>
      <xdr:colOff>871538</xdr:colOff>
      <xdr:row>33</xdr:row>
      <xdr:rowOff>760942</xdr:rowOff>
    </xdr:to>
    <xdr:pic>
      <xdr:nvPicPr>
        <xdr:cNvPr id="60" name="Obraz 59">
          <a:extLst>
            <a:ext uri="{FF2B5EF4-FFF2-40B4-BE49-F238E27FC236}">
              <a16:creationId xmlns:a16="http://schemas.microsoft.com/office/drawing/2014/main" id="{B5946BA7-3B0A-9BAD-9454-C03FC4BB85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6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33</xdr:row>
      <xdr:rowOff>760942</xdr:rowOff>
    </xdr:from>
    <xdr:to>
      <xdr:col>0</xdr:col>
      <xdr:colOff>871538</xdr:colOff>
      <xdr:row>34</xdr:row>
      <xdr:rowOff>760942</xdr:rowOff>
    </xdr:to>
    <xdr:pic>
      <xdr:nvPicPr>
        <xdr:cNvPr id="62" name="Obraz 61">
          <a:extLst>
            <a:ext uri="{FF2B5EF4-FFF2-40B4-BE49-F238E27FC236}">
              <a16:creationId xmlns:a16="http://schemas.microsoft.com/office/drawing/2014/main" id="{A4DA6055-2C68-2414-0A48-E6BC6B5297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4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34</xdr:row>
      <xdr:rowOff>760942</xdr:rowOff>
    </xdr:from>
    <xdr:to>
      <xdr:col>0</xdr:col>
      <xdr:colOff>871538</xdr:colOff>
      <xdr:row>35</xdr:row>
      <xdr:rowOff>760942</xdr:rowOff>
    </xdr:to>
    <xdr:pic>
      <xdr:nvPicPr>
        <xdr:cNvPr id="64" name="Obraz 63">
          <a:extLst>
            <a:ext uri="{FF2B5EF4-FFF2-40B4-BE49-F238E27FC236}">
              <a16:creationId xmlns:a16="http://schemas.microsoft.com/office/drawing/2014/main" id="{37730574-A1C0-2321-6F20-5409389338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2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35</xdr:row>
      <xdr:rowOff>760942</xdr:rowOff>
    </xdr:from>
    <xdr:to>
      <xdr:col>0</xdr:col>
      <xdr:colOff>871538</xdr:colOff>
      <xdr:row>36</xdr:row>
      <xdr:rowOff>760942</xdr:rowOff>
    </xdr:to>
    <xdr:pic>
      <xdr:nvPicPr>
        <xdr:cNvPr id="66" name="Obraz 65">
          <a:extLst>
            <a:ext uri="{FF2B5EF4-FFF2-40B4-BE49-F238E27FC236}">
              <a16:creationId xmlns:a16="http://schemas.microsoft.com/office/drawing/2014/main" id="{0D8E1689-033D-B4AB-1DC4-1C459034DF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9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36</xdr:row>
      <xdr:rowOff>760942</xdr:rowOff>
    </xdr:from>
    <xdr:to>
      <xdr:col>0</xdr:col>
      <xdr:colOff>871538</xdr:colOff>
      <xdr:row>37</xdr:row>
      <xdr:rowOff>760942</xdr:rowOff>
    </xdr:to>
    <xdr:pic>
      <xdr:nvPicPr>
        <xdr:cNvPr id="68" name="Obraz 67">
          <a:extLst>
            <a:ext uri="{FF2B5EF4-FFF2-40B4-BE49-F238E27FC236}">
              <a16:creationId xmlns:a16="http://schemas.microsoft.com/office/drawing/2014/main" id="{2FC78E2C-6E42-C5E6-5BE8-204AA7B586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7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37</xdr:row>
      <xdr:rowOff>760942</xdr:rowOff>
    </xdr:from>
    <xdr:to>
      <xdr:col>0</xdr:col>
      <xdr:colOff>871538</xdr:colOff>
      <xdr:row>38</xdr:row>
      <xdr:rowOff>760942</xdr:rowOff>
    </xdr:to>
    <xdr:pic>
      <xdr:nvPicPr>
        <xdr:cNvPr id="70" name="Obraz 69">
          <a:extLst>
            <a:ext uri="{FF2B5EF4-FFF2-40B4-BE49-F238E27FC236}">
              <a16:creationId xmlns:a16="http://schemas.microsoft.com/office/drawing/2014/main" id="{325F33E0-2FAB-AA53-2961-50CAB3FC47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84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38</xdr:row>
      <xdr:rowOff>760942</xdr:rowOff>
    </xdr:from>
    <xdr:to>
      <xdr:col>0</xdr:col>
      <xdr:colOff>871538</xdr:colOff>
      <xdr:row>39</xdr:row>
      <xdr:rowOff>760942</xdr:rowOff>
    </xdr:to>
    <xdr:pic>
      <xdr:nvPicPr>
        <xdr:cNvPr id="72" name="Obraz 71">
          <a:extLst>
            <a:ext uri="{FF2B5EF4-FFF2-40B4-BE49-F238E27FC236}">
              <a16:creationId xmlns:a16="http://schemas.microsoft.com/office/drawing/2014/main" id="{E6584AF1-9A1E-3306-3642-D191513FDB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92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39</xdr:row>
      <xdr:rowOff>760942</xdr:rowOff>
    </xdr:from>
    <xdr:to>
      <xdr:col>0</xdr:col>
      <xdr:colOff>871538</xdr:colOff>
      <xdr:row>40</xdr:row>
      <xdr:rowOff>760942</xdr:rowOff>
    </xdr:to>
    <xdr:pic>
      <xdr:nvPicPr>
        <xdr:cNvPr id="74" name="Obraz 73">
          <a:extLst>
            <a:ext uri="{FF2B5EF4-FFF2-40B4-BE49-F238E27FC236}">
              <a16:creationId xmlns:a16="http://schemas.microsoft.com/office/drawing/2014/main" id="{3DC14398-0756-1C4C-2F0B-D0B8AB4B29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0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40</xdr:row>
      <xdr:rowOff>760942</xdr:rowOff>
    </xdr:from>
    <xdr:to>
      <xdr:col>0</xdr:col>
      <xdr:colOff>871538</xdr:colOff>
      <xdr:row>41</xdr:row>
      <xdr:rowOff>760942</xdr:rowOff>
    </xdr:to>
    <xdr:pic>
      <xdr:nvPicPr>
        <xdr:cNvPr id="76" name="Obraz 75">
          <a:extLst>
            <a:ext uri="{FF2B5EF4-FFF2-40B4-BE49-F238E27FC236}">
              <a16:creationId xmlns:a16="http://schemas.microsoft.com/office/drawing/2014/main" id="{AB184F98-ACEE-3502-85D5-89CFAF429E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7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41</xdr:row>
      <xdr:rowOff>760942</xdr:rowOff>
    </xdr:from>
    <xdr:to>
      <xdr:col>0</xdr:col>
      <xdr:colOff>871538</xdr:colOff>
      <xdr:row>42</xdr:row>
      <xdr:rowOff>760942</xdr:rowOff>
    </xdr:to>
    <xdr:pic>
      <xdr:nvPicPr>
        <xdr:cNvPr id="78" name="Obraz 77">
          <a:extLst>
            <a:ext uri="{FF2B5EF4-FFF2-40B4-BE49-F238E27FC236}">
              <a16:creationId xmlns:a16="http://schemas.microsoft.com/office/drawing/2014/main" id="{B41E18EA-4871-8042-1A7B-96D6154A0E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15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42</xdr:row>
      <xdr:rowOff>760942</xdr:rowOff>
    </xdr:from>
    <xdr:to>
      <xdr:col>0</xdr:col>
      <xdr:colOff>871538</xdr:colOff>
      <xdr:row>43</xdr:row>
      <xdr:rowOff>760942</xdr:rowOff>
    </xdr:to>
    <xdr:pic>
      <xdr:nvPicPr>
        <xdr:cNvPr id="80" name="Obraz 79">
          <a:extLst>
            <a:ext uri="{FF2B5EF4-FFF2-40B4-BE49-F238E27FC236}">
              <a16:creationId xmlns:a16="http://schemas.microsoft.com/office/drawing/2014/main" id="{8C7D12F7-8275-1D79-2F16-05779EB27E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22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43</xdr:row>
      <xdr:rowOff>760942</xdr:rowOff>
    </xdr:from>
    <xdr:to>
      <xdr:col>0</xdr:col>
      <xdr:colOff>871538</xdr:colOff>
      <xdr:row>44</xdr:row>
      <xdr:rowOff>760942</xdr:rowOff>
    </xdr:to>
    <xdr:pic>
      <xdr:nvPicPr>
        <xdr:cNvPr id="82" name="Obraz 81">
          <a:extLst>
            <a:ext uri="{FF2B5EF4-FFF2-40B4-BE49-F238E27FC236}">
              <a16:creationId xmlns:a16="http://schemas.microsoft.com/office/drawing/2014/main" id="{4D9A4441-8906-0889-A504-D904C77B01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0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44</xdr:row>
      <xdr:rowOff>760942</xdr:rowOff>
    </xdr:from>
    <xdr:to>
      <xdr:col>0</xdr:col>
      <xdr:colOff>871538</xdr:colOff>
      <xdr:row>45</xdr:row>
      <xdr:rowOff>760942</xdr:rowOff>
    </xdr:to>
    <xdr:pic>
      <xdr:nvPicPr>
        <xdr:cNvPr id="84" name="Obraz 83">
          <a:extLst>
            <a:ext uri="{FF2B5EF4-FFF2-40B4-BE49-F238E27FC236}">
              <a16:creationId xmlns:a16="http://schemas.microsoft.com/office/drawing/2014/main" id="{14537E87-1C6B-2E6B-9FAA-7B1A097618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8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45</xdr:row>
      <xdr:rowOff>760942</xdr:rowOff>
    </xdr:from>
    <xdr:to>
      <xdr:col>0</xdr:col>
      <xdr:colOff>871538</xdr:colOff>
      <xdr:row>46</xdr:row>
      <xdr:rowOff>760942</xdr:rowOff>
    </xdr:to>
    <xdr:pic>
      <xdr:nvPicPr>
        <xdr:cNvPr id="86" name="Obraz 85">
          <a:extLst>
            <a:ext uri="{FF2B5EF4-FFF2-40B4-BE49-F238E27FC236}">
              <a16:creationId xmlns:a16="http://schemas.microsoft.com/office/drawing/2014/main" id="{73F5734A-4C50-7200-DEA9-720000F9E9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5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46</xdr:row>
      <xdr:rowOff>760942</xdr:rowOff>
    </xdr:from>
    <xdr:to>
      <xdr:col>0</xdr:col>
      <xdr:colOff>871538</xdr:colOff>
      <xdr:row>47</xdr:row>
      <xdr:rowOff>760942</xdr:rowOff>
    </xdr:to>
    <xdr:pic>
      <xdr:nvPicPr>
        <xdr:cNvPr id="88" name="Obraz 87">
          <a:extLst>
            <a:ext uri="{FF2B5EF4-FFF2-40B4-BE49-F238E27FC236}">
              <a16:creationId xmlns:a16="http://schemas.microsoft.com/office/drawing/2014/main" id="{38E5A07B-CF2D-250D-4B95-905FC77DA1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3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47</xdr:row>
      <xdr:rowOff>760942</xdr:rowOff>
    </xdr:from>
    <xdr:to>
      <xdr:col>0</xdr:col>
      <xdr:colOff>871538</xdr:colOff>
      <xdr:row>48</xdr:row>
      <xdr:rowOff>760942</xdr:rowOff>
    </xdr:to>
    <xdr:pic>
      <xdr:nvPicPr>
        <xdr:cNvPr id="90" name="Obraz 89">
          <a:extLst>
            <a:ext uri="{FF2B5EF4-FFF2-40B4-BE49-F238E27FC236}">
              <a16:creationId xmlns:a16="http://schemas.microsoft.com/office/drawing/2014/main" id="{7DE739C4-B184-FC07-DAEC-35B9CD82DE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1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48</xdr:row>
      <xdr:rowOff>760942</xdr:rowOff>
    </xdr:from>
    <xdr:to>
      <xdr:col>0</xdr:col>
      <xdr:colOff>871538</xdr:colOff>
      <xdr:row>49</xdr:row>
      <xdr:rowOff>760942</xdr:rowOff>
    </xdr:to>
    <xdr:pic>
      <xdr:nvPicPr>
        <xdr:cNvPr id="92" name="Obraz 91">
          <a:extLst>
            <a:ext uri="{FF2B5EF4-FFF2-40B4-BE49-F238E27FC236}">
              <a16:creationId xmlns:a16="http://schemas.microsoft.com/office/drawing/2014/main" id="{FF9490D0-04D3-CD36-4892-2AC4C3B52B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8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49</xdr:row>
      <xdr:rowOff>760942</xdr:rowOff>
    </xdr:from>
    <xdr:to>
      <xdr:col>0</xdr:col>
      <xdr:colOff>871538</xdr:colOff>
      <xdr:row>50</xdr:row>
      <xdr:rowOff>760942</xdr:rowOff>
    </xdr:to>
    <xdr:pic>
      <xdr:nvPicPr>
        <xdr:cNvPr id="94" name="Obraz 93">
          <a:extLst>
            <a:ext uri="{FF2B5EF4-FFF2-40B4-BE49-F238E27FC236}">
              <a16:creationId xmlns:a16="http://schemas.microsoft.com/office/drawing/2014/main" id="{E3619040-7A57-AD94-364E-BE55173064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6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50</xdr:row>
      <xdr:rowOff>760942</xdr:rowOff>
    </xdr:from>
    <xdr:to>
      <xdr:col>0</xdr:col>
      <xdr:colOff>871538</xdr:colOff>
      <xdr:row>51</xdr:row>
      <xdr:rowOff>760942</xdr:rowOff>
    </xdr:to>
    <xdr:pic>
      <xdr:nvPicPr>
        <xdr:cNvPr id="96" name="Obraz 95">
          <a:extLst>
            <a:ext uri="{FF2B5EF4-FFF2-40B4-BE49-F238E27FC236}">
              <a16:creationId xmlns:a16="http://schemas.microsoft.com/office/drawing/2014/main" id="{896E52CF-F249-F557-510D-48A95C1CC9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83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51</xdr:row>
      <xdr:rowOff>760942</xdr:rowOff>
    </xdr:from>
    <xdr:to>
      <xdr:col>0</xdr:col>
      <xdr:colOff>871538</xdr:colOff>
      <xdr:row>52</xdr:row>
      <xdr:rowOff>760942</xdr:rowOff>
    </xdr:to>
    <xdr:pic>
      <xdr:nvPicPr>
        <xdr:cNvPr id="98" name="Obraz 97">
          <a:extLst>
            <a:ext uri="{FF2B5EF4-FFF2-40B4-BE49-F238E27FC236}">
              <a16:creationId xmlns:a16="http://schemas.microsoft.com/office/drawing/2014/main" id="{F59FE48E-4CC8-739A-BA61-15F43445B8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1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52</xdr:row>
      <xdr:rowOff>760942</xdr:rowOff>
    </xdr:from>
    <xdr:to>
      <xdr:col>0</xdr:col>
      <xdr:colOff>871538</xdr:colOff>
      <xdr:row>53</xdr:row>
      <xdr:rowOff>760942</xdr:rowOff>
    </xdr:to>
    <xdr:pic>
      <xdr:nvPicPr>
        <xdr:cNvPr id="100" name="Obraz 99">
          <a:extLst>
            <a:ext uri="{FF2B5EF4-FFF2-40B4-BE49-F238E27FC236}">
              <a16:creationId xmlns:a16="http://schemas.microsoft.com/office/drawing/2014/main" id="{33885BFC-A6E6-86BF-9C10-6136646233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9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53</xdr:row>
      <xdr:rowOff>760942</xdr:rowOff>
    </xdr:from>
    <xdr:to>
      <xdr:col>0</xdr:col>
      <xdr:colOff>871538</xdr:colOff>
      <xdr:row>54</xdr:row>
      <xdr:rowOff>760942</xdr:rowOff>
    </xdr:to>
    <xdr:pic>
      <xdr:nvPicPr>
        <xdr:cNvPr id="102" name="Obraz 101">
          <a:extLst>
            <a:ext uri="{FF2B5EF4-FFF2-40B4-BE49-F238E27FC236}">
              <a16:creationId xmlns:a16="http://schemas.microsoft.com/office/drawing/2014/main" id="{65F5A1C4-AEB5-EE29-1E69-D94AA029E6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6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54</xdr:row>
      <xdr:rowOff>760942</xdr:rowOff>
    </xdr:from>
    <xdr:to>
      <xdr:col>0</xdr:col>
      <xdr:colOff>871538</xdr:colOff>
      <xdr:row>55</xdr:row>
      <xdr:rowOff>760942</xdr:rowOff>
    </xdr:to>
    <xdr:pic>
      <xdr:nvPicPr>
        <xdr:cNvPr id="104" name="Obraz 103">
          <a:extLst>
            <a:ext uri="{FF2B5EF4-FFF2-40B4-BE49-F238E27FC236}">
              <a16:creationId xmlns:a16="http://schemas.microsoft.com/office/drawing/2014/main" id="{8556C83D-0BBD-2B5C-1C34-DE480F7F5A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4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55</xdr:row>
      <xdr:rowOff>760942</xdr:rowOff>
    </xdr:from>
    <xdr:to>
      <xdr:col>0</xdr:col>
      <xdr:colOff>871538</xdr:colOff>
      <xdr:row>56</xdr:row>
      <xdr:rowOff>760942</xdr:rowOff>
    </xdr:to>
    <xdr:pic>
      <xdr:nvPicPr>
        <xdr:cNvPr id="106" name="Obraz 105">
          <a:extLst>
            <a:ext uri="{FF2B5EF4-FFF2-40B4-BE49-F238E27FC236}">
              <a16:creationId xmlns:a16="http://schemas.microsoft.com/office/drawing/2014/main" id="{25CBE767-98E2-7A7B-F030-B0F708FDBD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2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56</xdr:row>
      <xdr:rowOff>760942</xdr:rowOff>
    </xdr:from>
    <xdr:to>
      <xdr:col>0</xdr:col>
      <xdr:colOff>871538</xdr:colOff>
      <xdr:row>57</xdr:row>
      <xdr:rowOff>760942</xdr:rowOff>
    </xdr:to>
    <xdr:pic>
      <xdr:nvPicPr>
        <xdr:cNvPr id="108" name="Obraz 107">
          <a:extLst>
            <a:ext uri="{FF2B5EF4-FFF2-40B4-BE49-F238E27FC236}">
              <a16:creationId xmlns:a16="http://schemas.microsoft.com/office/drawing/2014/main" id="{E9158821-88E6-3D9A-7A70-427F13919B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9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57</xdr:row>
      <xdr:rowOff>760942</xdr:rowOff>
    </xdr:from>
    <xdr:to>
      <xdr:col>0</xdr:col>
      <xdr:colOff>871538</xdr:colOff>
      <xdr:row>58</xdr:row>
      <xdr:rowOff>760942</xdr:rowOff>
    </xdr:to>
    <xdr:pic>
      <xdr:nvPicPr>
        <xdr:cNvPr id="110" name="Obraz 109">
          <a:extLst>
            <a:ext uri="{FF2B5EF4-FFF2-40B4-BE49-F238E27FC236}">
              <a16:creationId xmlns:a16="http://schemas.microsoft.com/office/drawing/2014/main" id="{9DAE1C7D-6CEC-5361-F934-D0739B1F2C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7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58</xdr:row>
      <xdr:rowOff>760942</xdr:rowOff>
    </xdr:from>
    <xdr:to>
      <xdr:col>0</xdr:col>
      <xdr:colOff>871538</xdr:colOff>
      <xdr:row>59</xdr:row>
      <xdr:rowOff>760942</xdr:rowOff>
    </xdr:to>
    <xdr:pic>
      <xdr:nvPicPr>
        <xdr:cNvPr id="112" name="Obraz 111">
          <a:extLst>
            <a:ext uri="{FF2B5EF4-FFF2-40B4-BE49-F238E27FC236}">
              <a16:creationId xmlns:a16="http://schemas.microsoft.com/office/drawing/2014/main" id="{48C10326-50C1-B24E-5B24-942ACB1866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44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59</xdr:row>
      <xdr:rowOff>760942</xdr:rowOff>
    </xdr:from>
    <xdr:to>
      <xdr:col>0</xdr:col>
      <xdr:colOff>871538</xdr:colOff>
      <xdr:row>60</xdr:row>
      <xdr:rowOff>760942</xdr:rowOff>
    </xdr:to>
    <xdr:pic>
      <xdr:nvPicPr>
        <xdr:cNvPr id="114" name="Obraz 113">
          <a:extLst>
            <a:ext uri="{FF2B5EF4-FFF2-40B4-BE49-F238E27FC236}">
              <a16:creationId xmlns:a16="http://schemas.microsoft.com/office/drawing/2014/main" id="{3D94042C-D5E0-17CC-F77C-5D95E70993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52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60</xdr:row>
      <xdr:rowOff>760942</xdr:rowOff>
    </xdr:from>
    <xdr:to>
      <xdr:col>0</xdr:col>
      <xdr:colOff>871538</xdr:colOff>
      <xdr:row>61</xdr:row>
      <xdr:rowOff>760942</xdr:rowOff>
    </xdr:to>
    <xdr:pic>
      <xdr:nvPicPr>
        <xdr:cNvPr id="116" name="Obraz 115">
          <a:extLst>
            <a:ext uri="{FF2B5EF4-FFF2-40B4-BE49-F238E27FC236}">
              <a16:creationId xmlns:a16="http://schemas.microsoft.com/office/drawing/2014/main" id="{904D614E-3270-EF79-1852-AF8685213B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0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61</xdr:row>
      <xdr:rowOff>760942</xdr:rowOff>
    </xdr:from>
    <xdr:to>
      <xdr:col>0</xdr:col>
      <xdr:colOff>871538</xdr:colOff>
      <xdr:row>62</xdr:row>
      <xdr:rowOff>760942</xdr:rowOff>
    </xdr:to>
    <xdr:pic>
      <xdr:nvPicPr>
        <xdr:cNvPr id="118" name="Obraz 117">
          <a:extLst>
            <a:ext uri="{FF2B5EF4-FFF2-40B4-BE49-F238E27FC236}">
              <a16:creationId xmlns:a16="http://schemas.microsoft.com/office/drawing/2014/main" id="{696B6A74-D768-572D-DC25-3E0E210279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7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62</xdr:row>
      <xdr:rowOff>760942</xdr:rowOff>
    </xdr:from>
    <xdr:to>
      <xdr:col>0</xdr:col>
      <xdr:colOff>871538</xdr:colOff>
      <xdr:row>63</xdr:row>
      <xdr:rowOff>760942</xdr:rowOff>
    </xdr:to>
    <xdr:pic>
      <xdr:nvPicPr>
        <xdr:cNvPr id="120" name="Obraz 119">
          <a:extLst>
            <a:ext uri="{FF2B5EF4-FFF2-40B4-BE49-F238E27FC236}">
              <a16:creationId xmlns:a16="http://schemas.microsoft.com/office/drawing/2014/main" id="{1C1B8919-AD9A-4DF7-46EB-F79F63149F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75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63</xdr:row>
      <xdr:rowOff>760942</xdr:rowOff>
    </xdr:from>
    <xdr:to>
      <xdr:col>0</xdr:col>
      <xdr:colOff>871538</xdr:colOff>
      <xdr:row>64</xdr:row>
      <xdr:rowOff>760942</xdr:rowOff>
    </xdr:to>
    <xdr:pic>
      <xdr:nvPicPr>
        <xdr:cNvPr id="122" name="Obraz 121">
          <a:extLst>
            <a:ext uri="{FF2B5EF4-FFF2-40B4-BE49-F238E27FC236}">
              <a16:creationId xmlns:a16="http://schemas.microsoft.com/office/drawing/2014/main" id="{BE4F6CDE-3421-8908-A7B5-A0D37756AF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3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64</xdr:row>
      <xdr:rowOff>760942</xdr:rowOff>
    </xdr:from>
    <xdr:to>
      <xdr:col>0</xdr:col>
      <xdr:colOff>871538</xdr:colOff>
      <xdr:row>65</xdr:row>
      <xdr:rowOff>760942</xdr:rowOff>
    </xdr:to>
    <xdr:pic>
      <xdr:nvPicPr>
        <xdr:cNvPr id="124" name="Obraz 123">
          <a:extLst>
            <a:ext uri="{FF2B5EF4-FFF2-40B4-BE49-F238E27FC236}">
              <a16:creationId xmlns:a16="http://schemas.microsoft.com/office/drawing/2014/main" id="{AEDC3D8E-F845-9C88-F615-A2031CDDBB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0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65</xdr:row>
      <xdr:rowOff>760942</xdr:rowOff>
    </xdr:from>
    <xdr:to>
      <xdr:col>0</xdr:col>
      <xdr:colOff>871538</xdr:colOff>
      <xdr:row>66</xdr:row>
      <xdr:rowOff>760942</xdr:rowOff>
    </xdr:to>
    <xdr:pic>
      <xdr:nvPicPr>
        <xdr:cNvPr id="126" name="Obraz 125">
          <a:extLst>
            <a:ext uri="{FF2B5EF4-FFF2-40B4-BE49-F238E27FC236}">
              <a16:creationId xmlns:a16="http://schemas.microsoft.com/office/drawing/2014/main" id="{AA66C571-8D1E-1B08-E845-6F97460527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8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66</xdr:row>
      <xdr:rowOff>760942</xdr:rowOff>
    </xdr:from>
    <xdr:to>
      <xdr:col>0</xdr:col>
      <xdr:colOff>871538</xdr:colOff>
      <xdr:row>67</xdr:row>
      <xdr:rowOff>760942</xdr:rowOff>
    </xdr:to>
    <xdr:pic>
      <xdr:nvPicPr>
        <xdr:cNvPr id="128" name="Obraz 127">
          <a:extLst>
            <a:ext uri="{FF2B5EF4-FFF2-40B4-BE49-F238E27FC236}">
              <a16:creationId xmlns:a16="http://schemas.microsoft.com/office/drawing/2014/main" id="{F1330E40-C2C9-28A3-464D-8CE438DEF4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5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67</xdr:row>
      <xdr:rowOff>760942</xdr:rowOff>
    </xdr:from>
    <xdr:to>
      <xdr:col>0</xdr:col>
      <xdr:colOff>871538</xdr:colOff>
      <xdr:row>68</xdr:row>
      <xdr:rowOff>760942</xdr:rowOff>
    </xdr:to>
    <xdr:pic>
      <xdr:nvPicPr>
        <xdr:cNvPr id="130" name="Obraz 129">
          <a:extLst>
            <a:ext uri="{FF2B5EF4-FFF2-40B4-BE49-F238E27FC236}">
              <a16:creationId xmlns:a16="http://schemas.microsoft.com/office/drawing/2014/main" id="{58B6B08C-E4A5-BA49-ACB3-3DAFF2953B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3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68</xdr:row>
      <xdr:rowOff>760942</xdr:rowOff>
    </xdr:from>
    <xdr:to>
      <xdr:col>0</xdr:col>
      <xdr:colOff>871538</xdr:colOff>
      <xdr:row>69</xdr:row>
      <xdr:rowOff>760942</xdr:rowOff>
    </xdr:to>
    <xdr:pic>
      <xdr:nvPicPr>
        <xdr:cNvPr id="132" name="Obraz 131">
          <a:extLst>
            <a:ext uri="{FF2B5EF4-FFF2-40B4-BE49-F238E27FC236}">
              <a16:creationId xmlns:a16="http://schemas.microsoft.com/office/drawing/2014/main" id="{EC47B1B4-C6E7-4032-B895-E242F51FF6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1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69</xdr:row>
      <xdr:rowOff>760942</xdr:rowOff>
    </xdr:from>
    <xdr:to>
      <xdr:col>0</xdr:col>
      <xdr:colOff>871538</xdr:colOff>
      <xdr:row>70</xdr:row>
      <xdr:rowOff>760942</xdr:rowOff>
    </xdr:to>
    <xdr:pic>
      <xdr:nvPicPr>
        <xdr:cNvPr id="134" name="Obraz 133">
          <a:extLst>
            <a:ext uri="{FF2B5EF4-FFF2-40B4-BE49-F238E27FC236}">
              <a16:creationId xmlns:a16="http://schemas.microsoft.com/office/drawing/2014/main" id="{C152AC60-8B41-EF26-4612-3190C9C084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8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70</xdr:row>
      <xdr:rowOff>760942</xdr:rowOff>
    </xdr:from>
    <xdr:to>
      <xdr:col>0</xdr:col>
      <xdr:colOff>871538</xdr:colOff>
      <xdr:row>71</xdr:row>
      <xdr:rowOff>760942</xdr:rowOff>
    </xdr:to>
    <xdr:pic>
      <xdr:nvPicPr>
        <xdr:cNvPr id="136" name="Obraz 135">
          <a:extLst>
            <a:ext uri="{FF2B5EF4-FFF2-40B4-BE49-F238E27FC236}">
              <a16:creationId xmlns:a16="http://schemas.microsoft.com/office/drawing/2014/main" id="{87341C1C-0033-4483-B204-B5D9BB30A1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36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71</xdr:row>
      <xdr:rowOff>760942</xdr:rowOff>
    </xdr:from>
    <xdr:to>
      <xdr:col>0</xdr:col>
      <xdr:colOff>871538</xdr:colOff>
      <xdr:row>72</xdr:row>
      <xdr:rowOff>760942</xdr:rowOff>
    </xdr:to>
    <xdr:pic>
      <xdr:nvPicPr>
        <xdr:cNvPr id="138" name="Obraz 137">
          <a:extLst>
            <a:ext uri="{FF2B5EF4-FFF2-40B4-BE49-F238E27FC236}">
              <a16:creationId xmlns:a16="http://schemas.microsoft.com/office/drawing/2014/main" id="{E728F38F-7AE7-60C2-926C-601CB2CC9E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43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72</xdr:row>
      <xdr:rowOff>760942</xdr:rowOff>
    </xdr:from>
    <xdr:to>
      <xdr:col>0</xdr:col>
      <xdr:colOff>871538</xdr:colOff>
      <xdr:row>73</xdr:row>
      <xdr:rowOff>760942</xdr:rowOff>
    </xdr:to>
    <xdr:pic>
      <xdr:nvPicPr>
        <xdr:cNvPr id="140" name="Obraz 139">
          <a:extLst>
            <a:ext uri="{FF2B5EF4-FFF2-40B4-BE49-F238E27FC236}">
              <a16:creationId xmlns:a16="http://schemas.microsoft.com/office/drawing/2014/main" id="{37D84791-977A-E9C6-EFC5-F0684125FE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1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73</xdr:row>
      <xdr:rowOff>760942</xdr:rowOff>
    </xdr:from>
    <xdr:to>
      <xdr:col>0</xdr:col>
      <xdr:colOff>871538</xdr:colOff>
      <xdr:row>74</xdr:row>
      <xdr:rowOff>760942</xdr:rowOff>
    </xdr:to>
    <xdr:pic>
      <xdr:nvPicPr>
        <xdr:cNvPr id="142" name="Obraz 141">
          <a:extLst>
            <a:ext uri="{FF2B5EF4-FFF2-40B4-BE49-F238E27FC236}">
              <a16:creationId xmlns:a16="http://schemas.microsoft.com/office/drawing/2014/main" id="{C56697AE-FDBF-0504-CF40-E72393BD9E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9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74</xdr:row>
      <xdr:rowOff>760942</xdr:rowOff>
    </xdr:from>
    <xdr:to>
      <xdr:col>0</xdr:col>
      <xdr:colOff>871538</xdr:colOff>
      <xdr:row>75</xdr:row>
      <xdr:rowOff>760942</xdr:rowOff>
    </xdr:to>
    <xdr:pic>
      <xdr:nvPicPr>
        <xdr:cNvPr id="144" name="Obraz 143">
          <a:extLst>
            <a:ext uri="{FF2B5EF4-FFF2-40B4-BE49-F238E27FC236}">
              <a16:creationId xmlns:a16="http://schemas.microsoft.com/office/drawing/2014/main" id="{E6DF3E03-AE61-AF67-35FE-3E53F9354E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66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75</xdr:row>
      <xdr:rowOff>760942</xdr:rowOff>
    </xdr:from>
    <xdr:to>
      <xdr:col>0</xdr:col>
      <xdr:colOff>871538</xdr:colOff>
      <xdr:row>76</xdr:row>
      <xdr:rowOff>760942</xdr:rowOff>
    </xdr:to>
    <xdr:pic>
      <xdr:nvPicPr>
        <xdr:cNvPr id="146" name="Obraz 145">
          <a:extLst>
            <a:ext uri="{FF2B5EF4-FFF2-40B4-BE49-F238E27FC236}">
              <a16:creationId xmlns:a16="http://schemas.microsoft.com/office/drawing/2014/main" id="{C4902661-1EA6-9D87-D8BA-937A159789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74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76</xdr:row>
      <xdr:rowOff>760942</xdr:rowOff>
    </xdr:from>
    <xdr:to>
      <xdr:col>0</xdr:col>
      <xdr:colOff>871538</xdr:colOff>
      <xdr:row>77</xdr:row>
      <xdr:rowOff>760942</xdr:rowOff>
    </xdr:to>
    <xdr:pic>
      <xdr:nvPicPr>
        <xdr:cNvPr id="148" name="Obraz 147">
          <a:extLst>
            <a:ext uri="{FF2B5EF4-FFF2-40B4-BE49-F238E27FC236}">
              <a16:creationId xmlns:a16="http://schemas.microsoft.com/office/drawing/2014/main" id="{4586441F-1037-549A-85AC-6E376EEA1B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2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77</xdr:row>
      <xdr:rowOff>760942</xdr:rowOff>
    </xdr:from>
    <xdr:to>
      <xdr:col>0</xdr:col>
      <xdr:colOff>871538</xdr:colOff>
      <xdr:row>78</xdr:row>
      <xdr:rowOff>760942</xdr:rowOff>
    </xdr:to>
    <xdr:pic>
      <xdr:nvPicPr>
        <xdr:cNvPr id="150" name="Obraz 149">
          <a:extLst>
            <a:ext uri="{FF2B5EF4-FFF2-40B4-BE49-F238E27FC236}">
              <a16:creationId xmlns:a16="http://schemas.microsoft.com/office/drawing/2014/main" id="{2EFF98F5-25EF-8AA3-687C-3E3002CB34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9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78</xdr:row>
      <xdr:rowOff>760942</xdr:rowOff>
    </xdr:from>
    <xdr:to>
      <xdr:col>0</xdr:col>
      <xdr:colOff>871538</xdr:colOff>
      <xdr:row>79</xdr:row>
      <xdr:rowOff>760942</xdr:rowOff>
    </xdr:to>
    <xdr:pic>
      <xdr:nvPicPr>
        <xdr:cNvPr id="152" name="Obraz 151">
          <a:extLst>
            <a:ext uri="{FF2B5EF4-FFF2-40B4-BE49-F238E27FC236}">
              <a16:creationId xmlns:a16="http://schemas.microsoft.com/office/drawing/2014/main" id="{FCC838AF-D1BB-DF9B-8679-5EB6069D10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7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79</xdr:row>
      <xdr:rowOff>760942</xdr:rowOff>
    </xdr:from>
    <xdr:to>
      <xdr:col>0</xdr:col>
      <xdr:colOff>871538</xdr:colOff>
      <xdr:row>80</xdr:row>
      <xdr:rowOff>760942</xdr:rowOff>
    </xdr:to>
    <xdr:pic>
      <xdr:nvPicPr>
        <xdr:cNvPr id="154" name="Obraz 153">
          <a:extLst>
            <a:ext uri="{FF2B5EF4-FFF2-40B4-BE49-F238E27FC236}">
              <a16:creationId xmlns:a16="http://schemas.microsoft.com/office/drawing/2014/main" id="{3467C146-188A-85D5-000E-2D1F222CA0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04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80</xdr:row>
      <xdr:rowOff>760942</xdr:rowOff>
    </xdr:from>
    <xdr:to>
      <xdr:col>0</xdr:col>
      <xdr:colOff>871538</xdr:colOff>
      <xdr:row>81</xdr:row>
      <xdr:rowOff>760942</xdr:rowOff>
    </xdr:to>
    <xdr:pic>
      <xdr:nvPicPr>
        <xdr:cNvPr id="156" name="Obraz 155">
          <a:extLst>
            <a:ext uri="{FF2B5EF4-FFF2-40B4-BE49-F238E27FC236}">
              <a16:creationId xmlns:a16="http://schemas.microsoft.com/office/drawing/2014/main" id="{F379B67B-D4AA-4EAC-2E6E-69059B0000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12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81</xdr:row>
      <xdr:rowOff>760942</xdr:rowOff>
    </xdr:from>
    <xdr:to>
      <xdr:col>0</xdr:col>
      <xdr:colOff>871538</xdr:colOff>
      <xdr:row>82</xdr:row>
      <xdr:rowOff>760942</xdr:rowOff>
    </xdr:to>
    <xdr:pic>
      <xdr:nvPicPr>
        <xdr:cNvPr id="158" name="Obraz 157">
          <a:extLst>
            <a:ext uri="{FF2B5EF4-FFF2-40B4-BE49-F238E27FC236}">
              <a16:creationId xmlns:a16="http://schemas.microsoft.com/office/drawing/2014/main" id="{F1F492BB-ED0E-F605-E18F-9821D6BCC0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0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82</xdr:row>
      <xdr:rowOff>760942</xdr:rowOff>
    </xdr:from>
    <xdr:to>
      <xdr:col>0</xdr:col>
      <xdr:colOff>871538</xdr:colOff>
      <xdr:row>83</xdr:row>
      <xdr:rowOff>760942</xdr:rowOff>
    </xdr:to>
    <xdr:pic>
      <xdr:nvPicPr>
        <xdr:cNvPr id="160" name="Obraz 159">
          <a:extLst>
            <a:ext uri="{FF2B5EF4-FFF2-40B4-BE49-F238E27FC236}">
              <a16:creationId xmlns:a16="http://schemas.microsoft.com/office/drawing/2014/main" id="{7A3B0C74-BFDB-4781-3E51-435217D590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7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83</xdr:row>
      <xdr:rowOff>760942</xdr:rowOff>
    </xdr:from>
    <xdr:to>
      <xdr:col>0</xdr:col>
      <xdr:colOff>871538</xdr:colOff>
      <xdr:row>84</xdr:row>
      <xdr:rowOff>760942</xdr:rowOff>
    </xdr:to>
    <xdr:pic>
      <xdr:nvPicPr>
        <xdr:cNvPr id="162" name="Obraz 161">
          <a:extLst>
            <a:ext uri="{FF2B5EF4-FFF2-40B4-BE49-F238E27FC236}">
              <a16:creationId xmlns:a16="http://schemas.microsoft.com/office/drawing/2014/main" id="{C675DF9A-3454-3008-CA4E-3C06C6748C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5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84</xdr:row>
      <xdr:rowOff>760942</xdr:rowOff>
    </xdr:from>
    <xdr:to>
      <xdr:col>0</xdr:col>
      <xdr:colOff>871538</xdr:colOff>
      <xdr:row>85</xdr:row>
      <xdr:rowOff>760942</xdr:rowOff>
    </xdr:to>
    <xdr:pic>
      <xdr:nvPicPr>
        <xdr:cNvPr id="164" name="Obraz 163">
          <a:extLst>
            <a:ext uri="{FF2B5EF4-FFF2-40B4-BE49-F238E27FC236}">
              <a16:creationId xmlns:a16="http://schemas.microsoft.com/office/drawing/2014/main" id="{DE1F3868-E2D5-400B-764C-ACAA4D9270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43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85</xdr:row>
      <xdr:rowOff>760942</xdr:rowOff>
    </xdr:from>
    <xdr:to>
      <xdr:col>0</xdr:col>
      <xdr:colOff>871538</xdr:colOff>
      <xdr:row>86</xdr:row>
      <xdr:rowOff>760942</xdr:rowOff>
    </xdr:to>
    <xdr:pic>
      <xdr:nvPicPr>
        <xdr:cNvPr id="166" name="Obraz 165">
          <a:extLst>
            <a:ext uri="{FF2B5EF4-FFF2-40B4-BE49-F238E27FC236}">
              <a16:creationId xmlns:a16="http://schemas.microsoft.com/office/drawing/2014/main" id="{79741AE4-B2C1-98C5-8B40-B3753D1FA5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0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86</xdr:row>
      <xdr:rowOff>760942</xdr:rowOff>
    </xdr:from>
    <xdr:to>
      <xdr:col>0</xdr:col>
      <xdr:colOff>871538</xdr:colOff>
      <xdr:row>87</xdr:row>
      <xdr:rowOff>760942</xdr:rowOff>
    </xdr:to>
    <xdr:pic>
      <xdr:nvPicPr>
        <xdr:cNvPr id="168" name="Obraz 167">
          <a:extLst>
            <a:ext uri="{FF2B5EF4-FFF2-40B4-BE49-F238E27FC236}">
              <a16:creationId xmlns:a16="http://schemas.microsoft.com/office/drawing/2014/main" id="{5AD75326-CB77-DDA5-05F5-259B526E4F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8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87</xdr:row>
      <xdr:rowOff>760942</xdr:rowOff>
    </xdr:from>
    <xdr:to>
      <xdr:col>0</xdr:col>
      <xdr:colOff>871538</xdr:colOff>
      <xdr:row>88</xdr:row>
      <xdr:rowOff>760942</xdr:rowOff>
    </xdr:to>
    <xdr:pic>
      <xdr:nvPicPr>
        <xdr:cNvPr id="170" name="Obraz 169">
          <a:extLst>
            <a:ext uri="{FF2B5EF4-FFF2-40B4-BE49-F238E27FC236}">
              <a16:creationId xmlns:a16="http://schemas.microsoft.com/office/drawing/2014/main" id="{6A0A27F8-0826-9921-052E-6CCA21473B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5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88</xdr:row>
      <xdr:rowOff>760942</xdr:rowOff>
    </xdr:from>
    <xdr:to>
      <xdr:col>0</xdr:col>
      <xdr:colOff>871538</xdr:colOff>
      <xdr:row>89</xdr:row>
      <xdr:rowOff>760942</xdr:rowOff>
    </xdr:to>
    <xdr:pic>
      <xdr:nvPicPr>
        <xdr:cNvPr id="172" name="Obraz 171">
          <a:extLst>
            <a:ext uri="{FF2B5EF4-FFF2-40B4-BE49-F238E27FC236}">
              <a16:creationId xmlns:a16="http://schemas.microsoft.com/office/drawing/2014/main" id="{41DBC7D6-C175-A1B2-A775-3FE5561298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3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89</xdr:row>
      <xdr:rowOff>760942</xdr:rowOff>
    </xdr:from>
    <xdr:to>
      <xdr:col>0</xdr:col>
      <xdr:colOff>871538</xdr:colOff>
      <xdr:row>90</xdr:row>
      <xdr:rowOff>760942</xdr:rowOff>
    </xdr:to>
    <xdr:pic>
      <xdr:nvPicPr>
        <xdr:cNvPr id="174" name="Obraz 173">
          <a:extLst>
            <a:ext uri="{FF2B5EF4-FFF2-40B4-BE49-F238E27FC236}">
              <a16:creationId xmlns:a16="http://schemas.microsoft.com/office/drawing/2014/main" id="{65BB0B5D-F481-EAF8-445A-4AFACA5421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81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90</xdr:row>
      <xdr:rowOff>760942</xdr:rowOff>
    </xdr:from>
    <xdr:to>
      <xdr:col>0</xdr:col>
      <xdr:colOff>871538</xdr:colOff>
      <xdr:row>91</xdr:row>
      <xdr:rowOff>760942</xdr:rowOff>
    </xdr:to>
    <xdr:pic>
      <xdr:nvPicPr>
        <xdr:cNvPr id="176" name="Obraz 175">
          <a:extLst>
            <a:ext uri="{FF2B5EF4-FFF2-40B4-BE49-F238E27FC236}">
              <a16:creationId xmlns:a16="http://schemas.microsoft.com/office/drawing/2014/main" id="{C7A5E78B-FFC8-EC23-D2A2-2A739F4318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88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91</xdr:row>
      <xdr:rowOff>760942</xdr:rowOff>
    </xdr:from>
    <xdr:to>
      <xdr:col>0</xdr:col>
      <xdr:colOff>871538</xdr:colOff>
      <xdr:row>92</xdr:row>
      <xdr:rowOff>760942</xdr:rowOff>
    </xdr:to>
    <xdr:pic>
      <xdr:nvPicPr>
        <xdr:cNvPr id="178" name="Obraz 177">
          <a:extLst>
            <a:ext uri="{FF2B5EF4-FFF2-40B4-BE49-F238E27FC236}">
              <a16:creationId xmlns:a16="http://schemas.microsoft.com/office/drawing/2014/main" id="{A4DADA69-1C39-5875-4544-D9ABD72AEB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6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92</xdr:row>
      <xdr:rowOff>760942</xdr:rowOff>
    </xdr:from>
    <xdr:to>
      <xdr:col>0</xdr:col>
      <xdr:colOff>871538</xdr:colOff>
      <xdr:row>93</xdr:row>
      <xdr:rowOff>760942</xdr:rowOff>
    </xdr:to>
    <xdr:pic>
      <xdr:nvPicPr>
        <xdr:cNvPr id="180" name="Obraz 179">
          <a:extLst>
            <a:ext uri="{FF2B5EF4-FFF2-40B4-BE49-F238E27FC236}">
              <a16:creationId xmlns:a16="http://schemas.microsoft.com/office/drawing/2014/main" id="{B2170C58-3C4B-1AD3-9B01-1184D18F33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03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93</xdr:row>
      <xdr:rowOff>760942</xdr:rowOff>
    </xdr:from>
    <xdr:to>
      <xdr:col>0</xdr:col>
      <xdr:colOff>871538</xdr:colOff>
      <xdr:row>94</xdr:row>
      <xdr:rowOff>760942</xdr:rowOff>
    </xdr:to>
    <xdr:pic>
      <xdr:nvPicPr>
        <xdr:cNvPr id="182" name="Obraz 181">
          <a:extLst>
            <a:ext uri="{FF2B5EF4-FFF2-40B4-BE49-F238E27FC236}">
              <a16:creationId xmlns:a16="http://schemas.microsoft.com/office/drawing/2014/main" id="{5BEDB65D-4108-EBAF-E9F1-BDF4B097B8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1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94</xdr:row>
      <xdr:rowOff>760942</xdr:rowOff>
    </xdr:from>
    <xdr:to>
      <xdr:col>0</xdr:col>
      <xdr:colOff>871538</xdr:colOff>
      <xdr:row>95</xdr:row>
      <xdr:rowOff>760942</xdr:rowOff>
    </xdr:to>
    <xdr:pic>
      <xdr:nvPicPr>
        <xdr:cNvPr id="184" name="Obraz 183">
          <a:extLst>
            <a:ext uri="{FF2B5EF4-FFF2-40B4-BE49-F238E27FC236}">
              <a16:creationId xmlns:a16="http://schemas.microsoft.com/office/drawing/2014/main" id="{88C5308E-9E97-D238-D835-5532B15123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9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95</xdr:row>
      <xdr:rowOff>760942</xdr:rowOff>
    </xdr:from>
    <xdr:to>
      <xdr:col>0</xdr:col>
      <xdr:colOff>871538</xdr:colOff>
      <xdr:row>96</xdr:row>
      <xdr:rowOff>760942</xdr:rowOff>
    </xdr:to>
    <xdr:pic>
      <xdr:nvPicPr>
        <xdr:cNvPr id="186" name="Obraz 185">
          <a:extLst>
            <a:ext uri="{FF2B5EF4-FFF2-40B4-BE49-F238E27FC236}">
              <a16:creationId xmlns:a16="http://schemas.microsoft.com/office/drawing/2014/main" id="{C01C3F3B-4590-C093-A768-F06A932440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6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96</xdr:row>
      <xdr:rowOff>760942</xdr:rowOff>
    </xdr:from>
    <xdr:to>
      <xdr:col>0</xdr:col>
      <xdr:colOff>871538</xdr:colOff>
      <xdr:row>97</xdr:row>
      <xdr:rowOff>760942</xdr:rowOff>
    </xdr:to>
    <xdr:pic>
      <xdr:nvPicPr>
        <xdr:cNvPr id="188" name="Obraz 187">
          <a:extLst>
            <a:ext uri="{FF2B5EF4-FFF2-40B4-BE49-F238E27FC236}">
              <a16:creationId xmlns:a16="http://schemas.microsoft.com/office/drawing/2014/main" id="{3DFA4A53-D2B4-4B62-6708-FD6669551E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4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97</xdr:row>
      <xdr:rowOff>760942</xdr:rowOff>
    </xdr:from>
    <xdr:to>
      <xdr:col>0</xdr:col>
      <xdr:colOff>871538</xdr:colOff>
      <xdr:row>98</xdr:row>
      <xdr:rowOff>760942</xdr:rowOff>
    </xdr:to>
    <xdr:pic>
      <xdr:nvPicPr>
        <xdr:cNvPr id="190" name="Obraz 189">
          <a:extLst>
            <a:ext uri="{FF2B5EF4-FFF2-40B4-BE49-F238E27FC236}">
              <a16:creationId xmlns:a16="http://schemas.microsoft.com/office/drawing/2014/main" id="{76BB313B-F3A9-7F47-FB52-2D7BB1ED9A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2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98</xdr:row>
      <xdr:rowOff>760942</xdr:rowOff>
    </xdr:from>
    <xdr:to>
      <xdr:col>0</xdr:col>
      <xdr:colOff>871538</xdr:colOff>
      <xdr:row>99</xdr:row>
      <xdr:rowOff>760942</xdr:rowOff>
    </xdr:to>
    <xdr:pic>
      <xdr:nvPicPr>
        <xdr:cNvPr id="192" name="Obraz 191">
          <a:extLst>
            <a:ext uri="{FF2B5EF4-FFF2-40B4-BE49-F238E27FC236}">
              <a16:creationId xmlns:a16="http://schemas.microsoft.com/office/drawing/2014/main" id="{647209A5-148B-54A8-E270-C30FF8684C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9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99</xdr:row>
      <xdr:rowOff>760942</xdr:rowOff>
    </xdr:from>
    <xdr:to>
      <xdr:col>0</xdr:col>
      <xdr:colOff>871538</xdr:colOff>
      <xdr:row>100</xdr:row>
      <xdr:rowOff>760942</xdr:rowOff>
    </xdr:to>
    <xdr:pic>
      <xdr:nvPicPr>
        <xdr:cNvPr id="194" name="Obraz 193">
          <a:extLst>
            <a:ext uri="{FF2B5EF4-FFF2-40B4-BE49-F238E27FC236}">
              <a16:creationId xmlns:a16="http://schemas.microsoft.com/office/drawing/2014/main" id="{4DE6F5F4-F8FF-BEEB-44FB-FF37CFE865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7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100</xdr:row>
      <xdr:rowOff>760942</xdr:rowOff>
    </xdr:from>
    <xdr:to>
      <xdr:col>0</xdr:col>
      <xdr:colOff>871538</xdr:colOff>
      <xdr:row>101</xdr:row>
      <xdr:rowOff>760942</xdr:rowOff>
    </xdr:to>
    <xdr:pic>
      <xdr:nvPicPr>
        <xdr:cNvPr id="196" name="Obraz 195">
          <a:extLst>
            <a:ext uri="{FF2B5EF4-FFF2-40B4-BE49-F238E27FC236}">
              <a16:creationId xmlns:a16="http://schemas.microsoft.com/office/drawing/2014/main" id="{7F551CB4-1039-C270-69B1-316D22F4C3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4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101</xdr:row>
      <xdr:rowOff>760942</xdr:rowOff>
    </xdr:from>
    <xdr:to>
      <xdr:col>0</xdr:col>
      <xdr:colOff>871538</xdr:colOff>
      <xdr:row>102</xdr:row>
      <xdr:rowOff>760942</xdr:rowOff>
    </xdr:to>
    <xdr:pic>
      <xdr:nvPicPr>
        <xdr:cNvPr id="198" name="Obraz 197">
          <a:extLst>
            <a:ext uri="{FF2B5EF4-FFF2-40B4-BE49-F238E27FC236}">
              <a16:creationId xmlns:a16="http://schemas.microsoft.com/office/drawing/2014/main" id="{B0957D2A-94E6-77A4-F30C-859E866891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72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102</xdr:row>
      <xdr:rowOff>760942</xdr:rowOff>
    </xdr:from>
    <xdr:to>
      <xdr:col>0</xdr:col>
      <xdr:colOff>871538</xdr:colOff>
      <xdr:row>103</xdr:row>
      <xdr:rowOff>760942</xdr:rowOff>
    </xdr:to>
    <xdr:pic>
      <xdr:nvPicPr>
        <xdr:cNvPr id="200" name="Obraz 199">
          <a:extLst>
            <a:ext uri="{FF2B5EF4-FFF2-40B4-BE49-F238E27FC236}">
              <a16:creationId xmlns:a16="http://schemas.microsoft.com/office/drawing/2014/main" id="{E9F46869-A81A-603D-95CE-D288BDF7E3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0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103</xdr:row>
      <xdr:rowOff>760942</xdr:rowOff>
    </xdr:from>
    <xdr:to>
      <xdr:col>0</xdr:col>
      <xdr:colOff>871538</xdr:colOff>
      <xdr:row>104</xdr:row>
      <xdr:rowOff>760942</xdr:rowOff>
    </xdr:to>
    <xdr:pic>
      <xdr:nvPicPr>
        <xdr:cNvPr id="202" name="Obraz 201">
          <a:extLst>
            <a:ext uri="{FF2B5EF4-FFF2-40B4-BE49-F238E27FC236}">
              <a16:creationId xmlns:a16="http://schemas.microsoft.com/office/drawing/2014/main" id="{DBC576F7-D244-1CA2-FA87-896D51E4A6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7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104</xdr:row>
      <xdr:rowOff>760942</xdr:rowOff>
    </xdr:from>
    <xdr:to>
      <xdr:col>0</xdr:col>
      <xdr:colOff>871538</xdr:colOff>
      <xdr:row>105</xdr:row>
      <xdr:rowOff>760942</xdr:rowOff>
    </xdr:to>
    <xdr:pic>
      <xdr:nvPicPr>
        <xdr:cNvPr id="204" name="Obraz 203">
          <a:extLst>
            <a:ext uri="{FF2B5EF4-FFF2-40B4-BE49-F238E27FC236}">
              <a16:creationId xmlns:a16="http://schemas.microsoft.com/office/drawing/2014/main" id="{886818C5-070E-4AE6-F58D-3ECDA21D8F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5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105</xdr:row>
      <xdr:rowOff>760942</xdr:rowOff>
    </xdr:from>
    <xdr:to>
      <xdr:col>0</xdr:col>
      <xdr:colOff>871538</xdr:colOff>
      <xdr:row>106</xdr:row>
      <xdr:rowOff>760942</xdr:rowOff>
    </xdr:to>
    <xdr:pic>
      <xdr:nvPicPr>
        <xdr:cNvPr id="206" name="Obraz 205">
          <a:extLst>
            <a:ext uri="{FF2B5EF4-FFF2-40B4-BE49-F238E27FC236}">
              <a16:creationId xmlns:a16="http://schemas.microsoft.com/office/drawing/2014/main" id="{01AC539A-2DA2-98A3-87AC-6E4CBE88BF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03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106</xdr:row>
      <xdr:rowOff>760942</xdr:rowOff>
    </xdr:from>
    <xdr:to>
      <xdr:col>0</xdr:col>
      <xdr:colOff>871538</xdr:colOff>
      <xdr:row>107</xdr:row>
      <xdr:rowOff>760942</xdr:rowOff>
    </xdr:to>
    <xdr:pic>
      <xdr:nvPicPr>
        <xdr:cNvPr id="208" name="Obraz 207">
          <a:extLst>
            <a:ext uri="{FF2B5EF4-FFF2-40B4-BE49-F238E27FC236}">
              <a16:creationId xmlns:a16="http://schemas.microsoft.com/office/drawing/2014/main" id="{B98979EC-D2F3-A497-0B58-733AC246D0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10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107</xdr:row>
      <xdr:rowOff>760942</xdr:rowOff>
    </xdr:from>
    <xdr:to>
      <xdr:col>0</xdr:col>
      <xdr:colOff>871538</xdr:colOff>
      <xdr:row>108</xdr:row>
      <xdr:rowOff>760942</xdr:rowOff>
    </xdr:to>
    <xdr:pic>
      <xdr:nvPicPr>
        <xdr:cNvPr id="210" name="Obraz 209">
          <a:extLst>
            <a:ext uri="{FF2B5EF4-FFF2-40B4-BE49-F238E27FC236}">
              <a16:creationId xmlns:a16="http://schemas.microsoft.com/office/drawing/2014/main" id="{F27E91A2-E3F8-CEC3-C105-681869F869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18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108</xdr:row>
      <xdr:rowOff>760942</xdr:rowOff>
    </xdr:from>
    <xdr:to>
      <xdr:col>0</xdr:col>
      <xdr:colOff>871538</xdr:colOff>
      <xdr:row>109</xdr:row>
      <xdr:rowOff>760942</xdr:rowOff>
    </xdr:to>
    <xdr:pic>
      <xdr:nvPicPr>
        <xdr:cNvPr id="212" name="Obraz 211">
          <a:extLst>
            <a:ext uri="{FF2B5EF4-FFF2-40B4-BE49-F238E27FC236}">
              <a16:creationId xmlns:a16="http://schemas.microsoft.com/office/drawing/2014/main" id="{89E62268-5A85-8018-6B18-4C5C59AEAC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5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109</xdr:row>
      <xdr:rowOff>760942</xdr:rowOff>
    </xdr:from>
    <xdr:to>
      <xdr:col>0</xdr:col>
      <xdr:colOff>871538</xdr:colOff>
      <xdr:row>110</xdr:row>
      <xdr:rowOff>760942</xdr:rowOff>
    </xdr:to>
    <xdr:pic>
      <xdr:nvPicPr>
        <xdr:cNvPr id="214" name="Obraz 213">
          <a:extLst>
            <a:ext uri="{FF2B5EF4-FFF2-40B4-BE49-F238E27FC236}">
              <a16:creationId xmlns:a16="http://schemas.microsoft.com/office/drawing/2014/main" id="{4AFF793F-853F-0158-132F-AA1B77AF93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33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110</xdr:row>
      <xdr:rowOff>760942</xdr:rowOff>
    </xdr:from>
    <xdr:to>
      <xdr:col>0</xdr:col>
      <xdr:colOff>871538</xdr:colOff>
      <xdr:row>111</xdr:row>
      <xdr:rowOff>760942</xdr:rowOff>
    </xdr:to>
    <xdr:pic>
      <xdr:nvPicPr>
        <xdr:cNvPr id="216" name="Obraz 215">
          <a:extLst>
            <a:ext uri="{FF2B5EF4-FFF2-40B4-BE49-F238E27FC236}">
              <a16:creationId xmlns:a16="http://schemas.microsoft.com/office/drawing/2014/main" id="{0E0969EC-BDA6-1F98-4E71-A885FB13FF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41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111</xdr:row>
      <xdr:rowOff>760942</xdr:rowOff>
    </xdr:from>
    <xdr:to>
      <xdr:col>0</xdr:col>
      <xdr:colOff>871538</xdr:colOff>
      <xdr:row>112</xdr:row>
      <xdr:rowOff>760942</xdr:rowOff>
    </xdr:to>
    <xdr:pic>
      <xdr:nvPicPr>
        <xdr:cNvPr id="218" name="Obraz 217">
          <a:extLst>
            <a:ext uri="{FF2B5EF4-FFF2-40B4-BE49-F238E27FC236}">
              <a16:creationId xmlns:a16="http://schemas.microsoft.com/office/drawing/2014/main" id="{F7BE2FE8-A574-E9D8-A6FC-A5AA4E542B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48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112</xdr:row>
      <xdr:rowOff>760942</xdr:rowOff>
    </xdr:from>
    <xdr:to>
      <xdr:col>0</xdr:col>
      <xdr:colOff>871538</xdr:colOff>
      <xdr:row>113</xdr:row>
      <xdr:rowOff>760942</xdr:rowOff>
    </xdr:to>
    <xdr:pic>
      <xdr:nvPicPr>
        <xdr:cNvPr id="220" name="Obraz 219">
          <a:extLst>
            <a:ext uri="{FF2B5EF4-FFF2-40B4-BE49-F238E27FC236}">
              <a16:creationId xmlns:a16="http://schemas.microsoft.com/office/drawing/2014/main" id="{107C0D86-3AC1-6D2F-08E4-32C782B27A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56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113</xdr:row>
      <xdr:rowOff>760942</xdr:rowOff>
    </xdr:from>
    <xdr:to>
      <xdr:col>0</xdr:col>
      <xdr:colOff>871538</xdr:colOff>
      <xdr:row>114</xdr:row>
      <xdr:rowOff>760942</xdr:rowOff>
    </xdr:to>
    <xdr:pic>
      <xdr:nvPicPr>
        <xdr:cNvPr id="222" name="Obraz 221">
          <a:extLst>
            <a:ext uri="{FF2B5EF4-FFF2-40B4-BE49-F238E27FC236}">
              <a16:creationId xmlns:a16="http://schemas.microsoft.com/office/drawing/2014/main" id="{9A421399-48B4-4A6A-55DD-956BA877BC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64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114</xdr:row>
      <xdr:rowOff>760942</xdr:rowOff>
    </xdr:from>
    <xdr:to>
      <xdr:col>0</xdr:col>
      <xdr:colOff>871538</xdr:colOff>
      <xdr:row>115</xdr:row>
      <xdr:rowOff>760942</xdr:rowOff>
    </xdr:to>
    <xdr:pic>
      <xdr:nvPicPr>
        <xdr:cNvPr id="224" name="Obraz 223">
          <a:extLst>
            <a:ext uri="{FF2B5EF4-FFF2-40B4-BE49-F238E27FC236}">
              <a16:creationId xmlns:a16="http://schemas.microsoft.com/office/drawing/2014/main" id="{36343CF4-937C-A9C7-DB42-23E82FE2DA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71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115</xdr:row>
      <xdr:rowOff>760942</xdr:rowOff>
    </xdr:from>
    <xdr:to>
      <xdr:col>0</xdr:col>
      <xdr:colOff>871538</xdr:colOff>
      <xdr:row>116</xdr:row>
      <xdr:rowOff>760942</xdr:rowOff>
    </xdr:to>
    <xdr:pic>
      <xdr:nvPicPr>
        <xdr:cNvPr id="226" name="Obraz 225">
          <a:extLst>
            <a:ext uri="{FF2B5EF4-FFF2-40B4-BE49-F238E27FC236}">
              <a16:creationId xmlns:a16="http://schemas.microsoft.com/office/drawing/2014/main" id="{F4F5809F-13F5-3A86-47E1-301C00611E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79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116</xdr:row>
      <xdr:rowOff>760942</xdr:rowOff>
    </xdr:from>
    <xdr:to>
      <xdr:col>0</xdr:col>
      <xdr:colOff>871538</xdr:colOff>
      <xdr:row>117</xdr:row>
      <xdr:rowOff>760942</xdr:rowOff>
    </xdr:to>
    <xdr:pic>
      <xdr:nvPicPr>
        <xdr:cNvPr id="228" name="Obraz 227">
          <a:extLst>
            <a:ext uri="{FF2B5EF4-FFF2-40B4-BE49-F238E27FC236}">
              <a16:creationId xmlns:a16="http://schemas.microsoft.com/office/drawing/2014/main" id="{6F470DFD-8466-237F-07CC-3A2784F362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86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117</xdr:row>
      <xdr:rowOff>760942</xdr:rowOff>
    </xdr:from>
    <xdr:to>
      <xdr:col>0</xdr:col>
      <xdr:colOff>871538</xdr:colOff>
      <xdr:row>118</xdr:row>
      <xdr:rowOff>760942</xdr:rowOff>
    </xdr:to>
    <xdr:pic>
      <xdr:nvPicPr>
        <xdr:cNvPr id="230" name="Obraz 229">
          <a:extLst>
            <a:ext uri="{FF2B5EF4-FFF2-40B4-BE49-F238E27FC236}">
              <a16:creationId xmlns:a16="http://schemas.microsoft.com/office/drawing/2014/main" id="{A64A6B28-420C-EE14-BB32-573CE3C811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94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118</xdr:row>
      <xdr:rowOff>760942</xdr:rowOff>
    </xdr:from>
    <xdr:to>
      <xdr:col>0</xdr:col>
      <xdr:colOff>871538</xdr:colOff>
      <xdr:row>119</xdr:row>
      <xdr:rowOff>760942</xdr:rowOff>
    </xdr:to>
    <xdr:pic>
      <xdr:nvPicPr>
        <xdr:cNvPr id="232" name="Obraz 231">
          <a:extLst>
            <a:ext uri="{FF2B5EF4-FFF2-40B4-BE49-F238E27FC236}">
              <a16:creationId xmlns:a16="http://schemas.microsoft.com/office/drawing/2014/main" id="{058C07CB-A0DC-5AC5-BF57-59F936FCA2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02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119</xdr:row>
      <xdr:rowOff>760942</xdr:rowOff>
    </xdr:from>
    <xdr:to>
      <xdr:col>0</xdr:col>
      <xdr:colOff>871538</xdr:colOff>
      <xdr:row>120</xdr:row>
      <xdr:rowOff>760942</xdr:rowOff>
    </xdr:to>
    <xdr:pic>
      <xdr:nvPicPr>
        <xdr:cNvPr id="234" name="Obraz 233">
          <a:extLst>
            <a:ext uri="{FF2B5EF4-FFF2-40B4-BE49-F238E27FC236}">
              <a16:creationId xmlns:a16="http://schemas.microsoft.com/office/drawing/2014/main" id="{0F768606-A6F8-25B3-B68C-CA22B7BC66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09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120</xdr:row>
      <xdr:rowOff>760942</xdr:rowOff>
    </xdr:from>
    <xdr:to>
      <xdr:col>0</xdr:col>
      <xdr:colOff>871538</xdr:colOff>
      <xdr:row>121</xdr:row>
      <xdr:rowOff>760942</xdr:rowOff>
    </xdr:to>
    <xdr:pic>
      <xdr:nvPicPr>
        <xdr:cNvPr id="236" name="Obraz 235">
          <a:extLst>
            <a:ext uri="{FF2B5EF4-FFF2-40B4-BE49-F238E27FC236}">
              <a16:creationId xmlns:a16="http://schemas.microsoft.com/office/drawing/2014/main" id="{6F63F756-0AA2-BF0C-25DA-4E567C9D6F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17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121</xdr:row>
      <xdr:rowOff>760942</xdr:rowOff>
    </xdr:from>
    <xdr:to>
      <xdr:col>0</xdr:col>
      <xdr:colOff>871538</xdr:colOff>
      <xdr:row>122</xdr:row>
      <xdr:rowOff>760942</xdr:rowOff>
    </xdr:to>
    <xdr:pic>
      <xdr:nvPicPr>
        <xdr:cNvPr id="238" name="Obraz 237">
          <a:extLst>
            <a:ext uri="{FF2B5EF4-FFF2-40B4-BE49-F238E27FC236}">
              <a16:creationId xmlns:a16="http://schemas.microsoft.com/office/drawing/2014/main" id="{DD186530-789F-6A0F-B7F1-39B185652D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24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122</xdr:row>
      <xdr:rowOff>760942</xdr:rowOff>
    </xdr:from>
    <xdr:to>
      <xdr:col>0</xdr:col>
      <xdr:colOff>871538</xdr:colOff>
      <xdr:row>123</xdr:row>
      <xdr:rowOff>760942</xdr:rowOff>
    </xdr:to>
    <xdr:pic>
      <xdr:nvPicPr>
        <xdr:cNvPr id="240" name="Obraz 239">
          <a:extLst>
            <a:ext uri="{FF2B5EF4-FFF2-40B4-BE49-F238E27FC236}">
              <a16:creationId xmlns:a16="http://schemas.microsoft.com/office/drawing/2014/main" id="{739CAE06-59F6-27DE-9DF7-9634B87CA1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32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123</xdr:row>
      <xdr:rowOff>760942</xdr:rowOff>
    </xdr:from>
    <xdr:to>
      <xdr:col>0</xdr:col>
      <xdr:colOff>871538</xdr:colOff>
      <xdr:row>124</xdr:row>
      <xdr:rowOff>760942</xdr:rowOff>
    </xdr:to>
    <xdr:pic>
      <xdr:nvPicPr>
        <xdr:cNvPr id="242" name="Obraz 241">
          <a:extLst>
            <a:ext uri="{FF2B5EF4-FFF2-40B4-BE49-F238E27FC236}">
              <a16:creationId xmlns:a16="http://schemas.microsoft.com/office/drawing/2014/main" id="{51B92DCE-1495-BCE6-2513-DBEA8A1C5A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40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124</xdr:row>
      <xdr:rowOff>760942</xdr:rowOff>
    </xdr:from>
    <xdr:to>
      <xdr:col>0</xdr:col>
      <xdr:colOff>871538</xdr:colOff>
      <xdr:row>125</xdr:row>
      <xdr:rowOff>760942</xdr:rowOff>
    </xdr:to>
    <xdr:pic>
      <xdr:nvPicPr>
        <xdr:cNvPr id="244" name="Obraz 243">
          <a:extLst>
            <a:ext uri="{FF2B5EF4-FFF2-40B4-BE49-F238E27FC236}">
              <a16:creationId xmlns:a16="http://schemas.microsoft.com/office/drawing/2014/main" id="{397727A1-93E4-B2E7-663A-0C8A4F20DD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47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125</xdr:row>
      <xdr:rowOff>760942</xdr:rowOff>
    </xdr:from>
    <xdr:to>
      <xdr:col>0</xdr:col>
      <xdr:colOff>871538</xdr:colOff>
      <xdr:row>126</xdr:row>
      <xdr:rowOff>760942</xdr:rowOff>
    </xdr:to>
    <xdr:pic>
      <xdr:nvPicPr>
        <xdr:cNvPr id="246" name="Obraz 245">
          <a:extLst>
            <a:ext uri="{FF2B5EF4-FFF2-40B4-BE49-F238E27FC236}">
              <a16:creationId xmlns:a16="http://schemas.microsoft.com/office/drawing/2014/main" id="{D30D4FCE-1524-35DA-8BB1-26316ABFC1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55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126</xdr:row>
      <xdr:rowOff>760942</xdr:rowOff>
    </xdr:from>
    <xdr:to>
      <xdr:col>0</xdr:col>
      <xdr:colOff>871538</xdr:colOff>
      <xdr:row>127</xdr:row>
      <xdr:rowOff>760942</xdr:rowOff>
    </xdr:to>
    <xdr:pic>
      <xdr:nvPicPr>
        <xdr:cNvPr id="248" name="Obraz 247">
          <a:extLst>
            <a:ext uri="{FF2B5EF4-FFF2-40B4-BE49-F238E27FC236}">
              <a16:creationId xmlns:a16="http://schemas.microsoft.com/office/drawing/2014/main" id="{8426CCD3-971B-6FB4-6E96-F3973285AE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63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127</xdr:row>
      <xdr:rowOff>760942</xdr:rowOff>
    </xdr:from>
    <xdr:to>
      <xdr:col>0</xdr:col>
      <xdr:colOff>871538</xdr:colOff>
      <xdr:row>128</xdr:row>
      <xdr:rowOff>760942</xdr:rowOff>
    </xdr:to>
    <xdr:pic>
      <xdr:nvPicPr>
        <xdr:cNvPr id="250" name="Obraz 249">
          <a:extLst>
            <a:ext uri="{FF2B5EF4-FFF2-40B4-BE49-F238E27FC236}">
              <a16:creationId xmlns:a16="http://schemas.microsoft.com/office/drawing/2014/main" id="{4B20523D-C392-B607-A9B0-86A6119858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70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128</xdr:row>
      <xdr:rowOff>760942</xdr:rowOff>
    </xdr:from>
    <xdr:to>
      <xdr:col>0</xdr:col>
      <xdr:colOff>871538</xdr:colOff>
      <xdr:row>129</xdr:row>
      <xdr:rowOff>760942</xdr:rowOff>
    </xdr:to>
    <xdr:pic>
      <xdr:nvPicPr>
        <xdr:cNvPr id="252" name="Obraz 251">
          <a:extLst>
            <a:ext uri="{FF2B5EF4-FFF2-40B4-BE49-F238E27FC236}">
              <a16:creationId xmlns:a16="http://schemas.microsoft.com/office/drawing/2014/main" id="{FF155BF5-7B2E-F319-5B31-F1C1A4562B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78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129</xdr:row>
      <xdr:rowOff>760942</xdr:rowOff>
    </xdr:from>
    <xdr:to>
      <xdr:col>0</xdr:col>
      <xdr:colOff>871538</xdr:colOff>
      <xdr:row>130</xdr:row>
      <xdr:rowOff>760942</xdr:rowOff>
    </xdr:to>
    <xdr:pic>
      <xdr:nvPicPr>
        <xdr:cNvPr id="254" name="Obraz 253">
          <a:extLst>
            <a:ext uri="{FF2B5EF4-FFF2-40B4-BE49-F238E27FC236}">
              <a16:creationId xmlns:a16="http://schemas.microsoft.com/office/drawing/2014/main" id="{DA5DB620-BE43-CB47-376C-64B48C2CAC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85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130</xdr:row>
      <xdr:rowOff>760942</xdr:rowOff>
    </xdr:from>
    <xdr:to>
      <xdr:col>0</xdr:col>
      <xdr:colOff>871538</xdr:colOff>
      <xdr:row>131</xdr:row>
      <xdr:rowOff>760942</xdr:rowOff>
    </xdr:to>
    <xdr:pic>
      <xdr:nvPicPr>
        <xdr:cNvPr id="256" name="Obraz 255">
          <a:extLst>
            <a:ext uri="{FF2B5EF4-FFF2-40B4-BE49-F238E27FC236}">
              <a16:creationId xmlns:a16="http://schemas.microsoft.com/office/drawing/2014/main" id="{0FAC01F5-F62F-EAB4-093E-91D176EC76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93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131</xdr:row>
      <xdr:rowOff>760942</xdr:rowOff>
    </xdr:from>
    <xdr:to>
      <xdr:col>0</xdr:col>
      <xdr:colOff>871538</xdr:colOff>
      <xdr:row>132</xdr:row>
      <xdr:rowOff>760942</xdr:rowOff>
    </xdr:to>
    <xdr:pic>
      <xdr:nvPicPr>
        <xdr:cNvPr id="258" name="Obraz 257">
          <a:extLst>
            <a:ext uri="{FF2B5EF4-FFF2-40B4-BE49-F238E27FC236}">
              <a16:creationId xmlns:a16="http://schemas.microsoft.com/office/drawing/2014/main" id="{682E2C0A-8C94-6743-40C0-CD3B7F077D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01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132</xdr:row>
      <xdr:rowOff>760942</xdr:rowOff>
    </xdr:from>
    <xdr:to>
      <xdr:col>0</xdr:col>
      <xdr:colOff>871538</xdr:colOff>
      <xdr:row>133</xdr:row>
      <xdr:rowOff>760942</xdr:rowOff>
    </xdr:to>
    <xdr:pic>
      <xdr:nvPicPr>
        <xdr:cNvPr id="260" name="Obraz 259">
          <a:extLst>
            <a:ext uri="{FF2B5EF4-FFF2-40B4-BE49-F238E27FC236}">
              <a16:creationId xmlns:a16="http://schemas.microsoft.com/office/drawing/2014/main" id="{C2F53436-1733-60F1-CF20-08A5E5B825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08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133</xdr:row>
      <xdr:rowOff>760942</xdr:rowOff>
    </xdr:from>
    <xdr:to>
      <xdr:col>0</xdr:col>
      <xdr:colOff>871538</xdr:colOff>
      <xdr:row>134</xdr:row>
      <xdr:rowOff>760942</xdr:rowOff>
    </xdr:to>
    <xdr:pic>
      <xdr:nvPicPr>
        <xdr:cNvPr id="262" name="Obraz 261">
          <a:extLst>
            <a:ext uri="{FF2B5EF4-FFF2-40B4-BE49-F238E27FC236}">
              <a16:creationId xmlns:a16="http://schemas.microsoft.com/office/drawing/2014/main" id="{A67F6C92-4907-CF19-E7F6-AC8C66B0CE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16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134</xdr:row>
      <xdr:rowOff>760942</xdr:rowOff>
    </xdr:from>
    <xdr:to>
      <xdr:col>0</xdr:col>
      <xdr:colOff>871538</xdr:colOff>
      <xdr:row>135</xdr:row>
      <xdr:rowOff>760942</xdr:rowOff>
    </xdr:to>
    <xdr:pic>
      <xdr:nvPicPr>
        <xdr:cNvPr id="264" name="Obraz 263">
          <a:extLst>
            <a:ext uri="{FF2B5EF4-FFF2-40B4-BE49-F238E27FC236}">
              <a16:creationId xmlns:a16="http://schemas.microsoft.com/office/drawing/2014/main" id="{CAEF2393-278F-FAAF-6B28-2A6DE3D6CC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24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135</xdr:row>
      <xdr:rowOff>760942</xdr:rowOff>
    </xdr:from>
    <xdr:to>
      <xdr:col>0</xdr:col>
      <xdr:colOff>871538</xdr:colOff>
      <xdr:row>136</xdr:row>
      <xdr:rowOff>760942</xdr:rowOff>
    </xdr:to>
    <xdr:pic>
      <xdr:nvPicPr>
        <xdr:cNvPr id="266" name="Obraz 265">
          <a:extLst>
            <a:ext uri="{FF2B5EF4-FFF2-40B4-BE49-F238E27FC236}">
              <a16:creationId xmlns:a16="http://schemas.microsoft.com/office/drawing/2014/main" id="{E7B86F21-4938-4B9A-AF21-B34E26E1C5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31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136</xdr:row>
      <xdr:rowOff>760942</xdr:rowOff>
    </xdr:from>
    <xdr:to>
      <xdr:col>0</xdr:col>
      <xdr:colOff>871538</xdr:colOff>
      <xdr:row>137</xdr:row>
      <xdr:rowOff>760942</xdr:rowOff>
    </xdr:to>
    <xdr:pic>
      <xdr:nvPicPr>
        <xdr:cNvPr id="268" name="Obraz 267">
          <a:extLst>
            <a:ext uri="{FF2B5EF4-FFF2-40B4-BE49-F238E27FC236}">
              <a16:creationId xmlns:a16="http://schemas.microsoft.com/office/drawing/2014/main" id="{6BE696AD-B1E0-F9C7-77FB-DA8A8742A2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39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137</xdr:row>
      <xdr:rowOff>760942</xdr:rowOff>
    </xdr:from>
    <xdr:to>
      <xdr:col>0</xdr:col>
      <xdr:colOff>871538</xdr:colOff>
      <xdr:row>138</xdr:row>
      <xdr:rowOff>760942</xdr:rowOff>
    </xdr:to>
    <xdr:pic>
      <xdr:nvPicPr>
        <xdr:cNvPr id="270" name="Obraz 269">
          <a:extLst>
            <a:ext uri="{FF2B5EF4-FFF2-40B4-BE49-F238E27FC236}">
              <a16:creationId xmlns:a16="http://schemas.microsoft.com/office/drawing/2014/main" id="{C9A71ED8-C084-8132-0CDB-695271B4DC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46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138</xdr:row>
      <xdr:rowOff>760942</xdr:rowOff>
    </xdr:from>
    <xdr:to>
      <xdr:col>0</xdr:col>
      <xdr:colOff>871538</xdr:colOff>
      <xdr:row>139</xdr:row>
      <xdr:rowOff>760942</xdr:rowOff>
    </xdr:to>
    <xdr:pic>
      <xdr:nvPicPr>
        <xdr:cNvPr id="272" name="Obraz 271">
          <a:extLst>
            <a:ext uri="{FF2B5EF4-FFF2-40B4-BE49-F238E27FC236}">
              <a16:creationId xmlns:a16="http://schemas.microsoft.com/office/drawing/2014/main" id="{134B261D-D2C7-000E-ED31-10AB4A10E5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54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139</xdr:row>
      <xdr:rowOff>760942</xdr:rowOff>
    </xdr:from>
    <xdr:to>
      <xdr:col>0</xdr:col>
      <xdr:colOff>871538</xdr:colOff>
      <xdr:row>140</xdr:row>
      <xdr:rowOff>760942</xdr:rowOff>
    </xdr:to>
    <xdr:pic>
      <xdr:nvPicPr>
        <xdr:cNvPr id="274" name="Obraz 273">
          <a:extLst>
            <a:ext uri="{FF2B5EF4-FFF2-40B4-BE49-F238E27FC236}">
              <a16:creationId xmlns:a16="http://schemas.microsoft.com/office/drawing/2014/main" id="{C57B4F08-D983-8AB5-54EE-DCCBC1D189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62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140</xdr:row>
      <xdr:rowOff>760942</xdr:rowOff>
    </xdr:from>
    <xdr:to>
      <xdr:col>0</xdr:col>
      <xdr:colOff>871538</xdr:colOff>
      <xdr:row>141</xdr:row>
      <xdr:rowOff>760942</xdr:rowOff>
    </xdr:to>
    <xdr:pic>
      <xdr:nvPicPr>
        <xdr:cNvPr id="276" name="Obraz 275">
          <a:extLst>
            <a:ext uri="{FF2B5EF4-FFF2-40B4-BE49-F238E27FC236}">
              <a16:creationId xmlns:a16="http://schemas.microsoft.com/office/drawing/2014/main" id="{FCE48948-FAC8-12D1-FFAD-DCBDAA2BE0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69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141</xdr:row>
      <xdr:rowOff>760942</xdr:rowOff>
    </xdr:from>
    <xdr:to>
      <xdr:col>0</xdr:col>
      <xdr:colOff>871538</xdr:colOff>
      <xdr:row>142</xdr:row>
      <xdr:rowOff>760942</xdr:rowOff>
    </xdr:to>
    <xdr:pic>
      <xdr:nvPicPr>
        <xdr:cNvPr id="278" name="Obraz 277">
          <a:extLst>
            <a:ext uri="{FF2B5EF4-FFF2-40B4-BE49-F238E27FC236}">
              <a16:creationId xmlns:a16="http://schemas.microsoft.com/office/drawing/2014/main" id="{937505FF-4FDE-664A-81C4-11F715C16B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77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142</xdr:row>
      <xdr:rowOff>760942</xdr:rowOff>
    </xdr:from>
    <xdr:to>
      <xdr:col>0</xdr:col>
      <xdr:colOff>871538</xdr:colOff>
      <xdr:row>143</xdr:row>
      <xdr:rowOff>760942</xdr:rowOff>
    </xdr:to>
    <xdr:pic>
      <xdr:nvPicPr>
        <xdr:cNvPr id="280" name="Obraz 279">
          <a:extLst>
            <a:ext uri="{FF2B5EF4-FFF2-40B4-BE49-F238E27FC236}">
              <a16:creationId xmlns:a16="http://schemas.microsoft.com/office/drawing/2014/main" id="{F60EAB33-C934-2B4B-8ADD-0953A4E6AE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84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143</xdr:row>
      <xdr:rowOff>760942</xdr:rowOff>
    </xdr:from>
    <xdr:to>
      <xdr:col>0</xdr:col>
      <xdr:colOff>871538</xdr:colOff>
      <xdr:row>144</xdr:row>
      <xdr:rowOff>760942</xdr:rowOff>
    </xdr:to>
    <xdr:pic>
      <xdr:nvPicPr>
        <xdr:cNvPr id="282" name="Obraz 281">
          <a:extLst>
            <a:ext uri="{FF2B5EF4-FFF2-40B4-BE49-F238E27FC236}">
              <a16:creationId xmlns:a16="http://schemas.microsoft.com/office/drawing/2014/main" id="{3A7C1859-324A-184D-62F1-D7C433EEC0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92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144</xdr:row>
      <xdr:rowOff>760942</xdr:rowOff>
    </xdr:from>
    <xdr:to>
      <xdr:col>0</xdr:col>
      <xdr:colOff>871538</xdr:colOff>
      <xdr:row>145</xdr:row>
      <xdr:rowOff>760942</xdr:rowOff>
    </xdr:to>
    <xdr:pic>
      <xdr:nvPicPr>
        <xdr:cNvPr id="284" name="Obraz 283">
          <a:extLst>
            <a:ext uri="{FF2B5EF4-FFF2-40B4-BE49-F238E27FC236}">
              <a16:creationId xmlns:a16="http://schemas.microsoft.com/office/drawing/2014/main" id="{865D3B9E-EC60-B76D-034C-A5B3341385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00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145</xdr:row>
      <xdr:rowOff>760942</xdr:rowOff>
    </xdr:from>
    <xdr:to>
      <xdr:col>0</xdr:col>
      <xdr:colOff>871538</xdr:colOff>
      <xdr:row>146</xdr:row>
      <xdr:rowOff>760942</xdr:rowOff>
    </xdr:to>
    <xdr:pic>
      <xdr:nvPicPr>
        <xdr:cNvPr id="286" name="Obraz 285">
          <a:extLst>
            <a:ext uri="{FF2B5EF4-FFF2-40B4-BE49-F238E27FC236}">
              <a16:creationId xmlns:a16="http://schemas.microsoft.com/office/drawing/2014/main" id="{BA36AB31-9ECF-7141-88EA-33EED241A6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07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146</xdr:row>
      <xdr:rowOff>760942</xdr:rowOff>
    </xdr:from>
    <xdr:to>
      <xdr:col>0</xdr:col>
      <xdr:colOff>871538</xdr:colOff>
      <xdr:row>147</xdr:row>
      <xdr:rowOff>760942</xdr:rowOff>
    </xdr:to>
    <xdr:pic>
      <xdr:nvPicPr>
        <xdr:cNvPr id="288" name="Obraz 287">
          <a:extLst>
            <a:ext uri="{FF2B5EF4-FFF2-40B4-BE49-F238E27FC236}">
              <a16:creationId xmlns:a16="http://schemas.microsoft.com/office/drawing/2014/main" id="{29729E0A-1B18-D95D-06D7-7F2B5E69BC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15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147</xdr:row>
      <xdr:rowOff>760942</xdr:rowOff>
    </xdr:from>
    <xdr:to>
      <xdr:col>0</xdr:col>
      <xdr:colOff>871538</xdr:colOff>
      <xdr:row>148</xdr:row>
      <xdr:rowOff>760942</xdr:rowOff>
    </xdr:to>
    <xdr:pic>
      <xdr:nvPicPr>
        <xdr:cNvPr id="290" name="Obraz 289">
          <a:extLst>
            <a:ext uri="{FF2B5EF4-FFF2-40B4-BE49-F238E27FC236}">
              <a16:creationId xmlns:a16="http://schemas.microsoft.com/office/drawing/2014/main" id="{44083B07-7986-CBD5-317E-9F523B32AB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23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148</xdr:row>
      <xdr:rowOff>760942</xdr:rowOff>
    </xdr:from>
    <xdr:to>
      <xdr:col>0</xdr:col>
      <xdr:colOff>871538</xdr:colOff>
      <xdr:row>149</xdr:row>
      <xdr:rowOff>760942</xdr:rowOff>
    </xdr:to>
    <xdr:pic>
      <xdr:nvPicPr>
        <xdr:cNvPr id="292" name="Obraz 291">
          <a:extLst>
            <a:ext uri="{FF2B5EF4-FFF2-40B4-BE49-F238E27FC236}">
              <a16:creationId xmlns:a16="http://schemas.microsoft.com/office/drawing/2014/main" id="{5EF11DBF-161F-1CC0-60C7-E0FC43B958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30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149</xdr:row>
      <xdr:rowOff>760942</xdr:rowOff>
    </xdr:from>
    <xdr:to>
      <xdr:col>0</xdr:col>
      <xdr:colOff>871538</xdr:colOff>
      <xdr:row>150</xdr:row>
      <xdr:rowOff>760942</xdr:rowOff>
    </xdr:to>
    <xdr:pic>
      <xdr:nvPicPr>
        <xdr:cNvPr id="294" name="Obraz 293">
          <a:extLst>
            <a:ext uri="{FF2B5EF4-FFF2-40B4-BE49-F238E27FC236}">
              <a16:creationId xmlns:a16="http://schemas.microsoft.com/office/drawing/2014/main" id="{3EBA3149-962C-5F67-9828-97A838AAA8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38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150</xdr:row>
      <xdr:rowOff>760942</xdr:rowOff>
    </xdr:from>
    <xdr:to>
      <xdr:col>0</xdr:col>
      <xdr:colOff>871538</xdr:colOff>
      <xdr:row>151</xdr:row>
      <xdr:rowOff>760942</xdr:rowOff>
    </xdr:to>
    <xdr:pic>
      <xdr:nvPicPr>
        <xdr:cNvPr id="296" name="Obraz 295">
          <a:extLst>
            <a:ext uri="{FF2B5EF4-FFF2-40B4-BE49-F238E27FC236}">
              <a16:creationId xmlns:a16="http://schemas.microsoft.com/office/drawing/2014/main" id="{939EFD5F-1A2B-BED8-2C67-BCF756D170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45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151</xdr:row>
      <xdr:rowOff>760942</xdr:rowOff>
    </xdr:from>
    <xdr:to>
      <xdr:col>0</xdr:col>
      <xdr:colOff>871538</xdr:colOff>
      <xdr:row>152</xdr:row>
      <xdr:rowOff>760942</xdr:rowOff>
    </xdr:to>
    <xdr:pic>
      <xdr:nvPicPr>
        <xdr:cNvPr id="298" name="Obraz 297">
          <a:extLst>
            <a:ext uri="{FF2B5EF4-FFF2-40B4-BE49-F238E27FC236}">
              <a16:creationId xmlns:a16="http://schemas.microsoft.com/office/drawing/2014/main" id="{1F58A57C-FF67-23E3-C1EA-5733E42F36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53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152</xdr:row>
      <xdr:rowOff>760942</xdr:rowOff>
    </xdr:from>
    <xdr:to>
      <xdr:col>0</xdr:col>
      <xdr:colOff>871538</xdr:colOff>
      <xdr:row>153</xdr:row>
      <xdr:rowOff>760942</xdr:rowOff>
    </xdr:to>
    <xdr:pic>
      <xdr:nvPicPr>
        <xdr:cNvPr id="300" name="Obraz 299">
          <a:extLst>
            <a:ext uri="{FF2B5EF4-FFF2-40B4-BE49-F238E27FC236}">
              <a16:creationId xmlns:a16="http://schemas.microsoft.com/office/drawing/2014/main" id="{96B02D4B-AC9E-620F-4219-DC68982CC3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61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153</xdr:row>
      <xdr:rowOff>760942</xdr:rowOff>
    </xdr:from>
    <xdr:to>
      <xdr:col>0</xdr:col>
      <xdr:colOff>871538</xdr:colOff>
      <xdr:row>154</xdr:row>
      <xdr:rowOff>760942</xdr:rowOff>
    </xdr:to>
    <xdr:pic>
      <xdr:nvPicPr>
        <xdr:cNvPr id="302" name="Obraz 301">
          <a:extLst>
            <a:ext uri="{FF2B5EF4-FFF2-40B4-BE49-F238E27FC236}">
              <a16:creationId xmlns:a16="http://schemas.microsoft.com/office/drawing/2014/main" id="{56BB4B61-FBDA-4159-E631-DC3AD94CFC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68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154</xdr:row>
      <xdr:rowOff>760942</xdr:rowOff>
    </xdr:from>
    <xdr:to>
      <xdr:col>0</xdr:col>
      <xdr:colOff>871538</xdr:colOff>
      <xdr:row>155</xdr:row>
      <xdr:rowOff>760942</xdr:rowOff>
    </xdr:to>
    <xdr:pic>
      <xdr:nvPicPr>
        <xdr:cNvPr id="304" name="Obraz 303">
          <a:extLst>
            <a:ext uri="{FF2B5EF4-FFF2-40B4-BE49-F238E27FC236}">
              <a16:creationId xmlns:a16="http://schemas.microsoft.com/office/drawing/2014/main" id="{B25FC12A-3D74-A3B5-6778-F8555ED9FC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76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155</xdr:row>
      <xdr:rowOff>760942</xdr:rowOff>
    </xdr:from>
    <xdr:to>
      <xdr:col>0</xdr:col>
      <xdr:colOff>871538</xdr:colOff>
      <xdr:row>156</xdr:row>
      <xdr:rowOff>760942</xdr:rowOff>
    </xdr:to>
    <xdr:pic>
      <xdr:nvPicPr>
        <xdr:cNvPr id="306" name="Obraz 305">
          <a:extLst>
            <a:ext uri="{FF2B5EF4-FFF2-40B4-BE49-F238E27FC236}">
              <a16:creationId xmlns:a16="http://schemas.microsoft.com/office/drawing/2014/main" id="{0E7694EF-48AE-9308-CFDB-192E92248A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84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156</xdr:row>
      <xdr:rowOff>760942</xdr:rowOff>
    </xdr:from>
    <xdr:to>
      <xdr:col>0</xdr:col>
      <xdr:colOff>871538</xdr:colOff>
      <xdr:row>157</xdr:row>
      <xdr:rowOff>760942</xdr:rowOff>
    </xdr:to>
    <xdr:pic>
      <xdr:nvPicPr>
        <xdr:cNvPr id="308" name="Obraz 307">
          <a:extLst>
            <a:ext uri="{FF2B5EF4-FFF2-40B4-BE49-F238E27FC236}">
              <a16:creationId xmlns:a16="http://schemas.microsoft.com/office/drawing/2014/main" id="{31662D72-AC99-1D8F-6A8A-7A807CFDBC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91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157</xdr:row>
      <xdr:rowOff>760942</xdr:rowOff>
    </xdr:from>
    <xdr:to>
      <xdr:col>0</xdr:col>
      <xdr:colOff>871538</xdr:colOff>
      <xdr:row>158</xdr:row>
      <xdr:rowOff>760942</xdr:rowOff>
    </xdr:to>
    <xdr:pic>
      <xdr:nvPicPr>
        <xdr:cNvPr id="310" name="Obraz 309">
          <a:extLst>
            <a:ext uri="{FF2B5EF4-FFF2-40B4-BE49-F238E27FC236}">
              <a16:creationId xmlns:a16="http://schemas.microsoft.com/office/drawing/2014/main" id="{7EC7A121-62CC-87D6-CCC5-B96BE776B9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99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158</xdr:row>
      <xdr:rowOff>760942</xdr:rowOff>
    </xdr:from>
    <xdr:to>
      <xdr:col>0</xdr:col>
      <xdr:colOff>871538</xdr:colOff>
      <xdr:row>159</xdr:row>
      <xdr:rowOff>760942</xdr:rowOff>
    </xdr:to>
    <xdr:pic>
      <xdr:nvPicPr>
        <xdr:cNvPr id="312" name="Obraz 311">
          <a:extLst>
            <a:ext uri="{FF2B5EF4-FFF2-40B4-BE49-F238E27FC236}">
              <a16:creationId xmlns:a16="http://schemas.microsoft.com/office/drawing/2014/main" id="{323E3987-C437-B446-BB05-97A8B5E994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06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159</xdr:row>
      <xdr:rowOff>760942</xdr:rowOff>
    </xdr:from>
    <xdr:to>
      <xdr:col>0</xdr:col>
      <xdr:colOff>871538</xdr:colOff>
      <xdr:row>160</xdr:row>
      <xdr:rowOff>760942</xdr:rowOff>
    </xdr:to>
    <xdr:pic>
      <xdr:nvPicPr>
        <xdr:cNvPr id="314" name="Obraz 313">
          <a:extLst>
            <a:ext uri="{FF2B5EF4-FFF2-40B4-BE49-F238E27FC236}">
              <a16:creationId xmlns:a16="http://schemas.microsoft.com/office/drawing/2014/main" id="{BCF4C99D-95A0-025C-5972-2FE1DC1D48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14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160</xdr:row>
      <xdr:rowOff>760942</xdr:rowOff>
    </xdr:from>
    <xdr:to>
      <xdr:col>0</xdr:col>
      <xdr:colOff>871538</xdr:colOff>
      <xdr:row>161</xdr:row>
      <xdr:rowOff>760942</xdr:rowOff>
    </xdr:to>
    <xdr:pic>
      <xdr:nvPicPr>
        <xdr:cNvPr id="316" name="Obraz 315">
          <a:extLst>
            <a:ext uri="{FF2B5EF4-FFF2-40B4-BE49-F238E27FC236}">
              <a16:creationId xmlns:a16="http://schemas.microsoft.com/office/drawing/2014/main" id="{4FC54C8E-C2F1-5EF1-6ED3-E772303356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22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161</xdr:row>
      <xdr:rowOff>760942</xdr:rowOff>
    </xdr:from>
    <xdr:to>
      <xdr:col>0</xdr:col>
      <xdr:colOff>871538</xdr:colOff>
      <xdr:row>162</xdr:row>
      <xdr:rowOff>760942</xdr:rowOff>
    </xdr:to>
    <xdr:pic>
      <xdr:nvPicPr>
        <xdr:cNvPr id="318" name="Obraz 317">
          <a:extLst>
            <a:ext uri="{FF2B5EF4-FFF2-40B4-BE49-F238E27FC236}">
              <a16:creationId xmlns:a16="http://schemas.microsoft.com/office/drawing/2014/main" id="{34C2FFF0-D8B4-025B-6134-79728B5C5F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29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162</xdr:row>
      <xdr:rowOff>760942</xdr:rowOff>
    </xdr:from>
    <xdr:to>
      <xdr:col>0</xdr:col>
      <xdr:colOff>871538</xdr:colOff>
      <xdr:row>163</xdr:row>
      <xdr:rowOff>760942</xdr:rowOff>
    </xdr:to>
    <xdr:pic>
      <xdr:nvPicPr>
        <xdr:cNvPr id="320" name="Obraz 319">
          <a:extLst>
            <a:ext uri="{FF2B5EF4-FFF2-40B4-BE49-F238E27FC236}">
              <a16:creationId xmlns:a16="http://schemas.microsoft.com/office/drawing/2014/main" id="{28FE52E8-97FF-5E20-037A-A75C4AFE02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37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163</xdr:row>
      <xdr:rowOff>760942</xdr:rowOff>
    </xdr:from>
    <xdr:to>
      <xdr:col>0</xdr:col>
      <xdr:colOff>871538</xdr:colOff>
      <xdr:row>164</xdr:row>
      <xdr:rowOff>760942</xdr:rowOff>
    </xdr:to>
    <xdr:pic>
      <xdr:nvPicPr>
        <xdr:cNvPr id="322" name="Obraz 321">
          <a:extLst>
            <a:ext uri="{FF2B5EF4-FFF2-40B4-BE49-F238E27FC236}">
              <a16:creationId xmlns:a16="http://schemas.microsoft.com/office/drawing/2014/main" id="{9C11B3AE-A3A0-C7AE-FA29-CD5E5E4223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45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164</xdr:row>
      <xdr:rowOff>760942</xdr:rowOff>
    </xdr:from>
    <xdr:to>
      <xdr:col>0</xdr:col>
      <xdr:colOff>871538</xdr:colOff>
      <xdr:row>165</xdr:row>
      <xdr:rowOff>760942</xdr:rowOff>
    </xdr:to>
    <xdr:pic>
      <xdr:nvPicPr>
        <xdr:cNvPr id="324" name="Obraz 323">
          <a:extLst>
            <a:ext uri="{FF2B5EF4-FFF2-40B4-BE49-F238E27FC236}">
              <a16:creationId xmlns:a16="http://schemas.microsoft.com/office/drawing/2014/main" id="{57CD2103-FAB5-9A2D-92FF-B3DD9B4AE5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52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165</xdr:row>
      <xdr:rowOff>760942</xdr:rowOff>
    </xdr:from>
    <xdr:to>
      <xdr:col>0</xdr:col>
      <xdr:colOff>871538</xdr:colOff>
      <xdr:row>166</xdr:row>
      <xdr:rowOff>760942</xdr:rowOff>
    </xdr:to>
    <xdr:pic>
      <xdr:nvPicPr>
        <xdr:cNvPr id="326" name="Obraz 325">
          <a:extLst>
            <a:ext uri="{FF2B5EF4-FFF2-40B4-BE49-F238E27FC236}">
              <a16:creationId xmlns:a16="http://schemas.microsoft.com/office/drawing/2014/main" id="{3424F82D-0055-072C-78B5-35D2AB08AC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60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166</xdr:row>
      <xdr:rowOff>760942</xdr:rowOff>
    </xdr:from>
    <xdr:to>
      <xdr:col>0</xdr:col>
      <xdr:colOff>871538</xdr:colOff>
      <xdr:row>167</xdr:row>
      <xdr:rowOff>760942</xdr:rowOff>
    </xdr:to>
    <xdr:pic>
      <xdr:nvPicPr>
        <xdr:cNvPr id="328" name="Obraz 327">
          <a:extLst>
            <a:ext uri="{FF2B5EF4-FFF2-40B4-BE49-F238E27FC236}">
              <a16:creationId xmlns:a16="http://schemas.microsoft.com/office/drawing/2014/main" id="{12FE97BD-BCB5-E9BA-8748-B5AE6E46F3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67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167</xdr:row>
      <xdr:rowOff>760942</xdr:rowOff>
    </xdr:from>
    <xdr:to>
      <xdr:col>0</xdr:col>
      <xdr:colOff>871538</xdr:colOff>
      <xdr:row>168</xdr:row>
      <xdr:rowOff>760942</xdr:rowOff>
    </xdr:to>
    <xdr:pic>
      <xdr:nvPicPr>
        <xdr:cNvPr id="330" name="Obraz 329">
          <a:extLst>
            <a:ext uri="{FF2B5EF4-FFF2-40B4-BE49-F238E27FC236}">
              <a16:creationId xmlns:a16="http://schemas.microsoft.com/office/drawing/2014/main" id="{FAEBD141-2311-E28E-5FA8-DFF9E9AD8F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75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168</xdr:row>
      <xdr:rowOff>760942</xdr:rowOff>
    </xdr:from>
    <xdr:to>
      <xdr:col>0</xdr:col>
      <xdr:colOff>871538</xdr:colOff>
      <xdr:row>169</xdr:row>
      <xdr:rowOff>760942</xdr:rowOff>
    </xdr:to>
    <xdr:pic>
      <xdr:nvPicPr>
        <xdr:cNvPr id="332" name="Obraz 331">
          <a:extLst>
            <a:ext uri="{FF2B5EF4-FFF2-40B4-BE49-F238E27FC236}">
              <a16:creationId xmlns:a16="http://schemas.microsoft.com/office/drawing/2014/main" id="{F285CDA2-1765-9108-ACBB-F6D06D2B0E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83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169</xdr:row>
      <xdr:rowOff>760942</xdr:rowOff>
    </xdr:from>
    <xdr:to>
      <xdr:col>0</xdr:col>
      <xdr:colOff>871538</xdr:colOff>
      <xdr:row>170</xdr:row>
      <xdr:rowOff>760942</xdr:rowOff>
    </xdr:to>
    <xdr:pic>
      <xdr:nvPicPr>
        <xdr:cNvPr id="334" name="Obraz 333">
          <a:extLst>
            <a:ext uri="{FF2B5EF4-FFF2-40B4-BE49-F238E27FC236}">
              <a16:creationId xmlns:a16="http://schemas.microsoft.com/office/drawing/2014/main" id="{6D07A125-BD69-52F2-FD8D-54E7B75C4D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90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170</xdr:row>
      <xdr:rowOff>760942</xdr:rowOff>
    </xdr:from>
    <xdr:to>
      <xdr:col>0</xdr:col>
      <xdr:colOff>871538</xdr:colOff>
      <xdr:row>171</xdr:row>
      <xdr:rowOff>760942</xdr:rowOff>
    </xdr:to>
    <xdr:pic>
      <xdr:nvPicPr>
        <xdr:cNvPr id="336" name="Obraz 335">
          <a:extLst>
            <a:ext uri="{FF2B5EF4-FFF2-40B4-BE49-F238E27FC236}">
              <a16:creationId xmlns:a16="http://schemas.microsoft.com/office/drawing/2014/main" id="{04FC4015-1DA4-EC61-D697-C0E2DAD626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98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171</xdr:row>
      <xdr:rowOff>760942</xdr:rowOff>
    </xdr:from>
    <xdr:to>
      <xdr:col>0</xdr:col>
      <xdr:colOff>871538</xdr:colOff>
      <xdr:row>172</xdr:row>
      <xdr:rowOff>760942</xdr:rowOff>
    </xdr:to>
    <xdr:pic>
      <xdr:nvPicPr>
        <xdr:cNvPr id="338" name="Obraz 337">
          <a:extLst>
            <a:ext uri="{FF2B5EF4-FFF2-40B4-BE49-F238E27FC236}">
              <a16:creationId xmlns:a16="http://schemas.microsoft.com/office/drawing/2014/main" id="{7E9A0F74-1AE7-E0DB-7C2C-DBD42C7C70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05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172</xdr:row>
      <xdr:rowOff>760942</xdr:rowOff>
    </xdr:from>
    <xdr:to>
      <xdr:col>0</xdr:col>
      <xdr:colOff>871538</xdr:colOff>
      <xdr:row>173</xdr:row>
      <xdr:rowOff>760942</xdr:rowOff>
    </xdr:to>
    <xdr:pic>
      <xdr:nvPicPr>
        <xdr:cNvPr id="340" name="Obraz 339">
          <a:extLst>
            <a:ext uri="{FF2B5EF4-FFF2-40B4-BE49-F238E27FC236}">
              <a16:creationId xmlns:a16="http://schemas.microsoft.com/office/drawing/2014/main" id="{AE5ECE40-3476-3C3A-3124-3B49D39D13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13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173</xdr:row>
      <xdr:rowOff>760942</xdr:rowOff>
    </xdr:from>
    <xdr:to>
      <xdr:col>0</xdr:col>
      <xdr:colOff>871538</xdr:colOff>
      <xdr:row>174</xdr:row>
      <xdr:rowOff>760942</xdr:rowOff>
    </xdr:to>
    <xdr:pic>
      <xdr:nvPicPr>
        <xdr:cNvPr id="342" name="Obraz 341">
          <a:extLst>
            <a:ext uri="{FF2B5EF4-FFF2-40B4-BE49-F238E27FC236}">
              <a16:creationId xmlns:a16="http://schemas.microsoft.com/office/drawing/2014/main" id="{AD7590D3-DF20-2B33-42BE-BF8CE64277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21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174</xdr:row>
      <xdr:rowOff>760942</xdr:rowOff>
    </xdr:from>
    <xdr:to>
      <xdr:col>0</xdr:col>
      <xdr:colOff>871538</xdr:colOff>
      <xdr:row>175</xdr:row>
      <xdr:rowOff>760942</xdr:rowOff>
    </xdr:to>
    <xdr:pic>
      <xdr:nvPicPr>
        <xdr:cNvPr id="344" name="Obraz 343">
          <a:extLst>
            <a:ext uri="{FF2B5EF4-FFF2-40B4-BE49-F238E27FC236}">
              <a16:creationId xmlns:a16="http://schemas.microsoft.com/office/drawing/2014/main" id="{C5ECC74B-7972-F109-DD8D-1C32FC31C2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28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175</xdr:row>
      <xdr:rowOff>760942</xdr:rowOff>
    </xdr:from>
    <xdr:to>
      <xdr:col>0</xdr:col>
      <xdr:colOff>871538</xdr:colOff>
      <xdr:row>176</xdr:row>
      <xdr:rowOff>760942</xdr:rowOff>
    </xdr:to>
    <xdr:pic>
      <xdr:nvPicPr>
        <xdr:cNvPr id="346" name="Obraz 345">
          <a:extLst>
            <a:ext uri="{FF2B5EF4-FFF2-40B4-BE49-F238E27FC236}">
              <a16:creationId xmlns:a16="http://schemas.microsoft.com/office/drawing/2014/main" id="{B529472B-4B88-07F0-0226-2A8A7C9BBE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36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176</xdr:row>
      <xdr:rowOff>760942</xdr:rowOff>
    </xdr:from>
    <xdr:to>
      <xdr:col>0</xdr:col>
      <xdr:colOff>871538</xdr:colOff>
      <xdr:row>177</xdr:row>
      <xdr:rowOff>760942</xdr:rowOff>
    </xdr:to>
    <xdr:pic>
      <xdr:nvPicPr>
        <xdr:cNvPr id="348" name="Obraz 347">
          <a:extLst>
            <a:ext uri="{FF2B5EF4-FFF2-40B4-BE49-F238E27FC236}">
              <a16:creationId xmlns:a16="http://schemas.microsoft.com/office/drawing/2014/main" id="{EEC4C0C7-3E5C-7ED9-FC75-848A178DB6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44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177</xdr:row>
      <xdr:rowOff>760942</xdr:rowOff>
    </xdr:from>
    <xdr:to>
      <xdr:col>0</xdr:col>
      <xdr:colOff>871538</xdr:colOff>
      <xdr:row>178</xdr:row>
      <xdr:rowOff>760942</xdr:rowOff>
    </xdr:to>
    <xdr:pic>
      <xdr:nvPicPr>
        <xdr:cNvPr id="350" name="Obraz 349">
          <a:extLst>
            <a:ext uri="{FF2B5EF4-FFF2-40B4-BE49-F238E27FC236}">
              <a16:creationId xmlns:a16="http://schemas.microsoft.com/office/drawing/2014/main" id="{1B6C49FF-B37B-2C09-B819-74EEEC129B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51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178</xdr:row>
      <xdr:rowOff>760942</xdr:rowOff>
    </xdr:from>
    <xdr:to>
      <xdr:col>0</xdr:col>
      <xdr:colOff>871538</xdr:colOff>
      <xdr:row>179</xdr:row>
      <xdr:rowOff>760942</xdr:rowOff>
    </xdr:to>
    <xdr:pic>
      <xdr:nvPicPr>
        <xdr:cNvPr id="352" name="Obraz 351">
          <a:extLst>
            <a:ext uri="{FF2B5EF4-FFF2-40B4-BE49-F238E27FC236}">
              <a16:creationId xmlns:a16="http://schemas.microsoft.com/office/drawing/2014/main" id="{6F6F0799-8A59-669F-3DB7-88D9F01FF8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59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179</xdr:row>
      <xdr:rowOff>760942</xdr:rowOff>
    </xdr:from>
    <xdr:to>
      <xdr:col>0</xdr:col>
      <xdr:colOff>871538</xdr:colOff>
      <xdr:row>180</xdr:row>
      <xdr:rowOff>760942</xdr:rowOff>
    </xdr:to>
    <xdr:pic>
      <xdr:nvPicPr>
        <xdr:cNvPr id="354" name="Obraz 353">
          <a:extLst>
            <a:ext uri="{FF2B5EF4-FFF2-40B4-BE49-F238E27FC236}">
              <a16:creationId xmlns:a16="http://schemas.microsoft.com/office/drawing/2014/main" id="{C6BA9F1E-2789-E436-6A42-F00F3880E3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66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180</xdr:row>
      <xdr:rowOff>760942</xdr:rowOff>
    </xdr:from>
    <xdr:to>
      <xdr:col>0</xdr:col>
      <xdr:colOff>871538</xdr:colOff>
      <xdr:row>181</xdr:row>
      <xdr:rowOff>760942</xdr:rowOff>
    </xdr:to>
    <xdr:pic>
      <xdr:nvPicPr>
        <xdr:cNvPr id="356" name="Obraz 355">
          <a:extLst>
            <a:ext uri="{FF2B5EF4-FFF2-40B4-BE49-F238E27FC236}">
              <a16:creationId xmlns:a16="http://schemas.microsoft.com/office/drawing/2014/main" id="{C12B8DD5-ED88-AAD7-20DE-DF6BACAEEC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74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181</xdr:row>
      <xdr:rowOff>760942</xdr:rowOff>
    </xdr:from>
    <xdr:to>
      <xdr:col>0</xdr:col>
      <xdr:colOff>871538</xdr:colOff>
      <xdr:row>182</xdr:row>
      <xdr:rowOff>760942</xdr:rowOff>
    </xdr:to>
    <xdr:pic>
      <xdr:nvPicPr>
        <xdr:cNvPr id="358" name="Obraz 357">
          <a:extLst>
            <a:ext uri="{FF2B5EF4-FFF2-40B4-BE49-F238E27FC236}">
              <a16:creationId xmlns:a16="http://schemas.microsoft.com/office/drawing/2014/main" id="{D904910F-57CF-D1E5-C63D-012CC8F265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82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182</xdr:row>
      <xdr:rowOff>760942</xdr:rowOff>
    </xdr:from>
    <xdr:to>
      <xdr:col>0</xdr:col>
      <xdr:colOff>871538</xdr:colOff>
      <xdr:row>183</xdr:row>
      <xdr:rowOff>760942</xdr:rowOff>
    </xdr:to>
    <xdr:pic>
      <xdr:nvPicPr>
        <xdr:cNvPr id="360" name="Obraz 359">
          <a:extLst>
            <a:ext uri="{FF2B5EF4-FFF2-40B4-BE49-F238E27FC236}">
              <a16:creationId xmlns:a16="http://schemas.microsoft.com/office/drawing/2014/main" id="{01672283-3E57-C973-5BF0-011E067F02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89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183</xdr:row>
      <xdr:rowOff>760942</xdr:rowOff>
    </xdr:from>
    <xdr:to>
      <xdr:col>0</xdr:col>
      <xdr:colOff>871538</xdr:colOff>
      <xdr:row>184</xdr:row>
      <xdr:rowOff>760942</xdr:rowOff>
    </xdr:to>
    <xdr:pic>
      <xdr:nvPicPr>
        <xdr:cNvPr id="362" name="Obraz 361">
          <a:extLst>
            <a:ext uri="{FF2B5EF4-FFF2-40B4-BE49-F238E27FC236}">
              <a16:creationId xmlns:a16="http://schemas.microsoft.com/office/drawing/2014/main" id="{5E7BC0C2-300F-3441-DCC0-DD09D463E3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97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184</xdr:row>
      <xdr:rowOff>760942</xdr:rowOff>
    </xdr:from>
    <xdr:to>
      <xdr:col>0</xdr:col>
      <xdr:colOff>871538</xdr:colOff>
      <xdr:row>185</xdr:row>
      <xdr:rowOff>760942</xdr:rowOff>
    </xdr:to>
    <xdr:pic>
      <xdr:nvPicPr>
        <xdr:cNvPr id="364" name="Obraz 363">
          <a:extLst>
            <a:ext uri="{FF2B5EF4-FFF2-40B4-BE49-F238E27FC236}">
              <a16:creationId xmlns:a16="http://schemas.microsoft.com/office/drawing/2014/main" id="{D3579388-B44A-08C6-7017-04343B815D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05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185</xdr:row>
      <xdr:rowOff>760942</xdr:rowOff>
    </xdr:from>
    <xdr:to>
      <xdr:col>0</xdr:col>
      <xdr:colOff>871538</xdr:colOff>
      <xdr:row>186</xdr:row>
      <xdr:rowOff>760942</xdr:rowOff>
    </xdr:to>
    <xdr:pic>
      <xdr:nvPicPr>
        <xdr:cNvPr id="366" name="Obraz 365">
          <a:extLst>
            <a:ext uri="{FF2B5EF4-FFF2-40B4-BE49-F238E27FC236}">
              <a16:creationId xmlns:a16="http://schemas.microsoft.com/office/drawing/2014/main" id="{8B6118A4-3954-D4B5-C540-4E9372B4A5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12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186</xdr:row>
      <xdr:rowOff>760942</xdr:rowOff>
    </xdr:from>
    <xdr:to>
      <xdr:col>0</xdr:col>
      <xdr:colOff>871538</xdr:colOff>
      <xdr:row>187</xdr:row>
      <xdr:rowOff>760942</xdr:rowOff>
    </xdr:to>
    <xdr:pic>
      <xdr:nvPicPr>
        <xdr:cNvPr id="368" name="Obraz 367">
          <a:extLst>
            <a:ext uri="{FF2B5EF4-FFF2-40B4-BE49-F238E27FC236}">
              <a16:creationId xmlns:a16="http://schemas.microsoft.com/office/drawing/2014/main" id="{BCB3CEFE-69AC-E3B8-1F30-CA14A03D9F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20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187</xdr:row>
      <xdr:rowOff>760942</xdr:rowOff>
    </xdr:from>
    <xdr:to>
      <xdr:col>0</xdr:col>
      <xdr:colOff>871538</xdr:colOff>
      <xdr:row>188</xdr:row>
      <xdr:rowOff>760942</xdr:rowOff>
    </xdr:to>
    <xdr:pic>
      <xdr:nvPicPr>
        <xdr:cNvPr id="370" name="Obraz 369">
          <a:extLst>
            <a:ext uri="{FF2B5EF4-FFF2-40B4-BE49-F238E27FC236}">
              <a16:creationId xmlns:a16="http://schemas.microsoft.com/office/drawing/2014/main" id="{98A7B303-1A42-9F1D-8AF2-F82C4FF03A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27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188</xdr:row>
      <xdr:rowOff>760942</xdr:rowOff>
    </xdr:from>
    <xdr:to>
      <xdr:col>0</xdr:col>
      <xdr:colOff>871538</xdr:colOff>
      <xdr:row>189</xdr:row>
      <xdr:rowOff>760942</xdr:rowOff>
    </xdr:to>
    <xdr:pic>
      <xdr:nvPicPr>
        <xdr:cNvPr id="372" name="Obraz 371">
          <a:extLst>
            <a:ext uri="{FF2B5EF4-FFF2-40B4-BE49-F238E27FC236}">
              <a16:creationId xmlns:a16="http://schemas.microsoft.com/office/drawing/2014/main" id="{1E769B3B-EEAB-B26C-E9ED-22BF3509B1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35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189</xdr:row>
      <xdr:rowOff>760942</xdr:rowOff>
    </xdr:from>
    <xdr:to>
      <xdr:col>0</xdr:col>
      <xdr:colOff>871538</xdr:colOff>
      <xdr:row>190</xdr:row>
      <xdr:rowOff>760942</xdr:rowOff>
    </xdr:to>
    <xdr:pic>
      <xdr:nvPicPr>
        <xdr:cNvPr id="374" name="Obraz 373">
          <a:extLst>
            <a:ext uri="{FF2B5EF4-FFF2-40B4-BE49-F238E27FC236}">
              <a16:creationId xmlns:a16="http://schemas.microsoft.com/office/drawing/2014/main" id="{86F97CAC-9370-46CC-1DF8-761B2B5732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43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190</xdr:row>
      <xdr:rowOff>760942</xdr:rowOff>
    </xdr:from>
    <xdr:to>
      <xdr:col>0</xdr:col>
      <xdr:colOff>871538</xdr:colOff>
      <xdr:row>191</xdr:row>
      <xdr:rowOff>760942</xdr:rowOff>
    </xdr:to>
    <xdr:pic>
      <xdr:nvPicPr>
        <xdr:cNvPr id="376" name="Obraz 375">
          <a:extLst>
            <a:ext uri="{FF2B5EF4-FFF2-40B4-BE49-F238E27FC236}">
              <a16:creationId xmlns:a16="http://schemas.microsoft.com/office/drawing/2014/main" id="{531E4523-0E32-ECE8-C2BE-F624E6E5D1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50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191</xdr:row>
      <xdr:rowOff>760942</xdr:rowOff>
    </xdr:from>
    <xdr:to>
      <xdr:col>0</xdr:col>
      <xdr:colOff>871538</xdr:colOff>
      <xdr:row>192</xdr:row>
      <xdr:rowOff>760942</xdr:rowOff>
    </xdr:to>
    <xdr:pic>
      <xdr:nvPicPr>
        <xdr:cNvPr id="378" name="Obraz 377">
          <a:extLst>
            <a:ext uri="{FF2B5EF4-FFF2-40B4-BE49-F238E27FC236}">
              <a16:creationId xmlns:a16="http://schemas.microsoft.com/office/drawing/2014/main" id="{F7C72554-70AE-67D6-5A4A-7F89C795E8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58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192</xdr:row>
      <xdr:rowOff>760942</xdr:rowOff>
    </xdr:from>
    <xdr:to>
      <xdr:col>0</xdr:col>
      <xdr:colOff>871538</xdr:colOff>
      <xdr:row>193</xdr:row>
      <xdr:rowOff>760942</xdr:rowOff>
    </xdr:to>
    <xdr:pic>
      <xdr:nvPicPr>
        <xdr:cNvPr id="380" name="Obraz 379">
          <a:extLst>
            <a:ext uri="{FF2B5EF4-FFF2-40B4-BE49-F238E27FC236}">
              <a16:creationId xmlns:a16="http://schemas.microsoft.com/office/drawing/2014/main" id="{E5E23DCA-BEEB-D2A1-C4E4-F009BB4178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65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193</xdr:row>
      <xdr:rowOff>760942</xdr:rowOff>
    </xdr:from>
    <xdr:to>
      <xdr:col>0</xdr:col>
      <xdr:colOff>871538</xdr:colOff>
      <xdr:row>194</xdr:row>
      <xdr:rowOff>760942</xdr:rowOff>
    </xdr:to>
    <xdr:pic>
      <xdr:nvPicPr>
        <xdr:cNvPr id="382" name="Obraz 381">
          <a:extLst>
            <a:ext uri="{FF2B5EF4-FFF2-40B4-BE49-F238E27FC236}">
              <a16:creationId xmlns:a16="http://schemas.microsoft.com/office/drawing/2014/main" id="{2518406C-4862-7AA8-EA65-5D239C6302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73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194</xdr:row>
      <xdr:rowOff>760942</xdr:rowOff>
    </xdr:from>
    <xdr:to>
      <xdr:col>0</xdr:col>
      <xdr:colOff>871538</xdr:colOff>
      <xdr:row>195</xdr:row>
      <xdr:rowOff>760942</xdr:rowOff>
    </xdr:to>
    <xdr:pic>
      <xdr:nvPicPr>
        <xdr:cNvPr id="384" name="Obraz 383">
          <a:extLst>
            <a:ext uri="{FF2B5EF4-FFF2-40B4-BE49-F238E27FC236}">
              <a16:creationId xmlns:a16="http://schemas.microsoft.com/office/drawing/2014/main" id="{2AB5B1FB-6D22-7385-995B-A1CD40FA3F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81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195</xdr:row>
      <xdr:rowOff>760942</xdr:rowOff>
    </xdr:from>
    <xdr:to>
      <xdr:col>0</xdr:col>
      <xdr:colOff>871538</xdr:colOff>
      <xdr:row>196</xdr:row>
      <xdr:rowOff>760942</xdr:rowOff>
    </xdr:to>
    <xdr:pic>
      <xdr:nvPicPr>
        <xdr:cNvPr id="386" name="Obraz 385">
          <a:extLst>
            <a:ext uri="{FF2B5EF4-FFF2-40B4-BE49-F238E27FC236}">
              <a16:creationId xmlns:a16="http://schemas.microsoft.com/office/drawing/2014/main" id="{F7832C75-914C-1D28-C4D1-199A92281D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88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196</xdr:row>
      <xdr:rowOff>760942</xdr:rowOff>
    </xdr:from>
    <xdr:to>
      <xdr:col>0</xdr:col>
      <xdr:colOff>871538</xdr:colOff>
      <xdr:row>197</xdr:row>
      <xdr:rowOff>760942</xdr:rowOff>
    </xdr:to>
    <xdr:pic>
      <xdr:nvPicPr>
        <xdr:cNvPr id="388" name="Obraz 387">
          <a:extLst>
            <a:ext uri="{FF2B5EF4-FFF2-40B4-BE49-F238E27FC236}">
              <a16:creationId xmlns:a16="http://schemas.microsoft.com/office/drawing/2014/main" id="{AF0CA17D-9C83-45C7-B86D-B3586CFDAF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96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197</xdr:row>
      <xdr:rowOff>760942</xdr:rowOff>
    </xdr:from>
    <xdr:to>
      <xdr:col>0</xdr:col>
      <xdr:colOff>871538</xdr:colOff>
      <xdr:row>198</xdr:row>
      <xdr:rowOff>760942</xdr:rowOff>
    </xdr:to>
    <xdr:pic>
      <xdr:nvPicPr>
        <xdr:cNvPr id="390" name="Obraz 389">
          <a:extLst>
            <a:ext uri="{FF2B5EF4-FFF2-40B4-BE49-F238E27FC236}">
              <a16:creationId xmlns:a16="http://schemas.microsoft.com/office/drawing/2014/main" id="{935C23B8-270F-DB65-5066-7A6F61D2D7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04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198</xdr:row>
      <xdr:rowOff>760942</xdr:rowOff>
    </xdr:from>
    <xdr:to>
      <xdr:col>0</xdr:col>
      <xdr:colOff>871538</xdr:colOff>
      <xdr:row>199</xdr:row>
      <xdr:rowOff>760942</xdr:rowOff>
    </xdr:to>
    <xdr:pic>
      <xdr:nvPicPr>
        <xdr:cNvPr id="392" name="Obraz 391">
          <a:extLst>
            <a:ext uri="{FF2B5EF4-FFF2-40B4-BE49-F238E27FC236}">
              <a16:creationId xmlns:a16="http://schemas.microsoft.com/office/drawing/2014/main" id="{15C16E94-00D7-0446-CAF0-E7EC030945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11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199</xdr:row>
      <xdr:rowOff>760942</xdr:rowOff>
    </xdr:from>
    <xdr:to>
      <xdr:col>0</xdr:col>
      <xdr:colOff>871538</xdr:colOff>
      <xdr:row>200</xdr:row>
      <xdr:rowOff>760942</xdr:rowOff>
    </xdr:to>
    <xdr:pic>
      <xdr:nvPicPr>
        <xdr:cNvPr id="394" name="Obraz 393">
          <a:extLst>
            <a:ext uri="{FF2B5EF4-FFF2-40B4-BE49-F238E27FC236}">
              <a16:creationId xmlns:a16="http://schemas.microsoft.com/office/drawing/2014/main" id="{17229392-7FA8-447D-615A-F1780BE93F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19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200</xdr:row>
      <xdr:rowOff>760942</xdr:rowOff>
    </xdr:from>
    <xdr:to>
      <xdr:col>0</xdr:col>
      <xdr:colOff>871538</xdr:colOff>
      <xdr:row>201</xdr:row>
      <xdr:rowOff>760942</xdr:rowOff>
    </xdr:to>
    <xdr:pic>
      <xdr:nvPicPr>
        <xdr:cNvPr id="396" name="Obraz 395">
          <a:extLst>
            <a:ext uri="{FF2B5EF4-FFF2-40B4-BE49-F238E27FC236}">
              <a16:creationId xmlns:a16="http://schemas.microsoft.com/office/drawing/2014/main" id="{B790D0FB-A54C-A52F-C8FB-434B67C1A8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26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201</xdr:row>
      <xdr:rowOff>760942</xdr:rowOff>
    </xdr:from>
    <xdr:to>
      <xdr:col>0</xdr:col>
      <xdr:colOff>871538</xdr:colOff>
      <xdr:row>202</xdr:row>
      <xdr:rowOff>760942</xdr:rowOff>
    </xdr:to>
    <xdr:pic>
      <xdr:nvPicPr>
        <xdr:cNvPr id="398" name="Obraz 397">
          <a:extLst>
            <a:ext uri="{FF2B5EF4-FFF2-40B4-BE49-F238E27FC236}">
              <a16:creationId xmlns:a16="http://schemas.microsoft.com/office/drawing/2014/main" id="{A2B70774-6088-B3EE-8126-0293B28970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34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202</xdr:row>
      <xdr:rowOff>760942</xdr:rowOff>
    </xdr:from>
    <xdr:to>
      <xdr:col>0</xdr:col>
      <xdr:colOff>871538</xdr:colOff>
      <xdr:row>203</xdr:row>
      <xdr:rowOff>760942</xdr:rowOff>
    </xdr:to>
    <xdr:pic>
      <xdr:nvPicPr>
        <xdr:cNvPr id="400" name="Obraz 399">
          <a:extLst>
            <a:ext uri="{FF2B5EF4-FFF2-40B4-BE49-F238E27FC236}">
              <a16:creationId xmlns:a16="http://schemas.microsoft.com/office/drawing/2014/main" id="{5A17E1CB-FB05-3389-1C38-1A76A4F2A7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42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203</xdr:row>
      <xdr:rowOff>760942</xdr:rowOff>
    </xdr:from>
    <xdr:to>
      <xdr:col>0</xdr:col>
      <xdr:colOff>871538</xdr:colOff>
      <xdr:row>204</xdr:row>
      <xdr:rowOff>760942</xdr:rowOff>
    </xdr:to>
    <xdr:pic>
      <xdr:nvPicPr>
        <xdr:cNvPr id="402" name="Obraz 401">
          <a:extLst>
            <a:ext uri="{FF2B5EF4-FFF2-40B4-BE49-F238E27FC236}">
              <a16:creationId xmlns:a16="http://schemas.microsoft.com/office/drawing/2014/main" id="{ECD6709A-EB8E-31B4-2697-60D3BC7712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49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204</xdr:row>
      <xdr:rowOff>760942</xdr:rowOff>
    </xdr:from>
    <xdr:to>
      <xdr:col>0</xdr:col>
      <xdr:colOff>871538</xdr:colOff>
      <xdr:row>205</xdr:row>
      <xdr:rowOff>760942</xdr:rowOff>
    </xdr:to>
    <xdr:pic>
      <xdr:nvPicPr>
        <xdr:cNvPr id="404" name="Obraz 403">
          <a:extLst>
            <a:ext uri="{FF2B5EF4-FFF2-40B4-BE49-F238E27FC236}">
              <a16:creationId xmlns:a16="http://schemas.microsoft.com/office/drawing/2014/main" id="{B967AE41-3954-1FB8-5E58-3AF55D0100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57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205</xdr:row>
      <xdr:rowOff>760942</xdr:rowOff>
    </xdr:from>
    <xdr:to>
      <xdr:col>0</xdr:col>
      <xdr:colOff>871538</xdr:colOff>
      <xdr:row>206</xdr:row>
      <xdr:rowOff>760942</xdr:rowOff>
    </xdr:to>
    <xdr:pic>
      <xdr:nvPicPr>
        <xdr:cNvPr id="406" name="Obraz 405">
          <a:extLst>
            <a:ext uri="{FF2B5EF4-FFF2-40B4-BE49-F238E27FC236}">
              <a16:creationId xmlns:a16="http://schemas.microsoft.com/office/drawing/2014/main" id="{5A049829-49D2-DC0F-FEF6-20CDD84406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65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206</xdr:row>
      <xdr:rowOff>760942</xdr:rowOff>
    </xdr:from>
    <xdr:to>
      <xdr:col>0</xdr:col>
      <xdr:colOff>871538</xdr:colOff>
      <xdr:row>207</xdr:row>
      <xdr:rowOff>760942</xdr:rowOff>
    </xdr:to>
    <xdr:pic>
      <xdr:nvPicPr>
        <xdr:cNvPr id="408" name="Obraz 407">
          <a:extLst>
            <a:ext uri="{FF2B5EF4-FFF2-40B4-BE49-F238E27FC236}">
              <a16:creationId xmlns:a16="http://schemas.microsoft.com/office/drawing/2014/main" id="{068CD016-BF09-83AE-4D4E-AC19B16015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72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207</xdr:row>
      <xdr:rowOff>760942</xdr:rowOff>
    </xdr:from>
    <xdr:to>
      <xdr:col>0</xdr:col>
      <xdr:colOff>871538</xdr:colOff>
      <xdr:row>208</xdr:row>
      <xdr:rowOff>760942</xdr:rowOff>
    </xdr:to>
    <xdr:pic>
      <xdr:nvPicPr>
        <xdr:cNvPr id="410" name="Obraz 409">
          <a:extLst>
            <a:ext uri="{FF2B5EF4-FFF2-40B4-BE49-F238E27FC236}">
              <a16:creationId xmlns:a16="http://schemas.microsoft.com/office/drawing/2014/main" id="{C21CBF9B-C074-2337-067D-EE1E127AFF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80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208</xdr:row>
      <xdr:rowOff>760942</xdr:rowOff>
    </xdr:from>
    <xdr:to>
      <xdr:col>0</xdr:col>
      <xdr:colOff>871538</xdr:colOff>
      <xdr:row>209</xdr:row>
      <xdr:rowOff>760942</xdr:rowOff>
    </xdr:to>
    <xdr:pic>
      <xdr:nvPicPr>
        <xdr:cNvPr id="412" name="Obraz 411">
          <a:extLst>
            <a:ext uri="{FF2B5EF4-FFF2-40B4-BE49-F238E27FC236}">
              <a16:creationId xmlns:a16="http://schemas.microsoft.com/office/drawing/2014/main" id="{D1F31F15-2F2A-8EE5-AFE7-8BBC760AFD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87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209</xdr:row>
      <xdr:rowOff>760942</xdr:rowOff>
    </xdr:from>
    <xdr:to>
      <xdr:col>0</xdr:col>
      <xdr:colOff>871538</xdr:colOff>
      <xdr:row>210</xdr:row>
      <xdr:rowOff>760942</xdr:rowOff>
    </xdr:to>
    <xdr:pic>
      <xdr:nvPicPr>
        <xdr:cNvPr id="414" name="Obraz 413">
          <a:extLst>
            <a:ext uri="{FF2B5EF4-FFF2-40B4-BE49-F238E27FC236}">
              <a16:creationId xmlns:a16="http://schemas.microsoft.com/office/drawing/2014/main" id="{F4355A88-7688-22CF-E32E-DA3FFBD14D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95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210</xdr:row>
      <xdr:rowOff>760942</xdr:rowOff>
    </xdr:from>
    <xdr:to>
      <xdr:col>0</xdr:col>
      <xdr:colOff>871538</xdr:colOff>
      <xdr:row>211</xdr:row>
      <xdr:rowOff>760942</xdr:rowOff>
    </xdr:to>
    <xdr:pic>
      <xdr:nvPicPr>
        <xdr:cNvPr id="416" name="Obraz 415">
          <a:extLst>
            <a:ext uri="{FF2B5EF4-FFF2-40B4-BE49-F238E27FC236}">
              <a16:creationId xmlns:a16="http://schemas.microsoft.com/office/drawing/2014/main" id="{DB1BA0DF-87DD-EA60-BF90-E9EE445A40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03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211</xdr:row>
      <xdr:rowOff>760942</xdr:rowOff>
    </xdr:from>
    <xdr:to>
      <xdr:col>0</xdr:col>
      <xdr:colOff>871538</xdr:colOff>
      <xdr:row>212</xdr:row>
      <xdr:rowOff>760942</xdr:rowOff>
    </xdr:to>
    <xdr:pic>
      <xdr:nvPicPr>
        <xdr:cNvPr id="418" name="Obraz 417">
          <a:extLst>
            <a:ext uri="{FF2B5EF4-FFF2-40B4-BE49-F238E27FC236}">
              <a16:creationId xmlns:a16="http://schemas.microsoft.com/office/drawing/2014/main" id="{D65B042C-7B31-B1F9-CBDA-F8DC1AF6E5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10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212</xdr:row>
      <xdr:rowOff>760942</xdr:rowOff>
    </xdr:from>
    <xdr:to>
      <xdr:col>0</xdr:col>
      <xdr:colOff>871538</xdr:colOff>
      <xdr:row>213</xdr:row>
      <xdr:rowOff>760942</xdr:rowOff>
    </xdr:to>
    <xdr:pic>
      <xdr:nvPicPr>
        <xdr:cNvPr id="420" name="Obraz 419">
          <a:extLst>
            <a:ext uri="{FF2B5EF4-FFF2-40B4-BE49-F238E27FC236}">
              <a16:creationId xmlns:a16="http://schemas.microsoft.com/office/drawing/2014/main" id="{170905E1-9B47-7B7C-8AC9-0A99708083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18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213</xdr:row>
      <xdr:rowOff>760942</xdr:rowOff>
    </xdr:from>
    <xdr:to>
      <xdr:col>0</xdr:col>
      <xdr:colOff>871538</xdr:colOff>
      <xdr:row>214</xdr:row>
      <xdr:rowOff>760942</xdr:rowOff>
    </xdr:to>
    <xdr:pic>
      <xdr:nvPicPr>
        <xdr:cNvPr id="422" name="Obraz 421">
          <a:extLst>
            <a:ext uri="{FF2B5EF4-FFF2-40B4-BE49-F238E27FC236}">
              <a16:creationId xmlns:a16="http://schemas.microsoft.com/office/drawing/2014/main" id="{FD27EF8A-02BB-ED01-5C46-73175D99D1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26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214</xdr:row>
      <xdr:rowOff>760942</xdr:rowOff>
    </xdr:from>
    <xdr:to>
      <xdr:col>0</xdr:col>
      <xdr:colOff>871538</xdr:colOff>
      <xdr:row>215</xdr:row>
      <xdr:rowOff>760942</xdr:rowOff>
    </xdr:to>
    <xdr:pic>
      <xdr:nvPicPr>
        <xdr:cNvPr id="424" name="Obraz 423">
          <a:extLst>
            <a:ext uri="{FF2B5EF4-FFF2-40B4-BE49-F238E27FC236}">
              <a16:creationId xmlns:a16="http://schemas.microsoft.com/office/drawing/2014/main" id="{90C58749-ED66-59BD-E7D4-906D87FEC7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33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215</xdr:row>
      <xdr:rowOff>760942</xdr:rowOff>
    </xdr:from>
    <xdr:to>
      <xdr:col>0</xdr:col>
      <xdr:colOff>871538</xdr:colOff>
      <xdr:row>216</xdr:row>
      <xdr:rowOff>760942</xdr:rowOff>
    </xdr:to>
    <xdr:pic>
      <xdr:nvPicPr>
        <xdr:cNvPr id="426" name="Obraz 425">
          <a:extLst>
            <a:ext uri="{FF2B5EF4-FFF2-40B4-BE49-F238E27FC236}">
              <a16:creationId xmlns:a16="http://schemas.microsoft.com/office/drawing/2014/main" id="{D03DB43C-F22E-BCB6-A119-6E326546AF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41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216</xdr:row>
      <xdr:rowOff>760942</xdr:rowOff>
    </xdr:from>
    <xdr:to>
      <xdr:col>0</xdr:col>
      <xdr:colOff>871538</xdr:colOff>
      <xdr:row>217</xdr:row>
      <xdr:rowOff>760942</xdr:rowOff>
    </xdr:to>
    <xdr:pic>
      <xdr:nvPicPr>
        <xdr:cNvPr id="428" name="Obraz 427">
          <a:extLst>
            <a:ext uri="{FF2B5EF4-FFF2-40B4-BE49-F238E27FC236}">
              <a16:creationId xmlns:a16="http://schemas.microsoft.com/office/drawing/2014/main" id="{DB2D502B-E02B-E92D-6F22-085B76381E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48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217</xdr:row>
      <xdr:rowOff>760942</xdr:rowOff>
    </xdr:from>
    <xdr:to>
      <xdr:col>0</xdr:col>
      <xdr:colOff>871538</xdr:colOff>
      <xdr:row>218</xdr:row>
      <xdr:rowOff>760942</xdr:rowOff>
    </xdr:to>
    <xdr:pic>
      <xdr:nvPicPr>
        <xdr:cNvPr id="430" name="Obraz 429">
          <a:extLst>
            <a:ext uri="{FF2B5EF4-FFF2-40B4-BE49-F238E27FC236}">
              <a16:creationId xmlns:a16="http://schemas.microsoft.com/office/drawing/2014/main" id="{EAFA4015-D70E-7646-7F92-7C777415AE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56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218</xdr:row>
      <xdr:rowOff>760942</xdr:rowOff>
    </xdr:from>
    <xdr:to>
      <xdr:col>0</xdr:col>
      <xdr:colOff>871538</xdr:colOff>
      <xdr:row>219</xdr:row>
      <xdr:rowOff>760942</xdr:rowOff>
    </xdr:to>
    <xdr:pic>
      <xdr:nvPicPr>
        <xdr:cNvPr id="432" name="Obraz 431">
          <a:extLst>
            <a:ext uri="{FF2B5EF4-FFF2-40B4-BE49-F238E27FC236}">
              <a16:creationId xmlns:a16="http://schemas.microsoft.com/office/drawing/2014/main" id="{A587DA39-8370-DB6B-69FC-3AFF53AD57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64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219</xdr:row>
      <xdr:rowOff>760942</xdr:rowOff>
    </xdr:from>
    <xdr:to>
      <xdr:col>0</xdr:col>
      <xdr:colOff>871538</xdr:colOff>
      <xdr:row>220</xdr:row>
      <xdr:rowOff>760942</xdr:rowOff>
    </xdr:to>
    <xdr:pic>
      <xdr:nvPicPr>
        <xdr:cNvPr id="434" name="Obraz 433">
          <a:extLst>
            <a:ext uri="{FF2B5EF4-FFF2-40B4-BE49-F238E27FC236}">
              <a16:creationId xmlns:a16="http://schemas.microsoft.com/office/drawing/2014/main" id="{0A2335FA-DF24-2A74-D660-063E82E845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71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220</xdr:row>
      <xdr:rowOff>760942</xdr:rowOff>
    </xdr:from>
    <xdr:to>
      <xdr:col>0</xdr:col>
      <xdr:colOff>871538</xdr:colOff>
      <xdr:row>221</xdr:row>
      <xdr:rowOff>760942</xdr:rowOff>
    </xdr:to>
    <xdr:pic>
      <xdr:nvPicPr>
        <xdr:cNvPr id="436" name="Obraz 435">
          <a:extLst>
            <a:ext uri="{FF2B5EF4-FFF2-40B4-BE49-F238E27FC236}">
              <a16:creationId xmlns:a16="http://schemas.microsoft.com/office/drawing/2014/main" id="{58CB69FB-D7CC-B4EC-FFF9-263B96DF7C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79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221</xdr:row>
      <xdr:rowOff>760942</xdr:rowOff>
    </xdr:from>
    <xdr:to>
      <xdr:col>0</xdr:col>
      <xdr:colOff>871538</xdr:colOff>
      <xdr:row>222</xdr:row>
      <xdr:rowOff>760942</xdr:rowOff>
    </xdr:to>
    <xdr:pic>
      <xdr:nvPicPr>
        <xdr:cNvPr id="438" name="Obraz 437">
          <a:extLst>
            <a:ext uri="{FF2B5EF4-FFF2-40B4-BE49-F238E27FC236}">
              <a16:creationId xmlns:a16="http://schemas.microsoft.com/office/drawing/2014/main" id="{75F7866F-6D0F-EDF6-32B4-01CDFAE5CC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86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222</xdr:row>
      <xdr:rowOff>760942</xdr:rowOff>
    </xdr:from>
    <xdr:to>
      <xdr:col>0</xdr:col>
      <xdr:colOff>871538</xdr:colOff>
      <xdr:row>223</xdr:row>
      <xdr:rowOff>760942</xdr:rowOff>
    </xdr:to>
    <xdr:pic>
      <xdr:nvPicPr>
        <xdr:cNvPr id="440" name="Obraz 439">
          <a:extLst>
            <a:ext uri="{FF2B5EF4-FFF2-40B4-BE49-F238E27FC236}">
              <a16:creationId xmlns:a16="http://schemas.microsoft.com/office/drawing/2014/main" id="{2DBAE439-AD10-3A2F-7A27-A84A00A544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94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223</xdr:row>
      <xdr:rowOff>760942</xdr:rowOff>
    </xdr:from>
    <xdr:to>
      <xdr:col>0</xdr:col>
      <xdr:colOff>871538</xdr:colOff>
      <xdr:row>224</xdr:row>
      <xdr:rowOff>760942</xdr:rowOff>
    </xdr:to>
    <xdr:pic>
      <xdr:nvPicPr>
        <xdr:cNvPr id="442" name="Obraz 441">
          <a:extLst>
            <a:ext uri="{FF2B5EF4-FFF2-40B4-BE49-F238E27FC236}">
              <a16:creationId xmlns:a16="http://schemas.microsoft.com/office/drawing/2014/main" id="{1D60DDE5-7EA0-3B62-B8AC-5A055A7D39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702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224</xdr:row>
      <xdr:rowOff>760942</xdr:rowOff>
    </xdr:from>
    <xdr:to>
      <xdr:col>0</xdr:col>
      <xdr:colOff>871538</xdr:colOff>
      <xdr:row>225</xdr:row>
      <xdr:rowOff>760942</xdr:rowOff>
    </xdr:to>
    <xdr:pic>
      <xdr:nvPicPr>
        <xdr:cNvPr id="444" name="Obraz 443">
          <a:extLst>
            <a:ext uri="{FF2B5EF4-FFF2-40B4-BE49-F238E27FC236}">
              <a16:creationId xmlns:a16="http://schemas.microsoft.com/office/drawing/2014/main" id="{C63558FF-2327-92B0-1A05-E8DF6B9218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709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225</xdr:row>
      <xdr:rowOff>760942</xdr:rowOff>
    </xdr:from>
    <xdr:to>
      <xdr:col>0</xdr:col>
      <xdr:colOff>871538</xdr:colOff>
      <xdr:row>226</xdr:row>
      <xdr:rowOff>760942</xdr:rowOff>
    </xdr:to>
    <xdr:pic>
      <xdr:nvPicPr>
        <xdr:cNvPr id="446" name="Obraz 445">
          <a:extLst>
            <a:ext uri="{FF2B5EF4-FFF2-40B4-BE49-F238E27FC236}">
              <a16:creationId xmlns:a16="http://schemas.microsoft.com/office/drawing/2014/main" id="{8CEF5EE1-1870-3E49-83A0-B20DB05D1C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717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226</xdr:row>
      <xdr:rowOff>760942</xdr:rowOff>
    </xdr:from>
    <xdr:to>
      <xdr:col>0</xdr:col>
      <xdr:colOff>871538</xdr:colOff>
      <xdr:row>227</xdr:row>
      <xdr:rowOff>760942</xdr:rowOff>
    </xdr:to>
    <xdr:pic>
      <xdr:nvPicPr>
        <xdr:cNvPr id="448" name="Obraz 447">
          <a:extLst>
            <a:ext uri="{FF2B5EF4-FFF2-40B4-BE49-F238E27FC236}">
              <a16:creationId xmlns:a16="http://schemas.microsoft.com/office/drawing/2014/main" id="{F6B5BC60-749D-7451-AA0B-3F0DF746D5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725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233</xdr:row>
      <xdr:rowOff>760942</xdr:rowOff>
    </xdr:from>
    <xdr:to>
      <xdr:col>0</xdr:col>
      <xdr:colOff>871538</xdr:colOff>
      <xdr:row>234</xdr:row>
      <xdr:rowOff>760942</xdr:rowOff>
    </xdr:to>
    <xdr:pic>
      <xdr:nvPicPr>
        <xdr:cNvPr id="450" name="Obraz 449">
          <a:extLst>
            <a:ext uri="{FF2B5EF4-FFF2-40B4-BE49-F238E27FC236}">
              <a16:creationId xmlns:a16="http://schemas.microsoft.com/office/drawing/2014/main" id="{776F4E38-DD9F-E3BF-5F29-AA62EC9C73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778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234</xdr:row>
      <xdr:rowOff>760942</xdr:rowOff>
    </xdr:from>
    <xdr:to>
      <xdr:col>0</xdr:col>
      <xdr:colOff>871538</xdr:colOff>
      <xdr:row>235</xdr:row>
      <xdr:rowOff>760942</xdr:rowOff>
    </xdr:to>
    <xdr:pic>
      <xdr:nvPicPr>
        <xdr:cNvPr id="452" name="Obraz 451">
          <a:extLst>
            <a:ext uri="{FF2B5EF4-FFF2-40B4-BE49-F238E27FC236}">
              <a16:creationId xmlns:a16="http://schemas.microsoft.com/office/drawing/2014/main" id="{C130AF9A-AEAB-1D1D-3286-187628BE38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786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235</xdr:row>
      <xdr:rowOff>760942</xdr:rowOff>
    </xdr:from>
    <xdr:to>
      <xdr:col>0</xdr:col>
      <xdr:colOff>871538</xdr:colOff>
      <xdr:row>236</xdr:row>
      <xdr:rowOff>760942</xdr:rowOff>
    </xdr:to>
    <xdr:pic>
      <xdr:nvPicPr>
        <xdr:cNvPr id="454" name="Obraz 453">
          <a:extLst>
            <a:ext uri="{FF2B5EF4-FFF2-40B4-BE49-F238E27FC236}">
              <a16:creationId xmlns:a16="http://schemas.microsoft.com/office/drawing/2014/main" id="{21844761-D595-432F-6696-C9DDA69BFF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793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236</xdr:row>
      <xdr:rowOff>760942</xdr:rowOff>
    </xdr:from>
    <xdr:to>
      <xdr:col>0</xdr:col>
      <xdr:colOff>871538</xdr:colOff>
      <xdr:row>237</xdr:row>
      <xdr:rowOff>760942</xdr:rowOff>
    </xdr:to>
    <xdr:pic>
      <xdr:nvPicPr>
        <xdr:cNvPr id="456" name="Obraz 455">
          <a:extLst>
            <a:ext uri="{FF2B5EF4-FFF2-40B4-BE49-F238E27FC236}">
              <a16:creationId xmlns:a16="http://schemas.microsoft.com/office/drawing/2014/main" id="{A9F95CBC-AAF6-E063-2FB5-BBE6AA4479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01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237</xdr:row>
      <xdr:rowOff>760942</xdr:rowOff>
    </xdr:from>
    <xdr:to>
      <xdr:col>0</xdr:col>
      <xdr:colOff>871538</xdr:colOff>
      <xdr:row>238</xdr:row>
      <xdr:rowOff>760942</xdr:rowOff>
    </xdr:to>
    <xdr:pic>
      <xdr:nvPicPr>
        <xdr:cNvPr id="458" name="Obraz 457">
          <a:extLst>
            <a:ext uri="{FF2B5EF4-FFF2-40B4-BE49-F238E27FC236}">
              <a16:creationId xmlns:a16="http://schemas.microsoft.com/office/drawing/2014/main" id="{56AB80C1-2990-701E-5226-6304B87E1A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08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238</xdr:row>
      <xdr:rowOff>760942</xdr:rowOff>
    </xdr:from>
    <xdr:to>
      <xdr:col>0</xdr:col>
      <xdr:colOff>871538</xdr:colOff>
      <xdr:row>239</xdr:row>
      <xdr:rowOff>760942</xdr:rowOff>
    </xdr:to>
    <xdr:pic>
      <xdr:nvPicPr>
        <xdr:cNvPr id="460" name="Obraz 459">
          <a:extLst>
            <a:ext uri="{FF2B5EF4-FFF2-40B4-BE49-F238E27FC236}">
              <a16:creationId xmlns:a16="http://schemas.microsoft.com/office/drawing/2014/main" id="{1187D895-05B2-E429-643C-4968956209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16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239</xdr:row>
      <xdr:rowOff>760942</xdr:rowOff>
    </xdr:from>
    <xdr:to>
      <xdr:col>0</xdr:col>
      <xdr:colOff>871538</xdr:colOff>
      <xdr:row>240</xdr:row>
      <xdr:rowOff>760942</xdr:rowOff>
    </xdr:to>
    <xdr:pic>
      <xdr:nvPicPr>
        <xdr:cNvPr id="462" name="Obraz 461">
          <a:extLst>
            <a:ext uri="{FF2B5EF4-FFF2-40B4-BE49-F238E27FC236}">
              <a16:creationId xmlns:a16="http://schemas.microsoft.com/office/drawing/2014/main" id="{15863176-6583-1DAD-0CFE-7ACB119C61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24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240</xdr:row>
      <xdr:rowOff>760942</xdr:rowOff>
    </xdr:from>
    <xdr:to>
      <xdr:col>0</xdr:col>
      <xdr:colOff>871538</xdr:colOff>
      <xdr:row>241</xdr:row>
      <xdr:rowOff>760942</xdr:rowOff>
    </xdr:to>
    <xdr:pic>
      <xdr:nvPicPr>
        <xdr:cNvPr id="464" name="Obraz 463">
          <a:extLst>
            <a:ext uri="{FF2B5EF4-FFF2-40B4-BE49-F238E27FC236}">
              <a16:creationId xmlns:a16="http://schemas.microsoft.com/office/drawing/2014/main" id="{4EF04A67-05EF-5D13-0DE5-FD1BAAFC0C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31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241</xdr:row>
      <xdr:rowOff>760942</xdr:rowOff>
    </xdr:from>
    <xdr:to>
      <xdr:col>0</xdr:col>
      <xdr:colOff>871538</xdr:colOff>
      <xdr:row>242</xdr:row>
      <xdr:rowOff>760942</xdr:rowOff>
    </xdr:to>
    <xdr:pic>
      <xdr:nvPicPr>
        <xdr:cNvPr id="466" name="Obraz 465">
          <a:extLst>
            <a:ext uri="{FF2B5EF4-FFF2-40B4-BE49-F238E27FC236}">
              <a16:creationId xmlns:a16="http://schemas.microsoft.com/office/drawing/2014/main" id="{B9926DAD-275D-3F8C-81AF-F1A39F8E86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39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242</xdr:row>
      <xdr:rowOff>760942</xdr:rowOff>
    </xdr:from>
    <xdr:to>
      <xdr:col>0</xdr:col>
      <xdr:colOff>871538</xdr:colOff>
      <xdr:row>243</xdr:row>
      <xdr:rowOff>760942</xdr:rowOff>
    </xdr:to>
    <xdr:pic>
      <xdr:nvPicPr>
        <xdr:cNvPr id="468" name="Obraz 467">
          <a:extLst>
            <a:ext uri="{FF2B5EF4-FFF2-40B4-BE49-F238E27FC236}">
              <a16:creationId xmlns:a16="http://schemas.microsoft.com/office/drawing/2014/main" id="{7F908F85-2348-3818-27BD-E7EFD80E26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46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243</xdr:row>
      <xdr:rowOff>760942</xdr:rowOff>
    </xdr:from>
    <xdr:to>
      <xdr:col>0</xdr:col>
      <xdr:colOff>871538</xdr:colOff>
      <xdr:row>244</xdr:row>
      <xdr:rowOff>760942</xdr:rowOff>
    </xdr:to>
    <xdr:pic>
      <xdr:nvPicPr>
        <xdr:cNvPr id="470" name="Obraz 469">
          <a:extLst>
            <a:ext uri="{FF2B5EF4-FFF2-40B4-BE49-F238E27FC236}">
              <a16:creationId xmlns:a16="http://schemas.microsoft.com/office/drawing/2014/main" id="{9FC70379-F90A-4EF8-4861-BAB198768D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54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244</xdr:row>
      <xdr:rowOff>760942</xdr:rowOff>
    </xdr:from>
    <xdr:to>
      <xdr:col>0</xdr:col>
      <xdr:colOff>871538</xdr:colOff>
      <xdr:row>245</xdr:row>
      <xdr:rowOff>760942</xdr:rowOff>
    </xdr:to>
    <xdr:pic>
      <xdr:nvPicPr>
        <xdr:cNvPr id="472" name="Obraz 471">
          <a:extLst>
            <a:ext uri="{FF2B5EF4-FFF2-40B4-BE49-F238E27FC236}">
              <a16:creationId xmlns:a16="http://schemas.microsoft.com/office/drawing/2014/main" id="{B00C50EC-2078-B413-65F5-FFC344616D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62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245</xdr:row>
      <xdr:rowOff>760942</xdr:rowOff>
    </xdr:from>
    <xdr:to>
      <xdr:col>0</xdr:col>
      <xdr:colOff>871538</xdr:colOff>
      <xdr:row>246</xdr:row>
      <xdr:rowOff>760942</xdr:rowOff>
    </xdr:to>
    <xdr:pic>
      <xdr:nvPicPr>
        <xdr:cNvPr id="474" name="Obraz 473">
          <a:extLst>
            <a:ext uri="{FF2B5EF4-FFF2-40B4-BE49-F238E27FC236}">
              <a16:creationId xmlns:a16="http://schemas.microsoft.com/office/drawing/2014/main" id="{2B523FB3-A579-2E25-5B7C-2382665865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69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246</xdr:row>
      <xdr:rowOff>760942</xdr:rowOff>
    </xdr:from>
    <xdr:to>
      <xdr:col>0</xdr:col>
      <xdr:colOff>871538</xdr:colOff>
      <xdr:row>247</xdr:row>
      <xdr:rowOff>760942</xdr:rowOff>
    </xdr:to>
    <xdr:pic>
      <xdr:nvPicPr>
        <xdr:cNvPr id="476" name="Obraz 475">
          <a:extLst>
            <a:ext uri="{FF2B5EF4-FFF2-40B4-BE49-F238E27FC236}">
              <a16:creationId xmlns:a16="http://schemas.microsoft.com/office/drawing/2014/main" id="{EA39F8C5-0170-7B8E-E073-C0AA3E878E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77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247</xdr:row>
      <xdr:rowOff>760942</xdr:rowOff>
    </xdr:from>
    <xdr:to>
      <xdr:col>0</xdr:col>
      <xdr:colOff>871538</xdr:colOff>
      <xdr:row>248</xdr:row>
      <xdr:rowOff>760942</xdr:rowOff>
    </xdr:to>
    <xdr:pic>
      <xdr:nvPicPr>
        <xdr:cNvPr id="478" name="Obraz 477">
          <a:extLst>
            <a:ext uri="{FF2B5EF4-FFF2-40B4-BE49-F238E27FC236}">
              <a16:creationId xmlns:a16="http://schemas.microsoft.com/office/drawing/2014/main" id="{6277BD33-1943-D960-A1E9-ADB07DC53A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85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248</xdr:row>
      <xdr:rowOff>760942</xdr:rowOff>
    </xdr:from>
    <xdr:to>
      <xdr:col>0</xdr:col>
      <xdr:colOff>871538</xdr:colOff>
      <xdr:row>249</xdr:row>
      <xdr:rowOff>760942</xdr:rowOff>
    </xdr:to>
    <xdr:pic>
      <xdr:nvPicPr>
        <xdr:cNvPr id="480" name="Obraz 479">
          <a:extLst>
            <a:ext uri="{FF2B5EF4-FFF2-40B4-BE49-F238E27FC236}">
              <a16:creationId xmlns:a16="http://schemas.microsoft.com/office/drawing/2014/main" id="{5698CDED-BCF0-F824-BCB9-469A0010EB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92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249</xdr:row>
      <xdr:rowOff>760942</xdr:rowOff>
    </xdr:from>
    <xdr:to>
      <xdr:col>0</xdr:col>
      <xdr:colOff>871538</xdr:colOff>
      <xdr:row>250</xdr:row>
      <xdr:rowOff>760942</xdr:rowOff>
    </xdr:to>
    <xdr:pic>
      <xdr:nvPicPr>
        <xdr:cNvPr id="482" name="Obraz 481">
          <a:extLst>
            <a:ext uri="{FF2B5EF4-FFF2-40B4-BE49-F238E27FC236}">
              <a16:creationId xmlns:a16="http://schemas.microsoft.com/office/drawing/2014/main" id="{3A10C1BB-806D-9514-9CD6-1C65122494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00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250</xdr:row>
      <xdr:rowOff>760942</xdr:rowOff>
    </xdr:from>
    <xdr:to>
      <xdr:col>0</xdr:col>
      <xdr:colOff>871538</xdr:colOff>
      <xdr:row>251</xdr:row>
      <xdr:rowOff>760942</xdr:rowOff>
    </xdr:to>
    <xdr:pic>
      <xdr:nvPicPr>
        <xdr:cNvPr id="484" name="Obraz 483">
          <a:extLst>
            <a:ext uri="{FF2B5EF4-FFF2-40B4-BE49-F238E27FC236}">
              <a16:creationId xmlns:a16="http://schemas.microsoft.com/office/drawing/2014/main" id="{5C1A1BB1-BD21-F8A5-02A4-EF54FF9B7B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07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251</xdr:row>
      <xdr:rowOff>760942</xdr:rowOff>
    </xdr:from>
    <xdr:to>
      <xdr:col>0</xdr:col>
      <xdr:colOff>871538</xdr:colOff>
      <xdr:row>252</xdr:row>
      <xdr:rowOff>760942</xdr:rowOff>
    </xdr:to>
    <xdr:pic>
      <xdr:nvPicPr>
        <xdr:cNvPr id="486" name="Obraz 485">
          <a:extLst>
            <a:ext uri="{FF2B5EF4-FFF2-40B4-BE49-F238E27FC236}">
              <a16:creationId xmlns:a16="http://schemas.microsoft.com/office/drawing/2014/main" id="{F88201C4-E078-2E75-29C7-6D28EAC148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15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252</xdr:row>
      <xdr:rowOff>760942</xdr:rowOff>
    </xdr:from>
    <xdr:to>
      <xdr:col>0</xdr:col>
      <xdr:colOff>871538</xdr:colOff>
      <xdr:row>253</xdr:row>
      <xdr:rowOff>760942</xdr:rowOff>
    </xdr:to>
    <xdr:pic>
      <xdr:nvPicPr>
        <xdr:cNvPr id="488" name="Obraz 487">
          <a:extLst>
            <a:ext uri="{FF2B5EF4-FFF2-40B4-BE49-F238E27FC236}">
              <a16:creationId xmlns:a16="http://schemas.microsoft.com/office/drawing/2014/main" id="{77318839-A960-FA1E-B5D6-DA5DE179D3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23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253</xdr:row>
      <xdr:rowOff>760942</xdr:rowOff>
    </xdr:from>
    <xdr:to>
      <xdr:col>0</xdr:col>
      <xdr:colOff>871538</xdr:colOff>
      <xdr:row>254</xdr:row>
      <xdr:rowOff>760942</xdr:rowOff>
    </xdr:to>
    <xdr:pic>
      <xdr:nvPicPr>
        <xdr:cNvPr id="490" name="Obraz 489">
          <a:extLst>
            <a:ext uri="{FF2B5EF4-FFF2-40B4-BE49-F238E27FC236}">
              <a16:creationId xmlns:a16="http://schemas.microsoft.com/office/drawing/2014/main" id="{E41F5213-0DD1-C4E9-C4EF-D950FAEF0D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30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254</xdr:row>
      <xdr:rowOff>760942</xdr:rowOff>
    </xdr:from>
    <xdr:to>
      <xdr:col>0</xdr:col>
      <xdr:colOff>871538</xdr:colOff>
      <xdr:row>255</xdr:row>
      <xdr:rowOff>760942</xdr:rowOff>
    </xdr:to>
    <xdr:pic>
      <xdr:nvPicPr>
        <xdr:cNvPr id="492" name="Obraz 491">
          <a:extLst>
            <a:ext uri="{FF2B5EF4-FFF2-40B4-BE49-F238E27FC236}">
              <a16:creationId xmlns:a16="http://schemas.microsoft.com/office/drawing/2014/main" id="{327D12AF-9B7F-531D-299E-929A78E2DA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38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255</xdr:row>
      <xdr:rowOff>760942</xdr:rowOff>
    </xdr:from>
    <xdr:to>
      <xdr:col>0</xdr:col>
      <xdr:colOff>871538</xdr:colOff>
      <xdr:row>256</xdr:row>
      <xdr:rowOff>760942</xdr:rowOff>
    </xdr:to>
    <xdr:pic>
      <xdr:nvPicPr>
        <xdr:cNvPr id="494" name="Obraz 493">
          <a:extLst>
            <a:ext uri="{FF2B5EF4-FFF2-40B4-BE49-F238E27FC236}">
              <a16:creationId xmlns:a16="http://schemas.microsoft.com/office/drawing/2014/main" id="{D2293619-217E-9AAD-4768-0E0BF19834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46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256</xdr:row>
      <xdr:rowOff>760942</xdr:rowOff>
    </xdr:from>
    <xdr:to>
      <xdr:col>0</xdr:col>
      <xdr:colOff>871538</xdr:colOff>
      <xdr:row>257</xdr:row>
      <xdr:rowOff>760942</xdr:rowOff>
    </xdr:to>
    <xdr:pic>
      <xdr:nvPicPr>
        <xdr:cNvPr id="496" name="Obraz 495">
          <a:extLst>
            <a:ext uri="{FF2B5EF4-FFF2-40B4-BE49-F238E27FC236}">
              <a16:creationId xmlns:a16="http://schemas.microsoft.com/office/drawing/2014/main" id="{A68842EA-02E8-EFBA-4803-1099EDB2C6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53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257</xdr:row>
      <xdr:rowOff>760942</xdr:rowOff>
    </xdr:from>
    <xdr:to>
      <xdr:col>0</xdr:col>
      <xdr:colOff>871538</xdr:colOff>
      <xdr:row>258</xdr:row>
      <xdr:rowOff>760942</xdr:rowOff>
    </xdr:to>
    <xdr:pic>
      <xdr:nvPicPr>
        <xdr:cNvPr id="498" name="Obraz 497">
          <a:extLst>
            <a:ext uri="{FF2B5EF4-FFF2-40B4-BE49-F238E27FC236}">
              <a16:creationId xmlns:a16="http://schemas.microsoft.com/office/drawing/2014/main" id="{7B97AD70-6EA6-A12E-30A6-B25875F497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61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258</xdr:row>
      <xdr:rowOff>760942</xdr:rowOff>
    </xdr:from>
    <xdr:to>
      <xdr:col>0</xdr:col>
      <xdr:colOff>871538</xdr:colOff>
      <xdr:row>259</xdr:row>
      <xdr:rowOff>760942</xdr:rowOff>
    </xdr:to>
    <xdr:pic>
      <xdr:nvPicPr>
        <xdr:cNvPr id="500" name="Obraz 499">
          <a:extLst>
            <a:ext uri="{FF2B5EF4-FFF2-40B4-BE49-F238E27FC236}">
              <a16:creationId xmlns:a16="http://schemas.microsoft.com/office/drawing/2014/main" id="{F891014F-2718-4FC4-9628-06D8D15E7E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68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259</xdr:row>
      <xdr:rowOff>760942</xdr:rowOff>
    </xdr:from>
    <xdr:to>
      <xdr:col>0</xdr:col>
      <xdr:colOff>871538</xdr:colOff>
      <xdr:row>260</xdr:row>
      <xdr:rowOff>760942</xdr:rowOff>
    </xdr:to>
    <xdr:pic>
      <xdr:nvPicPr>
        <xdr:cNvPr id="502" name="Obraz 501">
          <a:extLst>
            <a:ext uri="{FF2B5EF4-FFF2-40B4-BE49-F238E27FC236}">
              <a16:creationId xmlns:a16="http://schemas.microsoft.com/office/drawing/2014/main" id="{D8D46549-1E31-F484-9FFF-55F86DA247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76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260</xdr:row>
      <xdr:rowOff>760942</xdr:rowOff>
    </xdr:from>
    <xdr:to>
      <xdr:col>0</xdr:col>
      <xdr:colOff>871538</xdr:colOff>
      <xdr:row>261</xdr:row>
      <xdr:rowOff>760942</xdr:rowOff>
    </xdr:to>
    <xdr:pic>
      <xdr:nvPicPr>
        <xdr:cNvPr id="504" name="Obraz 503">
          <a:extLst>
            <a:ext uri="{FF2B5EF4-FFF2-40B4-BE49-F238E27FC236}">
              <a16:creationId xmlns:a16="http://schemas.microsoft.com/office/drawing/2014/main" id="{593CA801-9AAC-8F08-6A3E-082E9EC751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84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261</xdr:row>
      <xdr:rowOff>760942</xdr:rowOff>
    </xdr:from>
    <xdr:to>
      <xdr:col>0</xdr:col>
      <xdr:colOff>871538</xdr:colOff>
      <xdr:row>262</xdr:row>
      <xdr:rowOff>760942</xdr:rowOff>
    </xdr:to>
    <xdr:pic>
      <xdr:nvPicPr>
        <xdr:cNvPr id="506" name="Obraz 505">
          <a:extLst>
            <a:ext uri="{FF2B5EF4-FFF2-40B4-BE49-F238E27FC236}">
              <a16:creationId xmlns:a16="http://schemas.microsoft.com/office/drawing/2014/main" id="{B1AC434C-77BD-0D15-7C5E-F5A1608827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91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262</xdr:row>
      <xdr:rowOff>760942</xdr:rowOff>
    </xdr:from>
    <xdr:to>
      <xdr:col>0</xdr:col>
      <xdr:colOff>871538</xdr:colOff>
      <xdr:row>263</xdr:row>
      <xdr:rowOff>760942</xdr:rowOff>
    </xdr:to>
    <xdr:pic>
      <xdr:nvPicPr>
        <xdr:cNvPr id="508" name="Obraz 507">
          <a:extLst>
            <a:ext uri="{FF2B5EF4-FFF2-40B4-BE49-F238E27FC236}">
              <a16:creationId xmlns:a16="http://schemas.microsoft.com/office/drawing/2014/main" id="{D8D1876E-4199-881D-0C8C-2BF19CB2DD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99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263</xdr:row>
      <xdr:rowOff>760942</xdr:rowOff>
    </xdr:from>
    <xdr:to>
      <xdr:col>0</xdr:col>
      <xdr:colOff>871538</xdr:colOff>
      <xdr:row>264</xdr:row>
      <xdr:rowOff>760942</xdr:rowOff>
    </xdr:to>
    <xdr:pic>
      <xdr:nvPicPr>
        <xdr:cNvPr id="510" name="Obraz 509">
          <a:extLst>
            <a:ext uri="{FF2B5EF4-FFF2-40B4-BE49-F238E27FC236}">
              <a16:creationId xmlns:a16="http://schemas.microsoft.com/office/drawing/2014/main" id="{0DA09E4C-7685-0114-107E-414AAA2CDB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07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264</xdr:row>
      <xdr:rowOff>760942</xdr:rowOff>
    </xdr:from>
    <xdr:to>
      <xdr:col>0</xdr:col>
      <xdr:colOff>871538</xdr:colOff>
      <xdr:row>265</xdr:row>
      <xdr:rowOff>760942</xdr:rowOff>
    </xdr:to>
    <xdr:pic>
      <xdr:nvPicPr>
        <xdr:cNvPr id="512" name="Obraz 511">
          <a:extLst>
            <a:ext uri="{FF2B5EF4-FFF2-40B4-BE49-F238E27FC236}">
              <a16:creationId xmlns:a16="http://schemas.microsoft.com/office/drawing/2014/main" id="{0FE15D48-3875-B5ED-0C77-9A8F31273C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14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265</xdr:row>
      <xdr:rowOff>760942</xdr:rowOff>
    </xdr:from>
    <xdr:to>
      <xdr:col>0</xdr:col>
      <xdr:colOff>871538</xdr:colOff>
      <xdr:row>266</xdr:row>
      <xdr:rowOff>760942</xdr:rowOff>
    </xdr:to>
    <xdr:pic>
      <xdr:nvPicPr>
        <xdr:cNvPr id="514" name="Obraz 513">
          <a:extLst>
            <a:ext uri="{FF2B5EF4-FFF2-40B4-BE49-F238E27FC236}">
              <a16:creationId xmlns:a16="http://schemas.microsoft.com/office/drawing/2014/main" id="{4ACEE19D-59D3-2DAA-54E7-9E7BAF6706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22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266</xdr:row>
      <xdr:rowOff>760942</xdr:rowOff>
    </xdr:from>
    <xdr:to>
      <xdr:col>0</xdr:col>
      <xdr:colOff>871538</xdr:colOff>
      <xdr:row>267</xdr:row>
      <xdr:rowOff>760942</xdr:rowOff>
    </xdr:to>
    <xdr:pic>
      <xdr:nvPicPr>
        <xdr:cNvPr id="516" name="Obraz 515">
          <a:extLst>
            <a:ext uri="{FF2B5EF4-FFF2-40B4-BE49-F238E27FC236}">
              <a16:creationId xmlns:a16="http://schemas.microsoft.com/office/drawing/2014/main" id="{3C5C8C12-4A92-CB79-0667-5CBE49BA4C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29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267</xdr:row>
      <xdr:rowOff>760942</xdr:rowOff>
    </xdr:from>
    <xdr:to>
      <xdr:col>0</xdr:col>
      <xdr:colOff>871538</xdr:colOff>
      <xdr:row>268</xdr:row>
      <xdr:rowOff>760942</xdr:rowOff>
    </xdr:to>
    <xdr:pic>
      <xdr:nvPicPr>
        <xdr:cNvPr id="518" name="Obraz 517">
          <a:extLst>
            <a:ext uri="{FF2B5EF4-FFF2-40B4-BE49-F238E27FC236}">
              <a16:creationId xmlns:a16="http://schemas.microsoft.com/office/drawing/2014/main" id="{ACE736CB-3056-332D-3F68-F2E8C528AC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37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268</xdr:row>
      <xdr:rowOff>760942</xdr:rowOff>
    </xdr:from>
    <xdr:to>
      <xdr:col>0</xdr:col>
      <xdr:colOff>871538</xdr:colOff>
      <xdr:row>269</xdr:row>
      <xdr:rowOff>760942</xdr:rowOff>
    </xdr:to>
    <xdr:pic>
      <xdr:nvPicPr>
        <xdr:cNvPr id="520" name="Obraz 519">
          <a:extLst>
            <a:ext uri="{FF2B5EF4-FFF2-40B4-BE49-F238E27FC236}">
              <a16:creationId xmlns:a16="http://schemas.microsoft.com/office/drawing/2014/main" id="{B2A7D40B-2C92-D1F0-1729-5769AA7BA0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45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269</xdr:row>
      <xdr:rowOff>760942</xdr:rowOff>
    </xdr:from>
    <xdr:to>
      <xdr:col>0</xdr:col>
      <xdr:colOff>871538</xdr:colOff>
      <xdr:row>270</xdr:row>
      <xdr:rowOff>760942</xdr:rowOff>
    </xdr:to>
    <xdr:pic>
      <xdr:nvPicPr>
        <xdr:cNvPr id="522" name="Obraz 521">
          <a:extLst>
            <a:ext uri="{FF2B5EF4-FFF2-40B4-BE49-F238E27FC236}">
              <a16:creationId xmlns:a16="http://schemas.microsoft.com/office/drawing/2014/main" id="{3953F0A4-798B-A9F2-66C6-F349AD2471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52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270</xdr:row>
      <xdr:rowOff>760942</xdr:rowOff>
    </xdr:from>
    <xdr:to>
      <xdr:col>0</xdr:col>
      <xdr:colOff>871538</xdr:colOff>
      <xdr:row>271</xdr:row>
      <xdr:rowOff>760942</xdr:rowOff>
    </xdr:to>
    <xdr:pic>
      <xdr:nvPicPr>
        <xdr:cNvPr id="524" name="Obraz 523">
          <a:extLst>
            <a:ext uri="{FF2B5EF4-FFF2-40B4-BE49-F238E27FC236}">
              <a16:creationId xmlns:a16="http://schemas.microsoft.com/office/drawing/2014/main" id="{2524EDD4-FD30-C030-4611-7F46282282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60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271</xdr:row>
      <xdr:rowOff>760942</xdr:rowOff>
    </xdr:from>
    <xdr:to>
      <xdr:col>0</xdr:col>
      <xdr:colOff>871538</xdr:colOff>
      <xdr:row>272</xdr:row>
      <xdr:rowOff>760942</xdr:rowOff>
    </xdr:to>
    <xdr:pic>
      <xdr:nvPicPr>
        <xdr:cNvPr id="526" name="Obraz 525">
          <a:extLst>
            <a:ext uri="{FF2B5EF4-FFF2-40B4-BE49-F238E27FC236}">
              <a16:creationId xmlns:a16="http://schemas.microsoft.com/office/drawing/2014/main" id="{92354A5B-9BBD-E04D-44A2-7016D4290B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67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272</xdr:row>
      <xdr:rowOff>760942</xdr:rowOff>
    </xdr:from>
    <xdr:to>
      <xdr:col>0</xdr:col>
      <xdr:colOff>871538</xdr:colOff>
      <xdr:row>273</xdr:row>
      <xdr:rowOff>760942</xdr:rowOff>
    </xdr:to>
    <xdr:pic>
      <xdr:nvPicPr>
        <xdr:cNvPr id="528" name="Obraz 527">
          <a:extLst>
            <a:ext uri="{FF2B5EF4-FFF2-40B4-BE49-F238E27FC236}">
              <a16:creationId xmlns:a16="http://schemas.microsoft.com/office/drawing/2014/main" id="{542766A7-2108-C9BB-496F-9B46F2D610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75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273</xdr:row>
      <xdr:rowOff>760942</xdr:rowOff>
    </xdr:from>
    <xdr:to>
      <xdr:col>0</xdr:col>
      <xdr:colOff>871538</xdr:colOff>
      <xdr:row>274</xdr:row>
      <xdr:rowOff>760942</xdr:rowOff>
    </xdr:to>
    <xdr:pic>
      <xdr:nvPicPr>
        <xdr:cNvPr id="530" name="Obraz 529">
          <a:extLst>
            <a:ext uri="{FF2B5EF4-FFF2-40B4-BE49-F238E27FC236}">
              <a16:creationId xmlns:a16="http://schemas.microsoft.com/office/drawing/2014/main" id="{59F7AC83-5051-F433-7BC5-DDB43F5008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83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274</xdr:row>
      <xdr:rowOff>760942</xdr:rowOff>
    </xdr:from>
    <xdr:to>
      <xdr:col>0</xdr:col>
      <xdr:colOff>871538</xdr:colOff>
      <xdr:row>275</xdr:row>
      <xdr:rowOff>760942</xdr:rowOff>
    </xdr:to>
    <xdr:pic>
      <xdr:nvPicPr>
        <xdr:cNvPr id="532" name="Obraz 531">
          <a:extLst>
            <a:ext uri="{FF2B5EF4-FFF2-40B4-BE49-F238E27FC236}">
              <a16:creationId xmlns:a16="http://schemas.microsoft.com/office/drawing/2014/main" id="{1CF2E8C3-18B8-BD1F-2687-33FA8CF65D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90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275</xdr:row>
      <xdr:rowOff>760942</xdr:rowOff>
    </xdr:from>
    <xdr:to>
      <xdr:col>0</xdr:col>
      <xdr:colOff>871538</xdr:colOff>
      <xdr:row>276</xdr:row>
      <xdr:rowOff>760942</xdr:rowOff>
    </xdr:to>
    <xdr:pic>
      <xdr:nvPicPr>
        <xdr:cNvPr id="534" name="Obraz 533">
          <a:extLst>
            <a:ext uri="{FF2B5EF4-FFF2-40B4-BE49-F238E27FC236}">
              <a16:creationId xmlns:a16="http://schemas.microsoft.com/office/drawing/2014/main" id="{C0DC42E3-4857-1FC3-2247-A13C0320BA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98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276</xdr:row>
      <xdr:rowOff>760942</xdr:rowOff>
    </xdr:from>
    <xdr:to>
      <xdr:col>0</xdr:col>
      <xdr:colOff>871538</xdr:colOff>
      <xdr:row>277</xdr:row>
      <xdr:rowOff>760942</xdr:rowOff>
    </xdr:to>
    <xdr:pic>
      <xdr:nvPicPr>
        <xdr:cNvPr id="536" name="Obraz 535">
          <a:extLst>
            <a:ext uri="{FF2B5EF4-FFF2-40B4-BE49-F238E27FC236}">
              <a16:creationId xmlns:a16="http://schemas.microsoft.com/office/drawing/2014/main" id="{3D40FBDC-5843-7479-63AC-0BF7BBBA78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06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277</xdr:row>
      <xdr:rowOff>760942</xdr:rowOff>
    </xdr:from>
    <xdr:to>
      <xdr:col>0</xdr:col>
      <xdr:colOff>871538</xdr:colOff>
      <xdr:row>278</xdr:row>
      <xdr:rowOff>760942</xdr:rowOff>
    </xdr:to>
    <xdr:pic>
      <xdr:nvPicPr>
        <xdr:cNvPr id="538" name="Obraz 537">
          <a:extLst>
            <a:ext uri="{FF2B5EF4-FFF2-40B4-BE49-F238E27FC236}">
              <a16:creationId xmlns:a16="http://schemas.microsoft.com/office/drawing/2014/main" id="{A5D9E360-D28C-0DD1-5457-0E80CA96FE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13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278</xdr:row>
      <xdr:rowOff>760942</xdr:rowOff>
    </xdr:from>
    <xdr:to>
      <xdr:col>0</xdr:col>
      <xdr:colOff>871538</xdr:colOff>
      <xdr:row>279</xdr:row>
      <xdr:rowOff>760942</xdr:rowOff>
    </xdr:to>
    <xdr:pic>
      <xdr:nvPicPr>
        <xdr:cNvPr id="540" name="Obraz 539">
          <a:extLst>
            <a:ext uri="{FF2B5EF4-FFF2-40B4-BE49-F238E27FC236}">
              <a16:creationId xmlns:a16="http://schemas.microsoft.com/office/drawing/2014/main" id="{FEEEFB51-0039-4CD0-DBC4-D71B681F55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21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279</xdr:row>
      <xdr:rowOff>760942</xdr:rowOff>
    </xdr:from>
    <xdr:to>
      <xdr:col>0</xdr:col>
      <xdr:colOff>871538</xdr:colOff>
      <xdr:row>280</xdr:row>
      <xdr:rowOff>760942</xdr:rowOff>
    </xdr:to>
    <xdr:pic>
      <xdr:nvPicPr>
        <xdr:cNvPr id="542" name="Obraz 541">
          <a:extLst>
            <a:ext uri="{FF2B5EF4-FFF2-40B4-BE49-F238E27FC236}">
              <a16:creationId xmlns:a16="http://schemas.microsoft.com/office/drawing/2014/main" id="{DD0FD7F2-2007-B188-DA87-73D81A8926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28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280</xdr:row>
      <xdr:rowOff>760942</xdr:rowOff>
    </xdr:from>
    <xdr:to>
      <xdr:col>0</xdr:col>
      <xdr:colOff>871538</xdr:colOff>
      <xdr:row>281</xdr:row>
      <xdr:rowOff>760942</xdr:rowOff>
    </xdr:to>
    <xdr:pic>
      <xdr:nvPicPr>
        <xdr:cNvPr id="544" name="Obraz 543">
          <a:extLst>
            <a:ext uri="{FF2B5EF4-FFF2-40B4-BE49-F238E27FC236}">
              <a16:creationId xmlns:a16="http://schemas.microsoft.com/office/drawing/2014/main" id="{A437BA00-0C5F-056F-81E1-CACC6EA1D1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36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281</xdr:row>
      <xdr:rowOff>760942</xdr:rowOff>
    </xdr:from>
    <xdr:to>
      <xdr:col>0</xdr:col>
      <xdr:colOff>871538</xdr:colOff>
      <xdr:row>282</xdr:row>
      <xdr:rowOff>760942</xdr:rowOff>
    </xdr:to>
    <xdr:pic>
      <xdr:nvPicPr>
        <xdr:cNvPr id="546" name="Obraz 545">
          <a:extLst>
            <a:ext uri="{FF2B5EF4-FFF2-40B4-BE49-F238E27FC236}">
              <a16:creationId xmlns:a16="http://schemas.microsoft.com/office/drawing/2014/main" id="{92F7DC77-F607-954F-2831-89B47F4441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44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282</xdr:row>
      <xdr:rowOff>760942</xdr:rowOff>
    </xdr:from>
    <xdr:to>
      <xdr:col>0</xdr:col>
      <xdr:colOff>871538</xdr:colOff>
      <xdr:row>283</xdr:row>
      <xdr:rowOff>760942</xdr:rowOff>
    </xdr:to>
    <xdr:pic>
      <xdr:nvPicPr>
        <xdr:cNvPr id="548" name="Obraz 547">
          <a:extLst>
            <a:ext uri="{FF2B5EF4-FFF2-40B4-BE49-F238E27FC236}">
              <a16:creationId xmlns:a16="http://schemas.microsoft.com/office/drawing/2014/main" id="{16D7FF75-C1DB-054C-F550-143864B594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51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283</xdr:row>
      <xdr:rowOff>760942</xdr:rowOff>
    </xdr:from>
    <xdr:to>
      <xdr:col>0</xdr:col>
      <xdr:colOff>871538</xdr:colOff>
      <xdr:row>284</xdr:row>
      <xdr:rowOff>760942</xdr:rowOff>
    </xdr:to>
    <xdr:pic>
      <xdr:nvPicPr>
        <xdr:cNvPr id="550" name="Obraz 549">
          <a:extLst>
            <a:ext uri="{FF2B5EF4-FFF2-40B4-BE49-F238E27FC236}">
              <a16:creationId xmlns:a16="http://schemas.microsoft.com/office/drawing/2014/main" id="{17EFD65F-05D5-3064-9690-E0E7BE1349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59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284</xdr:row>
      <xdr:rowOff>760942</xdr:rowOff>
    </xdr:from>
    <xdr:to>
      <xdr:col>0</xdr:col>
      <xdr:colOff>871538</xdr:colOff>
      <xdr:row>285</xdr:row>
      <xdr:rowOff>760942</xdr:rowOff>
    </xdr:to>
    <xdr:pic>
      <xdr:nvPicPr>
        <xdr:cNvPr id="552" name="Obraz 551">
          <a:extLst>
            <a:ext uri="{FF2B5EF4-FFF2-40B4-BE49-F238E27FC236}">
              <a16:creationId xmlns:a16="http://schemas.microsoft.com/office/drawing/2014/main" id="{16750237-33ED-0378-1E7A-2D588D382E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67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285</xdr:row>
      <xdr:rowOff>760942</xdr:rowOff>
    </xdr:from>
    <xdr:to>
      <xdr:col>0</xdr:col>
      <xdr:colOff>871538</xdr:colOff>
      <xdr:row>286</xdr:row>
      <xdr:rowOff>760942</xdr:rowOff>
    </xdr:to>
    <xdr:pic>
      <xdr:nvPicPr>
        <xdr:cNvPr id="554" name="Obraz 553">
          <a:extLst>
            <a:ext uri="{FF2B5EF4-FFF2-40B4-BE49-F238E27FC236}">
              <a16:creationId xmlns:a16="http://schemas.microsoft.com/office/drawing/2014/main" id="{9249F529-8705-F9D4-D469-58E811B086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74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286</xdr:row>
      <xdr:rowOff>760942</xdr:rowOff>
    </xdr:from>
    <xdr:to>
      <xdr:col>0</xdr:col>
      <xdr:colOff>871538</xdr:colOff>
      <xdr:row>287</xdr:row>
      <xdr:rowOff>760942</xdr:rowOff>
    </xdr:to>
    <xdr:pic>
      <xdr:nvPicPr>
        <xdr:cNvPr id="556" name="Obraz 555">
          <a:extLst>
            <a:ext uri="{FF2B5EF4-FFF2-40B4-BE49-F238E27FC236}">
              <a16:creationId xmlns:a16="http://schemas.microsoft.com/office/drawing/2014/main" id="{CD536F46-24D9-C8E9-4530-0F76F670B6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82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287</xdr:row>
      <xdr:rowOff>760942</xdr:rowOff>
    </xdr:from>
    <xdr:to>
      <xdr:col>0</xdr:col>
      <xdr:colOff>871538</xdr:colOff>
      <xdr:row>288</xdr:row>
      <xdr:rowOff>760942</xdr:rowOff>
    </xdr:to>
    <xdr:pic>
      <xdr:nvPicPr>
        <xdr:cNvPr id="558" name="Obraz 557">
          <a:extLst>
            <a:ext uri="{FF2B5EF4-FFF2-40B4-BE49-F238E27FC236}">
              <a16:creationId xmlns:a16="http://schemas.microsoft.com/office/drawing/2014/main" id="{CA37C12D-DD05-F84A-0D64-1899399DF6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89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288</xdr:row>
      <xdr:rowOff>760942</xdr:rowOff>
    </xdr:from>
    <xdr:to>
      <xdr:col>0</xdr:col>
      <xdr:colOff>871538</xdr:colOff>
      <xdr:row>289</xdr:row>
      <xdr:rowOff>760942</xdr:rowOff>
    </xdr:to>
    <xdr:pic>
      <xdr:nvPicPr>
        <xdr:cNvPr id="560" name="Obraz 559">
          <a:extLst>
            <a:ext uri="{FF2B5EF4-FFF2-40B4-BE49-F238E27FC236}">
              <a16:creationId xmlns:a16="http://schemas.microsoft.com/office/drawing/2014/main" id="{972C78B9-6EAB-523F-55A8-097B397CAF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97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289</xdr:row>
      <xdr:rowOff>760942</xdr:rowOff>
    </xdr:from>
    <xdr:to>
      <xdr:col>0</xdr:col>
      <xdr:colOff>871538</xdr:colOff>
      <xdr:row>290</xdr:row>
      <xdr:rowOff>760942</xdr:rowOff>
    </xdr:to>
    <xdr:pic>
      <xdr:nvPicPr>
        <xdr:cNvPr id="562" name="Obraz 561">
          <a:extLst>
            <a:ext uri="{FF2B5EF4-FFF2-40B4-BE49-F238E27FC236}">
              <a16:creationId xmlns:a16="http://schemas.microsoft.com/office/drawing/2014/main" id="{C7DFD95B-A278-A040-44D4-00B7986886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205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290</xdr:row>
      <xdr:rowOff>760942</xdr:rowOff>
    </xdr:from>
    <xdr:to>
      <xdr:col>0</xdr:col>
      <xdr:colOff>871538</xdr:colOff>
      <xdr:row>291</xdr:row>
      <xdr:rowOff>760942</xdr:rowOff>
    </xdr:to>
    <xdr:pic>
      <xdr:nvPicPr>
        <xdr:cNvPr id="564" name="Obraz 563">
          <a:extLst>
            <a:ext uri="{FF2B5EF4-FFF2-40B4-BE49-F238E27FC236}">
              <a16:creationId xmlns:a16="http://schemas.microsoft.com/office/drawing/2014/main" id="{352CB2F7-E6BD-FA03-2B3F-CABEC75A4A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212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291</xdr:row>
      <xdr:rowOff>760942</xdr:rowOff>
    </xdr:from>
    <xdr:to>
      <xdr:col>0</xdr:col>
      <xdr:colOff>871538</xdr:colOff>
      <xdr:row>292</xdr:row>
      <xdr:rowOff>760942</xdr:rowOff>
    </xdr:to>
    <xdr:pic>
      <xdr:nvPicPr>
        <xdr:cNvPr id="566" name="Obraz 565">
          <a:extLst>
            <a:ext uri="{FF2B5EF4-FFF2-40B4-BE49-F238E27FC236}">
              <a16:creationId xmlns:a16="http://schemas.microsoft.com/office/drawing/2014/main" id="{E06BF58F-6DBD-D7CB-6159-E43FDA2987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220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292</xdr:row>
      <xdr:rowOff>760942</xdr:rowOff>
    </xdr:from>
    <xdr:to>
      <xdr:col>0</xdr:col>
      <xdr:colOff>871538</xdr:colOff>
      <xdr:row>293</xdr:row>
      <xdr:rowOff>760942</xdr:rowOff>
    </xdr:to>
    <xdr:pic>
      <xdr:nvPicPr>
        <xdr:cNvPr id="568" name="Obraz 567">
          <a:extLst>
            <a:ext uri="{FF2B5EF4-FFF2-40B4-BE49-F238E27FC236}">
              <a16:creationId xmlns:a16="http://schemas.microsoft.com/office/drawing/2014/main" id="{4ABD5177-1F0D-6EE3-00D2-2C97E7745A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227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293</xdr:row>
      <xdr:rowOff>760942</xdr:rowOff>
    </xdr:from>
    <xdr:to>
      <xdr:col>0</xdr:col>
      <xdr:colOff>871538</xdr:colOff>
      <xdr:row>294</xdr:row>
      <xdr:rowOff>760942</xdr:rowOff>
    </xdr:to>
    <xdr:pic>
      <xdr:nvPicPr>
        <xdr:cNvPr id="570" name="Obraz 569">
          <a:extLst>
            <a:ext uri="{FF2B5EF4-FFF2-40B4-BE49-F238E27FC236}">
              <a16:creationId xmlns:a16="http://schemas.microsoft.com/office/drawing/2014/main" id="{8B3F5DCB-300D-6543-CC2F-393AA74B7C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235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294</xdr:row>
      <xdr:rowOff>760942</xdr:rowOff>
    </xdr:from>
    <xdr:to>
      <xdr:col>0</xdr:col>
      <xdr:colOff>871538</xdr:colOff>
      <xdr:row>295</xdr:row>
      <xdr:rowOff>760942</xdr:rowOff>
    </xdr:to>
    <xdr:pic>
      <xdr:nvPicPr>
        <xdr:cNvPr id="572" name="Obraz 571">
          <a:extLst>
            <a:ext uri="{FF2B5EF4-FFF2-40B4-BE49-F238E27FC236}">
              <a16:creationId xmlns:a16="http://schemas.microsoft.com/office/drawing/2014/main" id="{0A910DD2-6353-3A81-F105-D80ECC0FDA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243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295</xdr:row>
      <xdr:rowOff>760942</xdr:rowOff>
    </xdr:from>
    <xdr:to>
      <xdr:col>0</xdr:col>
      <xdr:colOff>871538</xdr:colOff>
      <xdr:row>296</xdr:row>
      <xdr:rowOff>760942</xdr:rowOff>
    </xdr:to>
    <xdr:pic>
      <xdr:nvPicPr>
        <xdr:cNvPr id="574" name="Obraz 573">
          <a:extLst>
            <a:ext uri="{FF2B5EF4-FFF2-40B4-BE49-F238E27FC236}">
              <a16:creationId xmlns:a16="http://schemas.microsoft.com/office/drawing/2014/main" id="{E595E904-1DBE-4CF5-F56A-6EB278FB77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250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296</xdr:row>
      <xdr:rowOff>760942</xdr:rowOff>
    </xdr:from>
    <xdr:to>
      <xdr:col>0</xdr:col>
      <xdr:colOff>871538</xdr:colOff>
      <xdr:row>297</xdr:row>
      <xdr:rowOff>760942</xdr:rowOff>
    </xdr:to>
    <xdr:pic>
      <xdr:nvPicPr>
        <xdr:cNvPr id="576" name="Obraz 575">
          <a:extLst>
            <a:ext uri="{FF2B5EF4-FFF2-40B4-BE49-F238E27FC236}">
              <a16:creationId xmlns:a16="http://schemas.microsoft.com/office/drawing/2014/main" id="{7E898DBF-9A3D-577F-04EE-2A6C7E58EF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258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297</xdr:row>
      <xdr:rowOff>760942</xdr:rowOff>
    </xdr:from>
    <xdr:to>
      <xdr:col>0</xdr:col>
      <xdr:colOff>871538</xdr:colOff>
      <xdr:row>298</xdr:row>
      <xdr:rowOff>760942</xdr:rowOff>
    </xdr:to>
    <xdr:pic>
      <xdr:nvPicPr>
        <xdr:cNvPr id="578" name="Obraz 577">
          <a:extLst>
            <a:ext uri="{FF2B5EF4-FFF2-40B4-BE49-F238E27FC236}">
              <a16:creationId xmlns:a16="http://schemas.microsoft.com/office/drawing/2014/main" id="{838663A9-03B0-391E-38C6-0D8D128551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266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298</xdr:row>
      <xdr:rowOff>760942</xdr:rowOff>
    </xdr:from>
    <xdr:to>
      <xdr:col>0</xdr:col>
      <xdr:colOff>871538</xdr:colOff>
      <xdr:row>299</xdr:row>
      <xdr:rowOff>760942</xdr:rowOff>
    </xdr:to>
    <xdr:pic>
      <xdr:nvPicPr>
        <xdr:cNvPr id="580" name="Obraz 579">
          <a:extLst>
            <a:ext uri="{FF2B5EF4-FFF2-40B4-BE49-F238E27FC236}">
              <a16:creationId xmlns:a16="http://schemas.microsoft.com/office/drawing/2014/main" id="{55791EDE-5A36-EB57-1D9C-6DDD050131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273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299</xdr:row>
      <xdr:rowOff>760942</xdr:rowOff>
    </xdr:from>
    <xdr:to>
      <xdr:col>0</xdr:col>
      <xdr:colOff>871538</xdr:colOff>
      <xdr:row>300</xdr:row>
      <xdr:rowOff>760942</xdr:rowOff>
    </xdr:to>
    <xdr:pic>
      <xdr:nvPicPr>
        <xdr:cNvPr id="582" name="Obraz 581">
          <a:extLst>
            <a:ext uri="{FF2B5EF4-FFF2-40B4-BE49-F238E27FC236}">
              <a16:creationId xmlns:a16="http://schemas.microsoft.com/office/drawing/2014/main" id="{B70CF220-10E3-3FED-413F-69CB87F767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281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300</xdr:row>
      <xdr:rowOff>760942</xdr:rowOff>
    </xdr:from>
    <xdr:to>
      <xdr:col>0</xdr:col>
      <xdr:colOff>871538</xdr:colOff>
      <xdr:row>301</xdr:row>
      <xdr:rowOff>760942</xdr:rowOff>
    </xdr:to>
    <xdr:pic>
      <xdr:nvPicPr>
        <xdr:cNvPr id="584" name="Obraz 583">
          <a:extLst>
            <a:ext uri="{FF2B5EF4-FFF2-40B4-BE49-F238E27FC236}">
              <a16:creationId xmlns:a16="http://schemas.microsoft.com/office/drawing/2014/main" id="{3B2B4831-4C7E-39C8-D2F0-01C0A3AA1B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288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301</xdr:row>
      <xdr:rowOff>760942</xdr:rowOff>
    </xdr:from>
    <xdr:to>
      <xdr:col>0</xdr:col>
      <xdr:colOff>871538</xdr:colOff>
      <xdr:row>302</xdr:row>
      <xdr:rowOff>760942</xdr:rowOff>
    </xdr:to>
    <xdr:pic>
      <xdr:nvPicPr>
        <xdr:cNvPr id="586" name="Obraz 585">
          <a:extLst>
            <a:ext uri="{FF2B5EF4-FFF2-40B4-BE49-F238E27FC236}">
              <a16:creationId xmlns:a16="http://schemas.microsoft.com/office/drawing/2014/main" id="{72B9A695-8D93-33C9-182A-9473DE0DF8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296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302</xdr:row>
      <xdr:rowOff>760942</xdr:rowOff>
    </xdr:from>
    <xdr:to>
      <xdr:col>0</xdr:col>
      <xdr:colOff>871538</xdr:colOff>
      <xdr:row>303</xdr:row>
      <xdr:rowOff>760942</xdr:rowOff>
    </xdr:to>
    <xdr:pic>
      <xdr:nvPicPr>
        <xdr:cNvPr id="588" name="Obraz 587">
          <a:extLst>
            <a:ext uri="{FF2B5EF4-FFF2-40B4-BE49-F238E27FC236}">
              <a16:creationId xmlns:a16="http://schemas.microsoft.com/office/drawing/2014/main" id="{FB23134E-D80C-6F24-D796-D53BF16E23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04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303</xdr:row>
      <xdr:rowOff>760942</xdr:rowOff>
    </xdr:from>
    <xdr:to>
      <xdr:col>0</xdr:col>
      <xdr:colOff>871538</xdr:colOff>
      <xdr:row>304</xdr:row>
      <xdr:rowOff>760942</xdr:rowOff>
    </xdr:to>
    <xdr:pic>
      <xdr:nvPicPr>
        <xdr:cNvPr id="590" name="Obraz 589">
          <a:extLst>
            <a:ext uri="{FF2B5EF4-FFF2-40B4-BE49-F238E27FC236}">
              <a16:creationId xmlns:a16="http://schemas.microsoft.com/office/drawing/2014/main" id="{407A286F-479E-2DBE-28B3-B2ED7563C2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11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304</xdr:row>
      <xdr:rowOff>760942</xdr:rowOff>
    </xdr:from>
    <xdr:to>
      <xdr:col>0</xdr:col>
      <xdr:colOff>871538</xdr:colOff>
      <xdr:row>305</xdr:row>
      <xdr:rowOff>760942</xdr:rowOff>
    </xdr:to>
    <xdr:pic>
      <xdr:nvPicPr>
        <xdr:cNvPr id="592" name="Obraz 591">
          <a:extLst>
            <a:ext uri="{FF2B5EF4-FFF2-40B4-BE49-F238E27FC236}">
              <a16:creationId xmlns:a16="http://schemas.microsoft.com/office/drawing/2014/main" id="{B4CEB8BE-B75B-BF68-6903-BE808CDDF4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19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305</xdr:row>
      <xdr:rowOff>760942</xdr:rowOff>
    </xdr:from>
    <xdr:to>
      <xdr:col>0</xdr:col>
      <xdr:colOff>871538</xdr:colOff>
      <xdr:row>306</xdr:row>
      <xdr:rowOff>760942</xdr:rowOff>
    </xdr:to>
    <xdr:pic>
      <xdr:nvPicPr>
        <xdr:cNvPr id="594" name="Obraz 593">
          <a:extLst>
            <a:ext uri="{FF2B5EF4-FFF2-40B4-BE49-F238E27FC236}">
              <a16:creationId xmlns:a16="http://schemas.microsoft.com/office/drawing/2014/main" id="{C0A91230-3363-140C-77B8-0F60B18295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27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306</xdr:row>
      <xdr:rowOff>760942</xdr:rowOff>
    </xdr:from>
    <xdr:to>
      <xdr:col>0</xdr:col>
      <xdr:colOff>871538</xdr:colOff>
      <xdr:row>307</xdr:row>
      <xdr:rowOff>760942</xdr:rowOff>
    </xdr:to>
    <xdr:pic>
      <xdr:nvPicPr>
        <xdr:cNvPr id="596" name="Obraz 595">
          <a:extLst>
            <a:ext uri="{FF2B5EF4-FFF2-40B4-BE49-F238E27FC236}">
              <a16:creationId xmlns:a16="http://schemas.microsoft.com/office/drawing/2014/main" id="{17CFD016-A937-4EF4-561F-3804AF2109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34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307</xdr:row>
      <xdr:rowOff>760942</xdr:rowOff>
    </xdr:from>
    <xdr:to>
      <xdr:col>0</xdr:col>
      <xdr:colOff>871538</xdr:colOff>
      <xdr:row>308</xdr:row>
      <xdr:rowOff>760942</xdr:rowOff>
    </xdr:to>
    <xdr:pic>
      <xdr:nvPicPr>
        <xdr:cNvPr id="598" name="Obraz 597">
          <a:extLst>
            <a:ext uri="{FF2B5EF4-FFF2-40B4-BE49-F238E27FC236}">
              <a16:creationId xmlns:a16="http://schemas.microsoft.com/office/drawing/2014/main" id="{9D7BDF52-11DE-533F-DD93-61199ECE76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42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308</xdr:row>
      <xdr:rowOff>760942</xdr:rowOff>
    </xdr:from>
    <xdr:to>
      <xdr:col>0</xdr:col>
      <xdr:colOff>871538</xdr:colOff>
      <xdr:row>309</xdr:row>
      <xdr:rowOff>760942</xdr:rowOff>
    </xdr:to>
    <xdr:pic>
      <xdr:nvPicPr>
        <xdr:cNvPr id="600" name="Obraz 599">
          <a:extLst>
            <a:ext uri="{FF2B5EF4-FFF2-40B4-BE49-F238E27FC236}">
              <a16:creationId xmlns:a16="http://schemas.microsoft.com/office/drawing/2014/main" id="{0D7B8D7A-86FB-EDE9-2349-25BBE3E6A5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49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309</xdr:row>
      <xdr:rowOff>760942</xdr:rowOff>
    </xdr:from>
    <xdr:to>
      <xdr:col>0</xdr:col>
      <xdr:colOff>871538</xdr:colOff>
      <xdr:row>310</xdr:row>
      <xdr:rowOff>760942</xdr:rowOff>
    </xdr:to>
    <xdr:pic>
      <xdr:nvPicPr>
        <xdr:cNvPr id="602" name="Obraz 601">
          <a:extLst>
            <a:ext uri="{FF2B5EF4-FFF2-40B4-BE49-F238E27FC236}">
              <a16:creationId xmlns:a16="http://schemas.microsoft.com/office/drawing/2014/main" id="{AA44F69B-76AC-168D-25AD-E81C85B92A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57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310</xdr:row>
      <xdr:rowOff>760942</xdr:rowOff>
    </xdr:from>
    <xdr:to>
      <xdr:col>0</xdr:col>
      <xdr:colOff>871538</xdr:colOff>
      <xdr:row>311</xdr:row>
      <xdr:rowOff>760942</xdr:rowOff>
    </xdr:to>
    <xdr:pic>
      <xdr:nvPicPr>
        <xdr:cNvPr id="604" name="Obraz 603">
          <a:extLst>
            <a:ext uri="{FF2B5EF4-FFF2-40B4-BE49-F238E27FC236}">
              <a16:creationId xmlns:a16="http://schemas.microsoft.com/office/drawing/2014/main" id="{08A6FF38-D491-623C-C606-F0140D1CCC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65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311</xdr:row>
      <xdr:rowOff>760942</xdr:rowOff>
    </xdr:from>
    <xdr:to>
      <xdr:col>0</xdr:col>
      <xdr:colOff>871538</xdr:colOff>
      <xdr:row>312</xdr:row>
      <xdr:rowOff>760942</xdr:rowOff>
    </xdr:to>
    <xdr:pic>
      <xdr:nvPicPr>
        <xdr:cNvPr id="606" name="Obraz 605">
          <a:extLst>
            <a:ext uri="{FF2B5EF4-FFF2-40B4-BE49-F238E27FC236}">
              <a16:creationId xmlns:a16="http://schemas.microsoft.com/office/drawing/2014/main" id="{381E6F72-519B-65E6-07E6-09351B355A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72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312</xdr:row>
      <xdr:rowOff>760942</xdr:rowOff>
    </xdr:from>
    <xdr:to>
      <xdr:col>0</xdr:col>
      <xdr:colOff>871538</xdr:colOff>
      <xdr:row>313</xdr:row>
      <xdr:rowOff>760942</xdr:rowOff>
    </xdr:to>
    <xdr:pic>
      <xdr:nvPicPr>
        <xdr:cNvPr id="608" name="Obraz 607">
          <a:extLst>
            <a:ext uri="{FF2B5EF4-FFF2-40B4-BE49-F238E27FC236}">
              <a16:creationId xmlns:a16="http://schemas.microsoft.com/office/drawing/2014/main" id="{B6A1E1C0-E31F-8F04-42C6-858949B95D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80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313</xdr:row>
      <xdr:rowOff>760942</xdr:rowOff>
    </xdr:from>
    <xdr:to>
      <xdr:col>0</xdr:col>
      <xdr:colOff>871538</xdr:colOff>
      <xdr:row>314</xdr:row>
      <xdr:rowOff>760942</xdr:rowOff>
    </xdr:to>
    <xdr:pic>
      <xdr:nvPicPr>
        <xdr:cNvPr id="610" name="Obraz 609">
          <a:extLst>
            <a:ext uri="{FF2B5EF4-FFF2-40B4-BE49-F238E27FC236}">
              <a16:creationId xmlns:a16="http://schemas.microsoft.com/office/drawing/2014/main" id="{41572321-AFDB-ECE1-DE60-02F209314E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88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314</xdr:row>
      <xdr:rowOff>760942</xdr:rowOff>
    </xdr:from>
    <xdr:to>
      <xdr:col>0</xdr:col>
      <xdr:colOff>871538</xdr:colOff>
      <xdr:row>315</xdr:row>
      <xdr:rowOff>760942</xdr:rowOff>
    </xdr:to>
    <xdr:pic>
      <xdr:nvPicPr>
        <xdr:cNvPr id="612" name="Obraz 611">
          <a:extLst>
            <a:ext uri="{FF2B5EF4-FFF2-40B4-BE49-F238E27FC236}">
              <a16:creationId xmlns:a16="http://schemas.microsoft.com/office/drawing/2014/main" id="{55576284-F080-4B5B-79D4-48DA8B1FCF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95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315</xdr:row>
      <xdr:rowOff>760942</xdr:rowOff>
    </xdr:from>
    <xdr:to>
      <xdr:col>0</xdr:col>
      <xdr:colOff>871538</xdr:colOff>
      <xdr:row>316</xdr:row>
      <xdr:rowOff>760942</xdr:rowOff>
    </xdr:to>
    <xdr:pic>
      <xdr:nvPicPr>
        <xdr:cNvPr id="614" name="Obraz 613">
          <a:extLst>
            <a:ext uri="{FF2B5EF4-FFF2-40B4-BE49-F238E27FC236}">
              <a16:creationId xmlns:a16="http://schemas.microsoft.com/office/drawing/2014/main" id="{A26E2561-AA95-30A0-3FE3-836AE9EA6A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03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316</xdr:row>
      <xdr:rowOff>760942</xdr:rowOff>
    </xdr:from>
    <xdr:to>
      <xdr:col>0</xdr:col>
      <xdr:colOff>871538</xdr:colOff>
      <xdr:row>317</xdr:row>
      <xdr:rowOff>760942</xdr:rowOff>
    </xdr:to>
    <xdr:pic>
      <xdr:nvPicPr>
        <xdr:cNvPr id="616" name="Obraz 615">
          <a:extLst>
            <a:ext uri="{FF2B5EF4-FFF2-40B4-BE49-F238E27FC236}">
              <a16:creationId xmlns:a16="http://schemas.microsoft.com/office/drawing/2014/main" id="{19E022A0-CE5E-71E6-6DA6-7156B8D75D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10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317</xdr:row>
      <xdr:rowOff>760942</xdr:rowOff>
    </xdr:from>
    <xdr:to>
      <xdr:col>0</xdr:col>
      <xdr:colOff>871538</xdr:colOff>
      <xdr:row>318</xdr:row>
      <xdr:rowOff>760942</xdr:rowOff>
    </xdr:to>
    <xdr:pic>
      <xdr:nvPicPr>
        <xdr:cNvPr id="618" name="Obraz 617">
          <a:extLst>
            <a:ext uri="{FF2B5EF4-FFF2-40B4-BE49-F238E27FC236}">
              <a16:creationId xmlns:a16="http://schemas.microsoft.com/office/drawing/2014/main" id="{D138AB15-62BE-3425-EB8F-D1C5201240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18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318</xdr:row>
      <xdr:rowOff>760942</xdr:rowOff>
    </xdr:from>
    <xdr:to>
      <xdr:col>0</xdr:col>
      <xdr:colOff>871538</xdr:colOff>
      <xdr:row>319</xdr:row>
      <xdr:rowOff>760942</xdr:rowOff>
    </xdr:to>
    <xdr:pic>
      <xdr:nvPicPr>
        <xdr:cNvPr id="620" name="Obraz 619">
          <a:extLst>
            <a:ext uri="{FF2B5EF4-FFF2-40B4-BE49-F238E27FC236}">
              <a16:creationId xmlns:a16="http://schemas.microsoft.com/office/drawing/2014/main" id="{2193D33A-13DE-95E3-0768-6AF6EA134A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26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319</xdr:row>
      <xdr:rowOff>760942</xdr:rowOff>
    </xdr:from>
    <xdr:to>
      <xdr:col>0</xdr:col>
      <xdr:colOff>871538</xdr:colOff>
      <xdr:row>320</xdr:row>
      <xdr:rowOff>760942</xdr:rowOff>
    </xdr:to>
    <xdr:pic>
      <xdr:nvPicPr>
        <xdr:cNvPr id="622" name="Obraz 621">
          <a:extLst>
            <a:ext uri="{FF2B5EF4-FFF2-40B4-BE49-F238E27FC236}">
              <a16:creationId xmlns:a16="http://schemas.microsoft.com/office/drawing/2014/main" id="{A58393F6-2F1B-B39D-2C88-C1FFD9CFAA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33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320</xdr:row>
      <xdr:rowOff>760942</xdr:rowOff>
    </xdr:from>
    <xdr:to>
      <xdr:col>0</xdr:col>
      <xdr:colOff>871538</xdr:colOff>
      <xdr:row>321</xdr:row>
      <xdr:rowOff>760942</xdr:rowOff>
    </xdr:to>
    <xdr:pic>
      <xdr:nvPicPr>
        <xdr:cNvPr id="624" name="Obraz 623">
          <a:extLst>
            <a:ext uri="{FF2B5EF4-FFF2-40B4-BE49-F238E27FC236}">
              <a16:creationId xmlns:a16="http://schemas.microsoft.com/office/drawing/2014/main" id="{E6B8977C-927F-9CFF-2C8B-3231B8726D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41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321</xdr:row>
      <xdr:rowOff>760942</xdr:rowOff>
    </xdr:from>
    <xdr:to>
      <xdr:col>0</xdr:col>
      <xdr:colOff>871538</xdr:colOff>
      <xdr:row>322</xdr:row>
      <xdr:rowOff>760942</xdr:rowOff>
    </xdr:to>
    <xdr:pic>
      <xdr:nvPicPr>
        <xdr:cNvPr id="626" name="Obraz 625">
          <a:extLst>
            <a:ext uri="{FF2B5EF4-FFF2-40B4-BE49-F238E27FC236}">
              <a16:creationId xmlns:a16="http://schemas.microsoft.com/office/drawing/2014/main" id="{49A76A2B-964E-9D6E-B6FB-3F49424FF1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48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322</xdr:row>
      <xdr:rowOff>760942</xdr:rowOff>
    </xdr:from>
    <xdr:to>
      <xdr:col>0</xdr:col>
      <xdr:colOff>871538</xdr:colOff>
      <xdr:row>323</xdr:row>
      <xdr:rowOff>760942</xdr:rowOff>
    </xdr:to>
    <xdr:pic>
      <xdr:nvPicPr>
        <xdr:cNvPr id="628" name="Obraz 627">
          <a:extLst>
            <a:ext uri="{FF2B5EF4-FFF2-40B4-BE49-F238E27FC236}">
              <a16:creationId xmlns:a16="http://schemas.microsoft.com/office/drawing/2014/main" id="{D6C4AE4B-4DF8-03D4-77A8-396A3E9524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56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323</xdr:row>
      <xdr:rowOff>760942</xdr:rowOff>
    </xdr:from>
    <xdr:to>
      <xdr:col>0</xdr:col>
      <xdr:colOff>871538</xdr:colOff>
      <xdr:row>324</xdr:row>
      <xdr:rowOff>760942</xdr:rowOff>
    </xdr:to>
    <xdr:pic>
      <xdr:nvPicPr>
        <xdr:cNvPr id="630" name="Obraz 629">
          <a:extLst>
            <a:ext uri="{FF2B5EF4-FFF2-40B4-BE49-F238E27FC236}">
              <a16:creationId xmlns:a16="http://schemas.microsoft.com/office/drawing/2014/main" id="{C192ECF5-C515-3DEC-73B8-EBF4C7062F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64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324</xdr:row>
      <xdr:rowOff>760942</xdr:rowOff>
    </xdr:from>
    <xdr:to>
      <xdr:col>0</xdr:col>
      <xdr:colOff>871538</xdr:colOff>
      <xdr:row>325</xdr:row>
      <xdr:rowOff>760942</xdr:rowOff>
    </xdr:to>
    <xdr:pic>
      <xdr:nvPicPr>
        <xdr:cNvPr id="632" name="Obraz 631">
          <a:extLst>
            <a:ext uri="{FF2B5EF4-FFF2-40B4-BE49-F238E27FC236}">
              <a16:creationId xmlns:a16="http://schemas.microsoft.com/office/drawing/2014/main" id="{B824C00F-F5CE-2110-E46F-117CA31573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71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325</xdr:row>
      <xdr:rowOff>760942</xdr:rowOff>
    </xdr:from>
    <xdr:to>
      <xdr:col>0</xdr:col>
      <xdr:colOff>871538</xdr:colOff>
      <xdr:row>326</xdr:row>
      <xdr:rowOff>760942</xdr:rowOff>
    </xdr:to>
    <xdr:pic>
      <xdr:nvPicPr>
        <xdr:cNvPr id="634" name="Obraz 633">
          <a:extLst>
            <a:ext uri="{FF2B5EF4-FFF2-40B4-BE49-F238E27FC236}">
              <a16:creationId xmlns:a16="http://schemas.microsoft.com/office/drawing/2014/main" id="{2987CEBF-12A2-7D96-4B82-73F86C526A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79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326</xdr:row>
      <xdr:rowOff>760942</xdr:rowOff>
    </xdr:from>
    <xdr:to>
      <xdr:col>0</xdr:col>
      <xdr:colOff>871538</xdr:colOff>
      <xdr:row>327</xdr:row>
      <xdr:rowOff>760942</xdr:rowOff>
    </xdr:to>
    <xdr:pic>
      <xdr:nvPicPr>
        <xdr:cNvPr id="636" name="Obraz 635">
          <a:extLst>
            <a:ext uri="{FF2B5EF4-FFF2-40B4-BE49-F238E27FC236}">
              <a16:creationId xmlns:a16="http://schemas.microsoft.com/office/drawing/2014/main" id="{1636A5C7-3B89-CC6A-2D48-DB1D9CE377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87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327</xdr:row>
      <xdr:rowOff>760942</xdr:rowOff>
    </xdr:from>
    <xdr:to>
      <xdr:col>0</xdr:col>
      <xdr:colOff>871538</xdr:colOff>
      <xdr:row>328</xdr:row>
      <xdr:rowOff>760942</xdr:rowOff>
    </xdr:to>
    <xdr:pic>
      <xdr:nvPicPr>
        <xdr:cNvPr id="638" name="Obraz 637">
          <a:extLst>
            <a:ext uri="{FF2B5EF4-FFF2-40B4-BE49-F238E27FC236}">
              <a16:creationId xmlns:a16="http://schemas.microsoft.com/office/drawing/2014/main" id="{CD7B0842-D078-43D8-3488-FFC699F586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94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328</xdr:row>
      <xdr:rowOff>760942</xdr:rowOff>
    </xdr:from>
    <xdr:to>
      <xdr:col>0</xdr:col>
      <xdr:colOff>871538</xdr:colOff>
      <xdr:row>329</xdr:row>
      <xdr:rowOff>760942</xdr:rowOff>
    </xdr:to>
    <xdr:pic>
      <xdr:nvPicPr>
        <xdr:cNvPr id="640" name="Obraz 639">
          <a:extLst>
            <a:ext uri="{FF2B5EF4-FFF2-40B4-BE49-F238E27FC236}">
              <a16:creationId xmlns:a16="http://schemas.microsoft.com/office/drawing/2014/main" id="{C0D9C973-FAC7-676A-827E-18B54F2C31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02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329</xdr:row>
      <xdr:rowOff>760942</xdr:rowOff>
    </xdr:from>
    <xdr:to>
      <xdr:col>0</xdr:col>
      <xdr:colOff>871538</xdr:colOff>
      <xdr:row>330</xdr:row>
      <xdr:rowOff>760942</xdr:rowOff>
    </xdr:to>
    <xdr:pic>
      <xdr:nvPicPr>
        <xdr:cNvPr id="642" name="Obraz 641">
          <a:extLst>
            <a:ext uri="{FF2B5EF4-FFF2-40B4-BE49-F238E27FC236}">
              <a16:creationId xmlns:a16="http://schemas.microsoft.com/office/drawing/2014/main" id="{B40E52A9-3896-0D2F-7190-2F4C1A9622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09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330</xdr:row>
      <xdr:rowOff>760942</xdr:rowOff>
    </xdr:from>
    <xdr:to>
      <xdr:col>0</xdr:col>
      <xdr:colOff>871538</xdr:colOff>
      <xdr:row>331</xdr:row>
      <xdr:rowOff>760942</xdr:rowOff>
    </xdr:to>
    <xdr:pic>
      <xdr:nvPicPr>
        <xdr:cNvPr id="644" name="Obraz 643">
          <a:extLst>
            <a:ext uri="{FF2B5EF4-FFF2-40B4-BE49-F238E27FC236}">
              <a16:creationId xmlns:a16="http://schemas.microsoft.com/office/drawing/2014/main" id="{150D3B7C-C91B-FE58-957C-8BE69BE557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17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331</xdr:row>
      <xdr:rowOff>760942</xdr:rowOff>
    </xdr:from>
    <xdr:to>
      <xdr:col>0</xdr:col>
      <xdr:colOff>871538</xdr:colOff>
      <xdr:row>332</xdr:row>
      <xdr:rowOff>760942</xdr:rowOff>
    </xdr:to>
    <xdr:pic>
      <xdr:nvPicPr>
        <xdr:cNvPr id="646" name="Obraz 645">
          <a:extLst>
            <a:ext uri="{FF2B5EF4-FFF2-40B4-BE49-F238E27FC236}">
              <a16:creationId xmlns:a16="http://schemas.microsoft.com/office/drawing/2014/main" id="{C9661639-CF2F-CD4F-D733-AA4639D85F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25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332</xdr:row>
      <xdr:rowOff>760942</xdr:rowOff>
    </xdr:from>
    <xdr:to>
      <xdr:col>0</xdr:col>
      <xdr:colOff>871538</xdr:colOff>
      <xdr:row>333</xdr:row>
      <xdr:rowOff>760942</xdr:rowOff>
    </xdr:to>
    <xdr:pic>
      <xdr:nvPicPr>
        <xdr:cNvPr id="648" name="Obraz 647">
          <a:extLst>
            <a:ext uri="{FF2B5EF4-FFF2-40B4-BE49-F238E27FC236}">
              <a16:creationId xmlns:a16="http://schemas.microsoft.com/office/drawing/2014/main" id="{8374C24C-5BC5-2606-BFD8-CB05BB6129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32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333</xdr:row>
      <xdr:rowOff>760942</xdr:rowOff>
    </xdr:from>
    <xdr:to>
      <xdr:col>0</xdr:col>
      <xdr:colOff>871538</xdr:colOff>
      <xdr:row>334</xdr:row>
      <xdr:rowOff>760942</xdr:rowOff>
    </xdr:to>
    <xdr:pic>
      <xdr:nvPicPr>
        <xdr:cNvPr id="650" name="Obraz 649">
          <a:extLst>
            <a:ext uri="{FF2B5EF4-FFF2-40B4-BE49-F238E27FC236}">
              <a16:creationId xmlns:a16="http://schemas.microsoft.com/office/drawing/2014/main" id="{209056D5-797B-03BD-E918-3DD4A5010F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40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334</xdr:row>
      <xdr:rowOff>760942</xdr:rowOff>
    </xdr:from>
    <xdr:to>
      <xdr:col>0</xdr:col>
      <xdr:colOff>871538</xdr:colOff>
      <xdr:row>335</xdr:row>
      <xdr:rowOff>760942</xdr:rowOff>
    </xdr:to>
    <xdr:pic>
      <xdr:nvPicPr>
        <xdr:cNvPr id="652" name="Obraz 651">
          <a:extLst>
            <a:ext uri="{FF2B5EF4-FFF2-40B4-BE49-F238E27FC236}">
              <a16:creationId xmlns:a16="http://schemas.microsoft.com/office/drawing/2014/main" id="{D4C479D5-969D-05C7-A9C9-6790837134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48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335</xdr:row>
      <xdr:rowOff>760942</xdr:rowOff>
    </xdr:from>
    <xdr:to>
      <xdr:col>0</xdr:col>
      <xdr:colOff>871538</xdr:colOff>
      <xdr:row>336</xdr:row>
      <xdr:rowOff>760942</xdr:rowOff>
    </xdr:to>
    <xdr:pic>
      <xdr:nvPicPr>
        <xdr:cNvPr id="654" name="Obraz 653">
          <a:extLst>
            <a:ext uri="{FF2B5EF4-FFF2-40B4-BE49-F238E27FC236}">
              <a16:creationId xmlns:a16="http://schemas.microsoft.com/office/drawing/2014/main" id="{7F7B6A46-B831-A08E-18BA-66CECD8C2A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55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336</xdr:row>
      <xdr:rowOff>760942</xdr:rowOff>
    </xdr:from>
    <xdr:to>
      <xdr:col>0</xdr:col>
      <xdr:colOff>871538</xdr:colOff>
      <xdr:row>337</xdr:row>
      <xdr:rowOff>760942</xdr:rowOff>
    </xdr:to>
    <xdr:pic>
      <xdr:nvPicPr>
        <xdr:cNvPr id="656" name="Obraz 655">
          <a:extLst>
            <a:ext uri="{FF2B5EF4-FFF2-40B4-BE49-F238E27FC236}">
              <a16:creationId xmlns:a16="http://schemas.microsoft.com/office/drawing/2014/main" id="{A1F810D0-F6E9-D842-B8EF-E64FE7920F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63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337</xdr:row>
      <xdr:rowOff>760942</xdr:rowOff>
    </xdr:from>
    <xdr:to>
      <xdr:col>0</xdr:col>
      <xdr:colOff>871538</xdr:colOff>
      <xdr:row>338</xdr:row>
      <xdr:rowOff>760942</xdr:rowOff>
    </xdr:to>
    <xdr:pic>
      <xdr:nvPicPr>
        <xdr:cNvPr id="658" name="Obraz 657">
          <a:extLst>
            <a:ext uri="{FF2B5EF4-FFF2-40B4-BE49-F238E27FC236}">
              <a16:creationId xmlns:a16="http://schemas.microsoft.com/office/drawing/2014/main" id="{32714D58-42ED-AEF7-770F-97F877047C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70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338</xdr:row>
      <xdr:rowOff>760942</xdr:rowOff>
    </xdr:from>
    <xdr:to>
      <xdr:col>0</xdr:col>
      <xdr:colOff>871538</xdr:colOff>
      <xdr:row>339</xdr:row>
      <xdr:rowOff>760942</xdr:rowOff>
    </xdr:to>
    <xdr:pic>
      <xdr:nvPicPr>
        <xdr:cNvPr id="660" name="Obraz 659">
          <a:extLst>
            <a:ext uri="{FF2B5EF4-FFF2-40B4-BE49-F238E27FC236}">
              <a16:creationId xmlns:a16="http://schemas.microsoft.com/office/drawing/2014/main" id="{1B05D876-CF58-2456-E075-BB80246973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78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339</xdr:row>
      <xdr:rowOff>760942</xdr:rowOff>
    </xdr:from>
    <xdr:to>
      <xdr:col>0</xdr:col>
      <xdr:colOff>871538</xdr:colOff>
      <xdr:row>340</xdr:row>
      <xdr:rowOff>760942</xdr:rowOff>
    </xdr:to>
    <xdr:pic>
      <xdr:nvPicPr>
        <xdr:cNvPr id="662" name="Obraz 661">
          <a:extLst>
            <a:ext uri="{FF2B5EF4-FFF2-40B4-BE49-F238E27FC236}">
              <a16:creationId xmlns:a16="http://schemas.microsoft.com/office/drawing/2014/main" id="{FBA3A39A-89EF-D563-A93E-2C77F3EE0C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86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340</xdr:row>
      <xdr:rowOff>760942</xdr:rowOff>
    </xdr:from>
    <xdr:to>
      <xdr:col>0</xdr:col>
      <xdr:colOff>871538</xdr:colOff>
      <xdr:row>341</xdr:row>
      <xdr:rowOff>760942</xdr:rowOff>
    </xdr:to>
    <xdr:pic>
      <xdr:nvPicPr>
        <xdr:cNvPr id="664" name="Obraz 663">
          <a:extLst>
            <a:ext uri="{FF2B5EF4-FFF2-40B4-BE49-F238E27FC236}">
              <a16:creationId xmlns:a16="http://schemas.microsoft.com/office/drawing/2014/main" id="{60EEB6CB-6D1C-400B-AB16-AD88E77DCB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93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341</xdr:row>
      <xdr:rowOff>760942</xdr:rowOff>
    </xdr:from>
    <xdr:to>
      <xdr:col>0</xdr:col>
      <xdr:colOff>871538</xdr:colOff>
      <xdr:row>342</xdr:row>
      <xdr:rowOff>760942</xdr:rowOff>
    </xdr:to>
    <xdr:pic>
      <xdr:nvPicPr>
        <xdr:cNvPr id="666" name="Obraz 665">
          <a:extLst>
            <a:ext uri="{FF2B5EF4-FFF2-40B4-BE49-F238E27FC236}">
              <a16:creationId xmlns:a16="http://schemas.microsoft.com/office/drawing/2014/main" id="{A8AF9C07-AC6E-8F44-5A37-0E715D6C0A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01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342</xdr:row>
      <xdr:rowOff>760942</xdr:rowOff>
    </xdr:from>
    <xdr:to>
      <xdr:col>0</xdr:col>
      <xdr:colOff>871538</xdr:colOff>
      <xdr:row>343</xdr:row>
      <xdr:rowOff>760942</xdr:rowOff>
    </xdr:to>
    <xdr:pic>
      <xdr:nvPicPr>
        <xdr:cNvPr id="668" name="Obraz 667">
          <a:extLst>
            <a:ext uri="{FF2B5EF4-FFF2-40B4-BE49-F238E27FC236}">
              <a16:creationId xmlns:a16="http://schemas.microsoft.com/office/drawing/2014/main" id="{77A200C7-2E7F-2CDB-8C25-0E822B8169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08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343</xdr:row>
      <xdr:rowOff>760942</xdr:rowOff>
    </xdr:from>
    <xdr:to>
      <xdr:col>0</xdr:col>
      <xdr:colOff>871538</xdr:colOff>
      <xdr:row>344</xdr:row>
      <xdr:rowOff>760942</xdr:rowOff>
    </xdr:to>
    <xdr:pic>
      <xdr:nvPicPr>
        <xdr:cNvPr id="670" name="Obraz 669">
          <a:extLst>
            <a:ext uri="{FF2B5EF4-FFF2-40B4-BE49-F238E27FC236}">
              <a16:creationId xmlns:a16="http://schemas.microsoft.com/office/drawing/2014/main" id="{EE898656-EBB6-6560-DA4E-5D2962EB38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16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344</xdr:row>
      <xdr:rowOff>760942</xdr:rowOff>
    </xdr:from>
    <xdr:to>
      <xdr:col>0</xdr:col>
      <xdr:colOff>871538</xdr:colOff>
      <xdr:row>345</xdr:row>
      <xdr:rowOff>760942</xdr:rowOff>
    </xdr:to>
    <xdr:pic>
      <xdr:nvPicPr>
        <xdr:cNvPr id="672" name="Obraz 671">
          <a:extLst>
            <a:ext uri="{FF2B5EF4-FFF2-40B4-BE49-F238E27FC236}">
              <a16:creationId xmlns:a16="http://schemas.microsoft.com/office/drawing/2014/main" id="{2C50F91B-C939-BC11-0C02-37E5115548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24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345</xdr:row>
      <xdr:rowOff>760942</xdr:rowOff>
    </xdr:from>
    <xdr:to>
      <xdr:col>0</xdr:col>
      <xdr:colOff>871538</xdr:colOff>
      <xdr:row>346</xdr:row>
      <xdr:rowOff>760942</xdr:rowOff>
    </xdr:to>
    <xdr:pic>
      <xdr:nvPicPr>
        <xdr:cNvPr id="674" name="Obraz 673">
          <a:extLst>
            <a:ext uri="{FF2B5EF4-FFF2-40B4-BE49-F238E27FC236}">
              <a16:creationId xmlns:a16="http://schemas.microsoft.com/office/drawing/2014/main" id="{A1DD6AA9-8D00-2198-F206-B939A142FD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31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346</xdr:row>
      <xdr:rowOff>760942</xdr:rowOff>
    </xdr:from>
    <xdr:to>
      <xdr:col>0</xdr:col>
      <xdr:colOff>871538</xdr:colOff>
      <xdr:row>347</xdr:row>
      <xdr:rowOff>760942</xdr:rowOff>
    </xdr:to>
    <xdr:pic>
      <xdr:nvPicPr>
        <xdr:cNvPr id="676" name="Obraz 675">
          <a:extLst>
            <a:ext uri="{FF2B5EF4-FFF2-40B4-BE49-F238E27FC236}">
              <a16:creationId xmlns:a16="http://schemas.microsoft.com/office/drawing/2014/main" id="{17C9830F-8558-40C3-017E-8F76881578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39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347</xdr:row>
      <xdr:rowOff>760942</xdr:rowOff>
    </xdr:from>
    <xdr:to>
      <xdr:col>0</xdr:col>
      <xdr:colOff>871538</xdr:colOff>
      <xdr:row>348</xdr:row>
      <xdr:rowOff>760942</xdr:rowOff>
    </xdr:to>
    <xdr:pic>
      <xdr:nvPicPr>
        <xdr:cNvPr id="678" name="Obraz 677">
          <a:extLst>
            <a:ext uri="{FF2B5EF4-FFF2-40B4-BE49-F238E27FC236}">
              <a16:creationId xmlns:a16="http://schemas.microsoft.com/office/drawing/2014/main" id="{F4208593-DDDD-99E9-EE44-AE687245DD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47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348</xdr:row>
      <xdr:rowOff>760942</xdr:rowOff>
    </xdr:from>
    <xdr:to>
      <xdr:col>0</xdr:col>
      <xdr:colOff>871538</xdr:colOff>
      <xdr:row>349</xdr:row>
      <xdr:rowOff>760942</xdr:rowOff>
    </xdr:to>
    <xdr:pic>
      <xdr:nvPicPr>
        <xdr:cNvPr id="680" name="Obraz 679">
          <a:extLst>
            <a:ext uri="{FF2B5EF4-FFF2-40B4-BE49-F238E27FC236}">
              <a16:creationId xmlns:a16="http://schemas.microsoft.com/office/drawing/2014/main" id="{0C01834F-AD97-119E-0C69-5A7C3EA018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54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349</xdr:row>
      <xdr:rowOff>760942</xdr:rowOff>
    </xdr:from>
    <xdr:to>
      <xdr:col>0</xdr:col>
      <xdr:colOff>871538</xdr:colOff>
      <xdr:row>350</xdr:row>
      <xdr:rowOff>760942</xdr:rowOff>
    </xdr:to>
    <xdr:pic>
      <xdr:nvPicPr>
        <xdr:cNvPr id="682" name="Obraz 681">
          <a:extLst>
            <a:ext uri="{FF2B5EF4-FFF2-40B4-BE49-F238E27FC236}">
              <a16:creationId xmlns:a16="http://schemas.microsoft.com/office/drawing/2014/main" id="{BD8D95E0-06DF-FE5F-71A2-D6CD39F1B0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62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350</xdr:row>
      <xdr:rowOff>760942</xdr:rowOff>
    </xdr:from>
    <xdr:to>
      <xdr:col>0</xdr:col>
      <xdr:colOff>871538</xdr:colOff>
      <xdr:row>351</xdr:row>
      <xdr:rowOff>760942</xdr:rowOff>
    </xdr:to>
    <xdr:pic>
      <xdr:nvPicPr>
        <xdr:cNvPr id="684" name="Obraz 683">
          <a:extLst>
            <a:ext uri="{FF2B5EF4-FFF2-40B4-BE49-F238E27FC236}">
              <a16:creationId xmlns:a16="http://schemas.microsoft.com/office/drawing/2014/main" id="{24146953-953F-C202-07C5-A3081C0D18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69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351</xdr:row>
      <xdr:rowOff>760942</xdr:rowOff>
    </xdr:from>
    <xdr:to>
      <xdr:col>0</xdr:col>
      <xdr:colOff>871538</xdr:colOff>
      <xdr:row>352</xdr:row>
      <xdr:rowOff>760942</xdr:rowOff>
    </xdr:to>
    <xdr:pic>
      <xdr:nvPicPr>
        <xdr:cNvPr id="686" name="Obraz 685">
          <a:extLst>
            <a:ext uri="{FF2B5EF4-FFF2-40B4-BE49-F238E27FC236}">
              <a16:creationId xmlns:a16="http://schemas.microsoft.com/office/drawing/2014/main" id="{8278D2F2-67BA-5C1A-996D-63BE833207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77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352</xdr:row>
      <xdr:rowOff>760942</xdr:rowOff>
    </xdr:from>
    <xdr:to>
      <xdr:col>0</xdr:col>
      <xdr:colOff>871538</xdr:colOff>
      <xdr:row>353</xdr:row>
      <xdr:rowOff>760942</xdr:rowOff>
    </xdr:to>
    <xdr:pic>
      <xdr:nvPicPr>
        <xdr:cNvPr id="688" name="Obraz 687">
          <a:extLst>
            <a:ext uri="{FF2B5EF4-FFF2-40B4-BE49-F238E27FC236}">
              <a16:creationId xmlns:a16="http://schemas.microsoft.com/office/drawing/2014/main" id="{DB7BB27E-2F4F-0ED7-E199-9915F28586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85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353</xdr:row>
      <xdr:rowOff>760942</xdr:rowOff>
    </xdr:from>
    <xdr:to>
      <xdr:col>0</xdr:col>
      <xdr:colOff>871538</xdr:colOff>
      <xdr:row>354</xdr:row>
      <xdr:rowOff>760942</xdr:rowOff>
    </xdr:to>
    <xdr:pic>
      <xdr:nvPicPr>
        <xdr:cNvPr id="690" name="Obraz 689">
          <a:extLst>
            <a:ext uri="{FF2B5EF4-FFF2-40B4-BE49-F238E27FC236}">
              <a16:creationId xmlns:a16="http://schemas.microsoft.com/office/drawing/2014/main" id="{A2234894-1ED7-9120-0227-F746DE511F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92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354</xdr:row>
      <xdr:rowOff>760942</xdr:rowOff>
    </xdr:from>
    <xdr:to>
      <xdr:col>0</xdr:col>
      <xdr:colOff>871538</xdr:colOff>
      <xdr:row>355</xdr:row>
      <xdr:rowOff>760942</xdr:rowOff>
    </xdr:to>
    <xdr:pic>
      <xdr:nvPicPr>
        <xdr:cNvPr id="692" name="Obraz 691">
          <a:extLst>
            <a:ext uri="{FF2B5EF4-FFF2-40B4-BE49-F238E27FC236}">
              <a16:creationId xmlns:a16="http://schemas.microsoft.com/office/drawing/2014/main" id="{0BCD8737-057A-BAD1-0227-740BC7078C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00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355</xdr:row>
      <xdr:rowOff>760942</xdr:rowOff>
    </xdr:from>
    <xdr:to>
      <xdr:col>0</xdr:col>
      <xdr:colOff>871538</xdr:colOff>
      <xdr:row>356</xdr:row>
      <xdr:rowOff>760942</xdr:rowOff>
    </xdr:to>
    <xdr:pic>
      <xdr:nvPicPr>
        <xdr:cNvPr id="694" name="Obraz 693">
          <a:extLst>
            <a:ext uri="{FF2B5EF4-FFF2-40B4-BE49-F238E27FC236}">
              <a16:creationId xmlns:a16="http://schemas.microsoft.com/office/drawing/2014/main" id="{920A48DE-7069-E70C-CCB8-95FAD0EFCB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08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356</xdr:row>
      <xdr:rowOff>760942</xdr:rowOff>
    </xdr:from>
    <xdr:to>
      <xdr:col>0</xdr:col>
      <xdr:colOff>871538</xdr:colOff>
      <xdr:row>357</xdr:row>
      <xdr:rowOff>760942</xdr:rowOff>
    </xdr:to>
    <xdr:pic>
      <xdr:nvPicPr>
        <xdr:cNvPr id="696" name="Obraz 695">
          <a:extLst>
            <a:ext uri="{FF2B5EF4-FFF2-40B4-BE49-F238E27FC236}">
              <a16:creationId xmlns:a16="http://schemas.microsoft.com/office/drawing/2014/main" id="{C4D66555-8407-1A45-D637-56DA2AAC96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15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357</xdr:row>
      <xdr:rowOff>760942</xdr:rowOff>
    </xdr:from>
    <xdr:to>
      <xdr:col>0</xdr:col>
      <xdr:colOff>871538</xdr:colOff>
      <xdr:row>358</xdr:row>
      <xdr:rowOff>760942</xdr:rowOff>
    </xdr:to>
    <xdr:pic>
      <xdr:nvPicPr>
        <xdr:cNvPr id="698" name="Obraz 697">
          <a:extLst>
            <a:ext uri="{FF2B5EF4-FFF2-40B4-BE49-F238E27FC236}">
              <a16:creationId xmlns:a16="http://schemas.microsoft.com/office/drawing/2014/main" id="{73FE7DBA-C8D2-10BB-D660-AC77F4ED21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23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358</xdr:row>
      <xdr:rowOff>760942</xdr:rowOff>
    </xdr:from>
    <xdr:to>
      <xdr:col>0</xdr:col>
      <xdr:colOff>871538</xdr:colOff>
      <xdr:row>359</xdr:row>
      <xdr:rowOff>760942</xdr:rowOff>
    </xdr:to>
    <xdr:pic>
      <xdr:nvPicPr>
        <xdr:cNvPr id="700" name="Obraz 699">
          <a:extLst>
            <a:ext uri="{FF2B5EF4-FFF2-40B4-BE49-F238E27FC236}">
              <a16:creationId xmlns:a16="http://schemas.microsoft.com/office/drawing/2014/main" id="{F557A631-0D28-AFE2-2BC8-ADD8A2B115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30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359</xdr:row>
      <xdr:rowOff>760942</xdr:rowOff>
    </xdr:from>
    <xdr:to>
      <xdr:col>0</xdr:col>
      <xdr:colOff>871538</xdr:colOff>
      <xdr:row>360</xdr:row>
      <xdr:rowOff>760942</xdr:rowOff>
    </xdr:to>
    <xdr:pic>
      <xdr:nvPicPr>
        <xdr:cNvPr id="702" name="Obraz 701">
          <a:extLst>
            <a:ext uri="{FF2B5EF4-FFF2-40B4-BE49-F238E27FC236}">
              <a16:creationId xmlns:a16="http://schemas.microsoft.com/office/drawing/2014/main" id="{DA89ED32-F0F3-95A4-2204-AD60A9FDF4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38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360</xdr:row>
      <xdr:rowOff>760942</xdr:rowOff>
    </xdr:from>
    <xdr:to>
      <xdr:col>0</xdr:col>
      <xdr:colOff>871538</xdr:colOff>
      <xdr:row>361</xdr:row>
      <xdr:rowOff>760942</xdr:rowOff>
    </xdr:to>
    <xdr:pic>
      <xdr:nvPicPr>
        <xdr:cNvPr id="704" name="Obraz 703">
          <a:extLst>
            <a:ext uri="{FF2B5EF4-FFF2-40B4-BE49-F238E27FC236}">
              <a16:creationId xmlns:a16="http://schemas.microsoft.com/office/drawing/2014/main" id="{C99FB8B0-B525-67EA-B1E6-94FEE6B2AC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46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361</xdr:row>
      <xdr:rowOff>760942</xdr:rowOff>
    </xdr:from>
    <xdr:to>
      <xdr:col>0</xdr:col>
      <xdr:colOff>871538</xdr:colOff>
      <xdr:row>362</xdr:row>
      <xdr:rowOff>760942</xdr:rowOff>
    </xdr:to>
    <xdr:pic>
      <xdr:nvPicPr>
        <xdr:cNvPr id="706" name="Obraz 705">
          <a:extLst>
            <a:ext uri="{FF2B5EF4-FFF2-40B4-BE49-F238E27FC236}">
              <a16:creationId xmlns:a16="http://schemas.microsoft.com/office/drawing/2014/main" id="{45788E72-DFBF-96BF-486A-D1EBA8F44C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53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362</xdr:row>
      <xdr:rowOff>760942</xdr:rowOff>
    </xdr:from>
    <xdr:to>
      <xdr:col>0</xdr:col>
      <xdr:colOff>871538</xdr:colOff>
      <xdr:row>363</xdr:row>
      <xdr:rowOff>760942</xdr:rowOff>
    </xdr:to>
    <xdr:pic>
      <xdr:nvPicPr>
        <xdr:cNvPr id="708" name="Obraz 707">
          <a:extLst>
            <a:ext uri="{FF2B5EF4-FFF2-40B4-BE49-F238E27FC236}">
              <a16:creationId xmlns:a16="http://schemas.microsoft.com/office/drawing/2014/main" id="{B36AF815-2C07-FD59-1592-404CAE3017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61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363</xdr:row>
      <xdr:rowOff>760942</xdr:rowOff>
    </xdr:from>
    <xdr:to>
      <xdr:col>0</xdr:col>
      <xdr:colOff>871538</xdr:colOff>
      <xdr:row>364</xdr:row>
      <xdr:rowOff>760942</xdr:rowOff>
    </xdr:to>
    <xdr:pic>
      <xdr:nvPicPr>
        <xdr:cNvPr id="710" name="Obraz 709">
          <a:extLst>
            <a:ext uri="{FF2B5EF4-FFF2-40B4-BE49-F238E27FC236}">
              <a16:creationId xmlns:a16="http://schemas.microsoft.com/office/drawing/2014/main" id="{06036CD1-FDA7-A75C-5BE1-2DDF52A693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69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364</xdr:row>
      <xdr:rowOff>760942</xdr:rowOff>
    </xdr:from>
    <xdr:to>
      <xdr:col>0</xdr:col>
      <xdr:colOff>871538</xdr:colOff>
      <xdr:row>365</xdr:row>
      <xdr:rowOff>760942</xdr:rowOff>
    </xdr:to>
    <xdr:pic>
      <xdr:nvPicPr>
        <xdr:cNvPr id="712" name="Obraz 711">
          <a:extLst>
            <a:ext uri="{FF2B5EF4-FFF2-40B4-BE49-F238E27FC236}">
              <a16:creationId xmlns:a16="http://schemas.microsoft.com/office/drawing/2014/main" id="{68C0BE99-895B-106D-36A1-14C722CC25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76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365</xdr:row>
      <xdr:rowOff>760942</xdr:rowOff>
    </xdr:from>
    <xdr:to>
      <xdr:col>0</xdr:col>
      <xdr:colOff>871538</xdr:colOff>
      <xdr:row>366</xdr:row>
      <xdr:rowOff>760942</xdr:rowOff>
    </xdr:to>
    <xdr:pic>
      <xdr:nvPicPr>
        <xdr:cNvPr id="714" name="Obraz 713">
          <a:extLst>
            <a:ext uri="{FF2B5EF4-FFF2-40B4-BE49-F238E27FC236}">
              <a16:creationId xmlns:a16="http://schemas.microsoft.com/office/drawing/2014/main" id="{4725E05F-97A3-D98A-71D8-8ECBC707AF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84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366</xdr:row>
      <xdr:rowOff>760942</xdr:rowOff>
    </xdr:from>
    <xdr:to>
      <xdr:col>0</xdr:col>
      <xdr:colOff>871538</xdr:colOff>
      <xdr:row>367</xdr:row>
      <xdr:rowOff>760942</xdr:rowOff>
    </xdr:to>
    <xdr:pic>
      <xdr:nvPicPr>
        <xdr:cNvPr id="716" name="Obraz 715">
          <a:extLst>
            <a:ext uri="{FF2B5EF4-FFF2-40B4-BE49-F238E27FC236}">
              <a16:creationId xmlns:a16="http://schemas.microsoft.com/office/drawing/2014/main" id="{315F20AF-22FB-DA98-01B6-D2DED766D7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91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367</xdr:row>
      <xdr:rowOff>760942</xdr:rowOff>
    </xdr:from>
    <xdr:to>
      <xdr:col>0</xdr:col>
      <xdr:colOff>871538</xdr:colOff>
      <xdr:row>368</xdr:row>
      <xdr:rowOff>760942</xdr:rowOff>
    </xdr:to>
    <xdr:pic>
      <xdr:nvPicPr>
        <xdr:cNvPr id="718" name="Obraz 717">
          <a:extLst>
            <a:ext uri="{FF2B5EF4-FFF2-40B4-BE49-F238E27FC236}">
              <a16:creationId xmlns:a16="http://schemas.microsoft.com/office/drawing/2014/main" id="{DA8863EB-CAD7-9B87-3498-9552E6A754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99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368</xdr:row>
      <xdr:rowOff>760942</xdr:rowOff>
    </xdr:from>
    <xdr:to>
      <xdr:col>0</xdr:col>
      <xdr:colOff>871538</xdr:colOff>
      <xdr:row>369</xdr:row>
      <xdr:rowOff>760942</xdr:rowOff>
    </xdr:to>
    <xdr:pic>
      <xdr:nvPicPr>
        <xdr:cNvPr id="720" name="Obraz 719">
          <a:extLst>
            <a:ext uri="{FF2B5EF4-FFF2-40B4-BE49-F238E27FC236}">
              <a16:creationId xmlns:a16="http://schemas.microsoft.com/office/drawing/2014/main" id="{8FCBF3F6-A166-E47C-36A6-5F943F025A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807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369</xdr:row>
      <xdr:rowOff>760942</xdr:rowOff>
    </xdr:from>
    <xdr:to>
      <xdr:col>0</xdr:col>
      <xdr:colOff>871538</xdr:colOff>
      <xdr:row>370</xdr:row>
      <xdr:rowOff>760942</xdr:rowOff>
    </xdr:to>
    <xdr:pic>
      <xdr:nvPicPr>
        <xdr:cNvPr id="722" name="Obraz 721">
          <a:extLst>
            <a:ext uri="{FF2B5EF4-FFF2-40B4-BE49-F238E27FC236}">
              <a16:creationId xmlns:a16="http://schemas.microsoft.com/office/drawing/2014/main" id="{A73C66DA-FC30-433B-DA19-0B0643EAF6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814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370</xdr:row>
      <xdr:rowOff>760942</xdr:rowOff>
    </xdr:from>
    <xdr:to>
      <xdr:col>0</xdr:col>
      <xdr:colOff>871538</xdr:colOff>
      <xdr:row>371</xdr:row>
      <xdr:rowOff>760942</xdr:rowOff>
    </xdr:to>
    <xdr:pic>
      <xdr:nvPicPr>
        <xdr:cNvPr id="724" name="Obraz 723">
          <a:extLst>
            <a:ext uri="{FF2B5EF4-FFF2-40B4-BE49-F238E27FC236}">
              <a16:creationId xmlns:a16="http://schemas.microsoft.com/office/drawing/2014/main" id="{3B330C3D-176E-8530-D31A-BC2C29B7F1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822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371</xdr:row>
      <xdr:rowOff>760942</xdr:rowOff>
    </xdr:from>
    <xdr:to>
      <xdr:col>0</xdr:col>
      <xdr:colOff>871538</xdr:colOff>
      <xdr:row>372</xdr:row>
      <xdr:rowOff>760942</xdr:rowOff>
    </xdr:to>
    <xdr:pic>
      <xdr:nvPicPr>
        <xdr:cNvPr id="726" name="Obraz 725">
          <a:extLst>
            <a:ext uri="{FF2B5EF4-FFF2-40B4-BE49-F238E27FC236}">
              <a16:creationId xmlns:a16="http://schemas.microsoft.com/office/drawing/2014/main" id="{4BF8BD4F-57BC-9395-4508-35C7BDF119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829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372</xdr:row>
      <xdr:rowOff>760942</xdr:rowOff>
    </xdr:from>
    <xdr:to>
      <xdr:col>0</xdr:col>
      <xdr:colOff>871538</xdr:colOff>
      <xdr:row>373</xdr:row>
      <xdr:rowOff>760942</xdr:rowOff>
    </xdr:to>
    <xdr:pic>
      <xdr:nvPicPr>
        <xdr:cNvPr id="728" name="Obraz 727">
          <a:extLst>
            <a:ext uri="{FF2B5EF4-FFF2-40B4-BE49-F238E27FC236}">
              <a16:creationId xmlns:a16="http://schemas.microsoft.com/office/drawing/2014/main" id="{FBE886FB-12F6-D091-1611-384865A306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837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373</xdr:row>
      <xdr:rowOff>760942</xdr:rowOff>
    </xdr:from>
    <xdr:to>
      <xdr:col>0</xdr:col>
      <xdr:colOff>871538</xdr:colOff>
      <xdr:row>374</xdr:row>
      <xdr:rowOff>760942</xdr:rowOff>
    </xdr:to>
    <xdr:pic>
      <xdr:nvPicPr>
        <xdr:cNvPr id="730" name="Obraz 729">
          <a:extLst>
            <a:ext uri="{FF2B5EF4-FFF2-40B4-BE49-F238E27FC236}">
              <a16:creationId xmlns:a16="http://schemas.microsoft.com/office/drawing/2014/main" id="{94B4A8B6-44C7-6525-9CC1-5A517E6DC7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845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374</xdr:row>
      <xdr:rowOff>760942</xdr:rowOff>
    </xdr:from>
    <xdr:to>
      <xdr:col>0</xdr:col>
      <xdr:colOff>871538</xdr:colOff>
      <xdr:row>375</xdr:row>
      <xdr:rowOff>760942</xdr:rowOff>
    </xdr:to>
    <xdr:pic>
      <xdr:nvPicPr>
        <xdr:cNvPr id="732" name="Obraz 731">
          <a:extLst>
            <a:ext uri="{FF2B5EF4-FFF2-40B4-BE49-F238E27FC236}">
              <a16:creationId xmlns:a16="http://schemas.microsoft.com/office/drawing/2014/main" id="{062C17E0-641B-061E-AD0E-97A406D9DC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852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375</xdr:row>
      <xdr:rowOff>760942</xdr:rowOff>
    </xdr:from>
    <xdr:to>
      <xdr:col>0</xdr:col>
      <xdr:colOff>871538</xdr:colOff>
      <xdr:row>376</xdr:row>
      <xdr:rowOff>760942</xdr:rowOff>
    </xdr:to>
    <xdr:pic>
      <xdr:nvPicPr>
        <xdr:cNvPr id="734" name="Obraz 733">
          <a:extLst>
            <a:ext uri="{FF2B5EF4-FFF2-40B4-BE49-F238E27FC236}">
              <a16:creationId xmlns:a16="http://schemas.microsoft.com/office/drawing/2014/main" id="{A30290C1-AC22-B67D-D7BB-3DB104A7E6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860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376</xdr:row>
      <xdr:rowOff>760942</xdr:rowOff>
    </xdr:from>
    <xdr:to>
      <xdr:col>0</xdr:col>
      <xdr:colOff>871538</xdr:colOff>
      <xdr:row>377</xdr:row>
      <xdr:rowOff>760942</xdr:rowOff>
    </xdr:to>
    <xdr:pic>
      <xdr:nvPicPr>
        <xdr:cNvPr id="736" name="Obraz 735">
          <a:extLst>
            <a:ext uri="{FF2B5EF4-FFF2-40B4-BE49-F238E27FC236}">
              <a16:creationId xmlns:a16="http://schemas.microsoft.com/office/drawing/2014/main" id="{54170D6C-6219-3DC2-652F-57CA920BBB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868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377</xdr:row>
      <xdr:rowOff>760942</xdr:rowOff>
    </xdr:from>
    <xdr:to>
      <xdr:col>0</xdr:col>
      <xdr:colOff>871538</xdr:colOff>
      <xdr:row>378</xdr:row>
      <xdr:rowOff>760942</xdr:rowOff>
    </xdr:to>
    <xdr:pic>
      <xdr:nvPicPr>
        <xdr:cNvPr id="738" name="Obraz 737">
          <a:extLst>
            <a:ext uri="{FF2B5EF4-FFF2-40B4-BE49-F238E27FC236}">
              <a16:creationId xmlns:a16="http://schemas.microsoft.com/office/drawing/2014/main" id="{4D7560DC-FADD-C33D-34B4-392E90E168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875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378</xdr:row>
      <xdr:rowOff>760942</xdr:rowOff>
    </xdr:from>
    <xdr:to>
      <xdr:col>0</xdr:col>
      <xdr:colOff>871538</xdr:colOff>
      <xdr:row>379</xdr:row>
      <xdr:rowOff>760942</xdr:rowOff>
    </xdr:to>
    <xdr:pic>
      <xdr:nvPicPr>
        <xdr:cNvPr id="740" name="Obraz 739">
          <a:extLst>
            <a:ext uri="{FF2B5EF4-FFF2-40B4-BE49-F238E27FC236}">
              <a16:creationId xmlns:a16="http://schemas.microsoft.com/office/drawing/2014/main" id="{23512F30-E2B6-6869-F2D3-8C4DCB87DD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883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379</xdr:row>
      <xdr:rowOff>760942</xdr:rowOff>
    </xdr:from>
    <xdr:to>
      <xdr:col>0</xdr:col>
      <xdr:colOff>871538</xdr:colOff>
      <xdr:row>380</xdr:row>
      <xdr:rowOff>760942</xdr:rowOff>
    </xdr:to>
    <xdr:pic>
      <xdr:nvPicPr>
        <xdr:cNvPr id="742" name="Obraz 741">
          <a:extLst>
            <a:ext uri="{FF2B5EF4-FFF2-40B4-BE49-F238E27FC236}">
              <a16:creationId xmlns:a16="http://schemas.microsoft.com/office/drawing/2014/main" id="{293F6C88-C36E-998E-9D57-A6D7146D02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890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380</xdr:row>
      <xdr:rowOff>760942</xdr:rowOff>
    </xdr:from>
    <xdr:to>
      <xdr:col>0</xdr:col>
      <xdr:colOff>871538</xdr:colOff>
      <xdr:row>381</xdr:row>
      <xdr:rowOff>760942</xdr:rowOff>
    </xdr:to>
    <xdr:pic>
      <xdr:nvPicPr>
        <xdr:cNvPr id="744" name="Obraz 743">
          <a:extLst>
            <a:ext uri="{FF2B5EF4-FFF2-40B4-BE49-F238E27FC236}">
              <a16:creationId xmlns:a16="http://schemas.microsoft.com/office/drawing/2014/main" id="{0743E5D2-EF02-0433-1144-633405868B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898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381</xdr:row>
      <xdr:rowOff>760942</xdr:rowOff>
    </xdr:from>
    <xdr:to>
      <xdr:col>0</xdr:col>
      <xdr:colOff>871538</xdr:colOff>
      <xdr:row>382</xdr:row>
      <xdr:rowOff>760942</xdr:rowOff>
    </xdr:to>
    <xdr:pic>
      <xdr:nvPicPr>
        <xdr:cNvPr id="746" name="Obraz 745">
          <a:extLst>
            <a:ext uri="{FF2B5EF4-FFF2-40B4-BE49-F238E27FC236}">
              <a16:creationId xmlns:a16="http://schemas.microsoft.com/office/drawing/2014/main" id="{D9E7CBA3-D98E-1E47-98CC-17A0C24918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906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382</xdr:row>
      <xdr:rowOff>760942</xdr:rowOff>
    </xdr:from>
    <xdr:to>
      <xdr:col>0</xdr:col>
      <xdr:colOff>871538</xdr:colOff>
      <xdr:row>383</xdr:row>
      <xdr:rowOff>760942</xdr:rowOff>
    </xdr:to>
    <xdr:pic>
      <xdr:nvPicPr>
        <xdr:cNvPr id="748" name="Obraz 747">
          <a:extLst>
            <a:ext uri="{FF2B5EF4-FFF2-40B4-BE49-F238E27FC236}">
              <a16:creationId xmlns:a16="http://schemas.microsoft.com/office/drawing/2014/main" id="{FD25D0C7-F8FC-278A-CAAC-DA9D21FF78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913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383</xdr:row>
      <xdr:rowOff>760942</xdr:rowOff>
    </xdr:from>
    <xdr:to>
      <xdr:col>0</xdr:col>
      <xdr:colOff>871538</xdr:colOff>
      <xdr:row>384</xdr:row>
      <xdr:rowOff>760942</xdr:rowOff>
    </xdr:to>
    <xdr:pic>
      <xdr:nvPicPr>
        <xdr:cNvPr id="750" name="Obraz 749">
          <a:extLst>
            <a:ext uri="{FF2B5EF4-FFF2-40B4-BE49-F238E27FC236}">
              <a16:creationId xmlns:a16="http://schemas.microsoft.com/office/drawing/2014/main" id="{E17E46E3-59A0-4FB9-B36A-7997FE5007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921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384</xdr:row>
      <xdr:rowOff>760942</xdr:rowOff>
    </xdr:from>
    <xdr:to>
      <xdr:col>0</xdr:col>
      <xdr:colOff>871538</xdr:colOff>
      <xdr:row>385</xdr:row>
      <xdr:rowOff>760942</xdr:rowOff>
    </xdr:to>
    <xdr:pic>
      <xdr:nvPicPr>
        <xdr:cNvPr id="752" name="Obraz 751">
          <a:extLst>
            <a:ext uri="{FF2B5EF4-FFF2-40B4-BE49-F238E27FC236}">
              <a16:creationId xmlns:a16="http://schemas.microsoft.com/office/drawing/2014/main" id="{58ABA3BE-7F35-2D9F-9147-C2DBE49CC7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929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385</xdr:row>
      <xdr:rowOff>760942</xdr:rowOff>
    </xdr:from>
    <xdr:to>
      <xdr:col>0</xdr:col>
      <xdr:colOff>871538</xdr:colOff>
      <xdr:row>386</xdr:row>
      <xdr:rowOff>760942</xdr:rowOff>
    </xdr:to>
    <xdr:pic>
      <xdr:nvPicPr>
        <xdr:cNvPr id="754" name="Obraz 753">
          <a:extLst>
            <a:ext uri="{FF2B5EF4-FFF2-40B4-BE49-F238E27FC236}">
              <a16:creationId xmlns:a16="http://schemas.microsoft.com/office/drawing/2014/main" id="{E7042D3C-5FD0-9279-22BE-AD2BA6C0EA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936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386</xdr:row>
      <xdr:rowOff>760942</xdr:rowOff>
    </xdr:from>
    <xdr:to>
      <xdr:col>0</xdr:col>
      <xdr:colOff>871538</xdr:colOff>
      <xdr:row>387</xdr:row>
      <xdr:rowOff>760942</xdr:rowOff>
    </xdr:to>
    <xdr:pic>
      <xdr:nvPicPr>
        <xdr:cNvPr id="756" name="Obraz 755">
          <a:extLst>
            <a:ext uri="{FF2B5EF4-FFF2-40B4-BE49-F238E27FC236}">
              <a16:creationId xmlns:a16="http://schemas.microsoft.com/office/drawing/2014/main" id="{F2192608-CBE3-BDDC-DE26-EFB3D31CA3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944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387</xdr:row>
      <xdr:rowOff>760942</xdr:rowOff>
    </xdr:from>
    <xdr:to>
      <xdr:col>0</xdr:col>
      <xdr:colOff>871538</xdr:colOff>
      <xdr:row>388</xdr:row>
      <xdr:rowOff>760942</xdr:rowOff>
    </xdr:to>
    <xdr:pic>
      <xdr:nvPicPr>
        <xdr:cNvPr id="758" name="Obraz 757">
          <a:extLst>
            <a:ext uri="{FF2B5EF4-FFF2-40B4-BE49-F238E27FC236}">
              <a16:creationId xmlns:a16="http://schemas.microsoft.com/office/drawing/2014/main" id="{4B74BA10-BEDB-1899-4DCB-3A9ACAC956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951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388</xdr:row>
      <xdr:rowOff>760942</xdr:rowOff>
    </xdr:from>
    <xdr:to>
      <xdr:col>0</xdr:col>
      <xdr:colOff>871538</xdr:colOff>
      <xdr:row>389</xdr:row>
      <xdr:rowOff>760942</xdr:rowOff>
    </xdr:to>
    <xdr:pic>
      <xdr:nvPicPr>
        <xdr:cNvPr id="760" name="Obraz 759">
          <a:extLst>
            <a:ext uri="{FF2B5EF4-FFF2-40B4-BE49-F238E27FC236}">
              <a16:creationId xmlns:a16="http://schemas.microsoft.com/office/drawing/2014/main" id="{0C6F14C6-6EC8-92D1-194A-0FE6717906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959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389</xdr:row>
      <xdr:rowOff>760942</xdr:rowOff>
    </xdr:from>
    <xdr:to>
      <xdr:col>0</xdr:col>
      <xdr:colOff>871538</xdr:colOff>
      <xdr:row>390</xdr:row>
      <xdr:rowOff>760942</xdr:rowOff>
    </xdr:to>
    <xdr:pic>
      <xdr:nvPicPr>
        <xdr:cNvPr id="762" name="Obraz 761">
          <a:extLst>
            <a:ext uri="{FF2B5EF4-FFF2-40B4-BE49-F238E27FC236}">
              <a16:creationId xmlns:a16="http://schemas.microsoft.com/office/drawing/2014/main" id="{3C758037-E647-8D96-CE65-4A13086CB7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967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390</xdr:row>
      <xdr:rowOff>760942</xdr:rowOff>
    </xdr:from>
    <xdr:to>
      <xdr:col>0</xdr:col>
      <xdr:colOff>871538</xdr:colOff>
      <xdr:row>391</xdr:row>
      <xdr:rowOff>760942</xdr:rowOff>
    </xdr:to>
    <xdr:pic>
      <xdr:nvPicPr>
        <xdr:cNvPr id="764" name="Obraz 763">
          <a:extLst>
            <a:ext uri="{FF2B5EF4-FFF2-40B4-BE49-F238E27FC236}">
              <a16:creationId xmlns:a16="http://schemas.microsoft.com/office/drawing/2014/main" id="{D2F191F7-AA80-B9CB-7EE1-E4642683E0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974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391</xdr:row>
      <xdr:rowOff>760942</xdr:rowOff>
    </xdr:from>
    <xdr:to>
      <xdr:col>0</xdr:col>
      <xdr:colOff>871538</xdr:colOff>
      <xdr:row>392</xdr:row>
      <xdr:rowOff>760942</xdr:rowOff>
    </xdr:to>
    <xdr:pic>
      <xdr:nvPicPr>
        <xdr:cNvPr id="766" name="Obraz 765">
          <a:extLst>
            <a:ext uri="{FF2B5EF4-FFF2-40B4-BE49-F238E27FC236}">
              <a16:creationId xmlns:a16="http://schemas.microsoft.com/office/drawing/2014/main" id="{09D1FB4E-06A9-A3B8-AEB7-DA688FACD3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982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392</xdr:row>
      <xdr:rowOff>760942</xdr:rowOff>
    </xdr:from>
    <xdr:to>
      <xdr:col>0</xdr:col>
      <xdr:colOff>871538</xdr:colOff>
      <xdr:row>393</xdr:row>
      <xdr:rowOff>760942</xdr:rowOff>
    </xdr:to>
    <xdr:pic>
      <xdr:nvPicPr>
        <xdr:cNvPr id="768" name="Obraz 767">
          <a:extLst>
            <a:ext uri="{FF2B5EF4-FFF2-40B4-BE49-F238E27FC236}">
              <a16:creationId xmlns:a16="http://schemas.microsoft.com/office/drawing/2014/main" id="{22117578-D192-9C46-E6D8-57A6385B00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989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393</xdr:row>
      <xdr:rowOff>760942</xdr:rowOff>
    </xdr:from>
    <xdr:to>
      <xdr:col>0</xdr:col>
      <xdr:colOff>871538</xdr:colOff>
      <xdr:row>394</xdr:row>
      <xdr:rowOff>760942</xdr:rowOff>
    </xdr:to>
    <xdr:pic>
      <xdr:nvPicPr>
        <xdr:cNvPr id="770" name="Obraz 769">
          <a:extLst>
            <a:ext uri="{FF2B5EF4-FFF2-40B4-BE49-F238E27FC236}">
              <a16:creationId xmlns:a16="http://schemas.microsoft.com/office/drawing/2014/main" id="{27E6EFB7-0C35-3D30-9633-8650840654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997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394</xdr:row>
      <xdr:rowOff>760942</xdr:rowOff>
    </xdr:from>
    <xdr:to>
      <xdr:col>0</xdr:col>
      <xdr:colOff>871538</xdr:colOff>
      <xdr:row>395</xdr:row>
      <xdr:rowOff>760942</xdr:rowOff>
    </xdr:to>
    <xdr:pic>
      <xdr:nvPicPr>
        <xdr:cNvPr id="772" name="Obraz 771">
          <a:extLst>
            <a:ext uri="{FF2B5EF4-FFF2-40B4-BE49-F238E27FC236}">
              <a16:creationId xmlns:a16="http://schemas.microsoft.com/office/drawing/2014/main" id="{5F0C48D4-B264-BD66-4F94-A6651F5CEF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05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395</xdr:row>
      <xdr:rowOff>760942</xdr:rowOff>
    </xdr:from>
    <xdr:to>
      <xdr:col>0</xdr:col>
      <xdr:colOff>871538</xdr:colOff>
      <xdr:row>396</xdr:row>
      <xdr:rowOff>760942</xdr:rowOff>
    </xdr:to>
    <xdr:pic>
      <xdr:nvPicPr>
        <xdr:cNvPr id="774" name="Obraz 773">
          <a:extLst>
            <a:ext uri="{FF2B5EF4-FFF2-40B4-BE49-F238E27FC236}">
              <a16:creationId xmlns:a16="http://schemas.microsoft.com/office/drawing/2014/main" id="{4FE70758-D4D0-1B2A-4934-36CCA58742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12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396</xdr:row>
      <xdr:rowOff>760942</xdr:rowOff>
    </xdr:from>
    <xdr:to>
      <xdr:col>0</xdr:col>
      <xdr:colOff>871538</xdr:colOff>
      <xdr:row>397</xdr:row>
      <xdr:rowOff>760942</xdr:rowOff>
    </xdr:to>
    <xdr:pic>
      <xdr:nvPicPr>
        <xdr:cNvPr id="776" name="Obraz 775">
          <a:extLst>
            <a:ext uri="{FF2B5EF4-FFF2-40B4-BE49-F238E27FC236}">
              <a16:creationId xmlns:a16="http://schemas.microsoft.com/office/drawing/2014/main" id="{421D802D-935D-69A2-F473-D1212646FD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20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397</xdr:row>
      <xdr:rowOff>760942</xdr:rowOff>
    </xdr:from>
    <xdr:to>
      <xdr:col>0</xdr:col>
      <xdr:colOff>871538</xdr:colOff>
      <xdr:row>398</xdr:row>
      <xdr:rowOff>760942</xdr:rowOff>
    </xdr:to>
    <xdr:pic>
      <xdr:nvPicPr>
        <xdr:cNvPr id="778" name="Obraz 777">
          <a:extLst>
            <a:ext uri="{FF2B5EF4-FFF2-40B4-BE49-F238E27FC236}">
              <a16:creationId xmlns:a16="http://schemas.microsoft.com/office/drawing/2014/main" id="{FF16E958-33CB-B31C-3566-4C7A50D355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28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398</xdr:row>
      <xdr:rowOff>760942</xdr:rowOff>
    </xdr:from>
    <xdr:to>
      <xdr:col>0</xdr:col>
      <xdr:colOff>871538</xdr:colOff>
      <xdr:row>399</xdr:row>
      <xdr:rowOff>760942</xdr:rowOff>
    </xdr:to>
    <xdr:pic>
      <xdr:nvPicPr>
        <xdr:cNvPr id="780" name="Obraz 779">
          <a:extLst>
            <a:ext uri="{FF2B5EF4-FFF2-40B4-BE49-F238E27FC236}">
              <a16:creationId xmlns:a16="http://schemas.microsoft.com/office/drawing/2014/main" id="{C4664084-F83C-3411-162B-E9B334F196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35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399</xdr:row>
      <xdr:rowOff>760942</xdr:rowOff>
    </xdr:from>
    <xdr:to>
      <xdr:col>0</xdr:col>
      <xdr:colOff>871538</xdr:colOff>
      <xdr:row>400</xdr:row>
      <xdr:rowOff>760942</xdr:rowOff>
    </xdr:to>
    <xdr:pic>
      <xdr:nvPicPr>
        <xdr:cNvPr id="782" name="Obraz 781">
          <a:extLst>
            <a:ext uri="{FF2B5EF4-FFF2-40B4-BE49-F238E27FC236}">
              <a16:creationId xmlns:a16="http://schemas.microsoft.com/office/drawing/2014/main" id="{34C3278D-991D-92A8-BE74-D801712DC6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43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400</xdr:row>
      <xdr:rowOff>760942</xdr:rowOff>
    </xdr:from>
    <xdr:to>
      <xdr:col>0</xdr:col>
      <xdr:colOff>871538</xdr:colOff>
      <xdr:row>401</xdr:row>
      <xdr:rowOff>760942</xdr:rowOff>
    </xdr:to>
    <xdr:pic>
      <xdr:nvPicPr>
        <xdr:cNvPr id="784" name="Obraz 783">
          <a:extLst>
            <a:ext uri="{FF2B5EF4-FFF2-40B4-BE49-F238E27FC236}">
              <a16:creationId xmlns:a16="http://schemas.microsoft.com/office/drawing/2014/main" id="{FD4FF492-DCC7-F426-85EB-35631D739B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50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401</xdr:row>
      <xdr:rowOff>760942</xdr:rowOff>
    </xdr:from>
    <xdr:to>
      <xdr:col>0</xdr:col>
      <xdr:colOff>871538</xdr:colOff>
      <xdr:row>402</xdr:row>
      <xdr:rowOff>760942</xdr:rowOff>
    </xdr:to>
    <xdr:pic>
      <xdr:nvPicPr>
        <xdr:cNvPr id="786" name="Obraz 785">
          <a:extLst>
            <a:ext uri="{FF2B5EF4-FFF2-40B4-BE49-F238E27FC236}">
              <a16:creationId xmlns:a16="http://schemas.microsoft.com/office/drawing/2014/main" id="{BEC1E327-288C-4A3B-564C-D72D0A5164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58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402</xdr:row>
      <xdr:rowOff>760942</xdr:rowOff>
    </xdr:from>
    <xdr:to>
      <xdr:col>0</xdr:col>
      <xdr:colOff>871538</xdr:colOff>
      <xdr:row>403</xdr:row>
      <xdr:rowOff>760942</xdr:rowOff>
    </xdr:to>
    <xdr:pic>
      <xdr:nvPicPr>
        <xdr:cNvPr id="788" name="Obraz 787">
          <a:extLst>
            <a:ext uri="{FF2B5EF4-FFF2-40B4-BE49-F238E27FC236}">
              <a16:creationId xmlns:a16="http://schemas.microsoft.com/office/drawing/2014/main" id="{8D82730B-B20B-02FE-2F8F-D0459DAE36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66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403</xdr:row>
      <xdr:rowOff>760942</xdr:rowOff>
    </xdr:from>
    <xdr:to>
      <xdr:col>0</xdr:col>
      <xdr:colOff>871538</xdr:colOff>
      <xdr:row>404</xdr:row>
      <xdr:rowOff>760942</xdr:rowOff>
    </xdr:to>
    <xdr:pic>
      <xdr:nvPicPr>
        <xdr:cNvPr id="790" name="Obraz 789">
          <a:extLst>
            <a:ext uri="{FF2B5EF4-FFF2-40B4-BE49-F238E27FC236}">
              <a16:creationId xmlns:a16="http://schemas.microsoft.com/office/drawing/2014/main" id="{13BF43D4-3BB1-2DE4-4B16-A76653BD08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73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404</xdr:row>
      <xdr:rowOff>760942</xdr:rowOff>
    </xdr:from>
    <xdr:to>
      <xdr:col>0</xdr:col>
      <xdr:colOff>871538</xdr:colOff>
      <xdr:row>405</xdr:row>
      <xdr:rowOff>760942</xdr:rowOff>
    </xdr:to>
    <xdr:pic>
      <xdr:nvPicPr>
        <xdr:cNvPr id="792" name="Obraz 791">
          <a:extLst>
            <a:ext uri="{FF2B5EF4-FFF2-40B4-BE49-F238E27FC236}">
              <a16:creationId xmlns:a16="http://schemas.microsoft.com/office/drawing/2014/main" id="{9FD02F87-D7CB-C7A1-3B4E-B88D0CAE3C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81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405</xdr:row>
      <xdr:rowOff>760942</xdr:rowOff>
    </xdr:from>
    <xdr:to>
      <xdr:col>0</xdr:col>
      <xdr:colOff>871538</xdr:colOff>
      <xdr:row>406</xdr:row>
      <xdr:rowOff>760942</xdr:rowOff>
    </xdr:to>
    <xdr:pic>
      <xdr:nvPicPr>
        <xdr:cNvPr id="794" name="Obraz 793">
          <a:extLst>
            <a:ext uri="{FF2B5EF4-FFF2-40B4-BE49-F238E27FC236}">
              <a16:creationId xmlns:a16="http://schemas.microsoft.com/office/drawing/2014/main" id="{1A5AACAD-C1DF-A6E1-6F5B-CE8D0C4C61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89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406</xdr:row>
      <xdr:rowOff>760942</xdr:rowOff>
    </xdr:from>
    <xdr:to>
      <xdr:col>0</xdr:col>
      <xdr:colOff>871538</xdr:colOff>
      <xdr:row>407</xdr:row>
      <xdr:rowOff>760942</xdr:rowOff>
    </xdr:to>
    <xdr:pic>
      <xdr:nvPicPr>
        <xdr:cNvPr id="796" name="Obraz 795">
          <a:extLst>
            <a:ext uri="{FF2B5EF4-FFF2-40B4-BE49-F238E27FC236}">
              <a16:creationId xmlns:a16="http://schemas.microsoft.com/office/drawing/2014/main" id="{FA74D29F-433D-9BF3-62B9-F15A629227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96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407</xdr:row>
      <xdr:rowOff>760942</xdr:rowOff>
    </xdr:from>
    <xdr:to>
      <xdr:col>0</xdr:col>
      <xdr:colOff>871538</xdr:colOff>
      <xdr:row>408</xdr:row>
      <xdr:rowOff>760942</xdr:rowOff>
    </xdr:to>
    <xdr:pic>
      <xdr:nvPicPr>
        <xdr:cNvPr id="798" name="Obraz 797">
          <a:extLst>
            <a:ext uri="{FF2B5EF4-FFF2-40B4-BE49-F238E27FC236}">
              <a16:creationId xmlns:a16="http://schemas.microsoft.com/office/drawing/2014/main" id="{5C1924F1-028C-4968-E5B9-160A8F0224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104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408</xdr:row>
      <xdr:rowOff>760942</xdr:rowOff>
    </xdr:from>
    <xdr:to>
      <xdr:col>0</xdr:col>
      <xdr:colOff>871538</xdr:colOff>
      <xdr:row>409</xdr:row>
      <xdr:rowOff>760942</xdr:rowOff>
    </xdr:to>
    <xdr:pic>
      <xdr:nvPicPr>
        <xdr:cNvPr id="800" name="Obraz 799">
          <a:extLst>
            <a:ext uri="{FF2B5EF4-FFF2-40B4-BE49-F238E27FC236}">
              <a16:creationId xmlns:a16="http://schemas.microsoft.com/office/drawing/2014/main" id="{365C476E-7162-FF44-D4A6-4D823176E2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111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409</xdr:row>
      <xdr:rowOff>760942</xdr:rowOff>
    </xdr:from>
    <xdr:to>
      <xdr:col>0</xdr:col>
      <xdr:colOff>871538</xdr:colOff>
      <xdr:row>410</xdr:row>
      <xdr:rowOff>760942</xdr:rowOff>
    </xdr:to>
    <xdr:pic>
      <xdr:nvPicPr>
        <xdr:cNvPr id="802" name="Obraz 801">
          <a:extLst>
            <a:ext uri="{FF2B5EF4-FFF2-40B4-BE49-F238E27FC236}">
              <a16:creationId xmlns:a16="http://schemas.microsoft.com/office/drawing/2014/main" id="{90906CFE-A8CC-5C28-6565-D4692EAED8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119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410</xdr:row>
      <xdr:rowOff>760942</xdr:rowOff>
    </xdr:from>
    <xdr:to>
      <xdr:col>0</xdr:col>
      <xdr:colOff>871538</xdr:colOff>
      <xdr:row>411</xdr:row>
      <xdr:rowOff>760942</xdr:rowOff>
    </xdr:to>
    <xdr:pic>
      <xdr:nvPicPr>
        <xdr:cNvPr id="804" name="Obraz 803">
          <a:extLst>
            <a:ext uri="{FF2B5EF4-FFF2-40B4-BE49-F238E27FC236}">
              <a16:creationId xmlns:a16="http://schemas.microsoft.com/office/drawing/2014/main" id="{FB34C0FD-8E2C-1D84-FFB0-3E13F8F645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127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411</xdr:row>
      <xdr:rowOff>760942</xdr:rowOff>
    </xdr:from>
    <xdr:to>
      <xdr:col>0</xdr:col>
      <xdr:colOff>871538</xdr:colOff>
      <xdr:row>412</xdr:row>
      <xdr:rowOff>760942</xdr:rowOff>
    </xdr:to>
    <xdr:pic>
      <xdr:nvPicPr>
        <xdr:cNvPr id="806" name="Obraz 805">
          <a:extLst>
            <a:ext uri="{FF2B5EF4-FFF2-40B4-BE49-F238E27FC236}">
              <a16:creationId xmlns:a16="http://schemas.microsoft.com/office/drawing/2014/main" id="{F50B49C2-5C44-1D82-8E24-99BE8EC27B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134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412</xdr:row>
      <xdr:rowOff>760942</xdr:rowOff>
    </xdr:from>
    <xdr:to>
      <xdr:col>0</xdr:col>
      <xdr:colOff>871538</xdr:colOff>
      <xdr:row>413</xdr:row>
      <xdr:rowOff>760942</xdr:rowOff>
    </xdr:to>
    <xdr:pic>
      <xdr:nvPicPr>
        <xdr:cNvPr id="808" name="Obraz 807">
          <a:extLst>
            <a:ext uri="{FF2B5EF4-FFF2-40B4-BE49-F238E27FC236}">
              <a16:creationId xmlns:a16="http://schemas.microsoft.com/office/drawing/2014/main" id="{5E54AFAC-F56D-BD61-684E-F65A1FC5DD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142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413</xdr:row>
      <xdr:rowOff>760942</xdr:rowOff>
    </xdr:from>
    <xdr:to>
      <xdr:col>0</xdr:col>
      <xdr:colOff>871538</xdr:colOff>
      <xdr:row>414</xdr:row>
      <xdr:rowOff>760942</xdr:rowOff>
    </xdr:to>
    <xdr:pic>
      <xdr:nvPicPr>
        <xdr:cNvPr id="810" name="Obraz 809">
          <a:extLst>
            <a:ext uri="{FF2B5EF4-FFF2-40B4-BE49-F238E27FC236}">
              <a16:creationId xmlns:a16="http://schemas.microsoft.com/office/drawing/2014/main" id="{DAB7B1DF-6E77-210A-71C8-384D8CE380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150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414</xdr:row>
      <xdr:rowOff>760942</xdr:rowOff>
    </xdr:from>
    <xdr:to>
      <xdr:col>0</xdr:col>
      <xdr:colOff>871538</xdr:colOff>
      <xdr:row>415</xdr:row>
      <xdr:rowOff>760942</xdr:rowOff>
    </xdr:to>
    <xdr:pic>
      <xdr:nvPicPr>
        <xdr:cNvPr id="812" name="Obraz 811">
          <a:extLst>
            <a:ext uri="{FF2B5EF4-FFF2-40B4-BE49-F238E27FC236}">
              <a16:creationId xmlns:a16="http://schemas.microsoft.com/office/drawing/2014/main" id="{88C2B128-E3C4-2D12-884E-158633AF3B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157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415</xdr:row>
      <xdr:rowOff>760942</xdr:rowOff>
    </xdr:from>
    <xdr:to>
      <xdr:col>0</xdr:col>
      <xdr:colOff>871538</xdr:colOff>
      <xdr:row>416</xdr:row>
      <xdr:rowOff>760942</xdr:rowOff>
    </xdr:to>
    <xdr:pic>
      <xdr:nvPicPr>
        <xdr:cNvPr id="814" name="Obraz 813">
          <a:extLst>
            <a:ext uri="{FF2B5EF4-FFF2-40B4-BE49-F238E27FC236}">
              <a16:creationId xmlns:a16="http://schemas.microsoft.com/office/drawing/2014/main" id="{99662F6C-B75F-EEED-33EB-AA95FD1C46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165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416</xdr:row>
      <xdr:rowOff>760942</xdr:rowOff>
    </xdr:from>
    <xdr:to>
      <xdr:col>0</xdr:col>
      <xdr:colOff>871538</xdr:colOff>
      <xdr:row>417</xdr:row>
      <xdr:rowOff>760942</xdr:rowOff>
    </xdr:to>
    <xdr:pic>
      <xdr:nvPicPr>
        <xdr:cNvPr id="816" name="Obraz 815">
          <a:extLst>
            <a:ext uri="{FF2B5EF4-FFF2-40B4-BE49-F238E27FC236}">
              <a16:creationId xmlns:a16="http://schemas.microsoft.com/office/drawing/2014/main" id="{0576867E-9841-8DF5-C948-6BE11F94C6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172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417</xdr:row>
      <xdr:rowOff>760942</xdr:rowOff>
    </xdr:from>
    <xdr:to>
      <xdr:col>0</xdr:col>
      <xdr:colOff>871538</xdr:colOff>
      <xdr:row>418</xdr:row>
      <xdr:rowOff>760942</xdr:rowOff>
    </xdr:to>
    <xdr:pic>
      <xdr:nvPicPr>
        <xdr:cNvPr id="818" name="Obraz 817">
          <a:extLst>
            <a:ext uri="{FF2B5EF4-FFF2-40B4-BE49-F238E27FC236}">
              <a16:creationId xmlns:a16="http://schemas.microsoft.com/office/drawing/2014/main" id="{BA9579E5-DA2B-19A0-FC2C-FE2D84B160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180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418</xdr:row>
      <xdr:rowOff>760942</xdr:rowOff>
    </xdr:from>
    <xdr:to>
      <xdr:col>0</xdr:col>
      <xdr:colOff>871538</xdr:colOff>
      <xdr:row>419</xdr:row>
      <xdr:rowOff>760942</xdr:rowOff>
    </xdr:to>
    <xdr:pic>
      <xdr:nvPicPr>
        <xdr:cNvPr id="820" name="Obraz 819">
          <a:extLst>
            <a:ext uri="{FF2B5EF4-FFF2-40B4-BE49-F238E27FC236}">
              <a16:creationId xmlns:a16="http://schemas.microsoft.com/office/drawing/2014/main" id="{3DBA2B43-D21A-6440-B2FD-40E035E70E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188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419</xdr:row>
      <xdr:rowOff>760942</xdr:rowOff>
    </xdr:from>
    <xdr:to>
      <xdr:col>0</xdr:col>
      <xdr:colOff>871538</xdr:colOff>
      <xdr:row>420</xdr:row>
      <xdr:rowOff>760942</xdr:rowOff>
    </xdr:to>
    <xdr:pic>
      <xdr:nvPicPr>
        <xdr:cNvPr id="822" name="Obraz 821">
          <a:extLst>
            <a:ext uri="{FF2B5EF4-FFF2-40B4-BE49-F238E27FC236}">
              <a16:creationId xmlns:a16="http://schemas.microsoft.com/office/drawing/2014/main" id="{0C031068-3F34-3C80-508C-9CD25F7617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195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420</xdr:row>
      <xdr:rowOff>760942</xdr:rowOff>
    </xdr:from>
    <xdr:to>
      <xdr:col>0</xdr:col>
      <xdr:colOff>871538</xdr:colOff>
      <xdr:row>421</xdr:row>
      <xdr:rowOff>760942</xdr:rowOff>
    </xdr:to>
    <xdr:pic>
      <xdr:nvPicPr>
        <xdr:cNvPr id="824" name="Obraz 823">
          <a:extLst>
            <a:ext uri="{FF2B5EF4-FFF2-40B4-BE49-F238E27FC236}">
              <a16:creationId xmlns:a16="http://schemas.microsoft.com/office/drawing/2014/main" id="{C6D3EB32-6EF1-30E3-D941-483029CD06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203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421</xdr:row>
      <xdr:rowOff>760942</xdr:rowOff>
    </xdr:from>
    <xdr:to>
      <xdr:col>0</xdr:col>
      <xdr:colOff>871538</xdr:colOff>
      <xdr:row>422</xdr:row>
      <xdr:rowOff>760942</xdr:rowOff>
    </xdr:to>
    <xdr:pic>
      <xdr:nvPicPr>
        <xdr:cNvPr id="826" name="Obraz 825">
          <a:extLst>
            <a:ext uri="{FF2B5EF4-FFF2-40B4-BE49-F238E27FC236}">
              <a16:creationId xmlns:a16="http://schemas.microsoft.com/office/drawing/2014/main" id="{6FC36DAB-28E5-09FD-EBA2-E10A1C83BD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210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422</xdr:row>
      <xdr:rowOff>760942</xdr:rowOff>
    </xdr:from>
    <xdr:to>
      <xdr:col>0</xdr:col>
      <xdr:colOff>871538</xdr:colOff>
      <xdr:row>423</xdr:row>
      <xdr:rowOff>760942</xdr:rowOff>
    </xdr:to>
    <xdr:pic>
      <xdr:nvPicPr>
        <xdr:cNvPr id="828" name="Obraz 827">
          <a:extLst>
            <a:ext uri="{FF2B5EF4-FFF2-40B4-BE49-F238E27FC236}">
              <a16:creationId xmlns:a16="http://schemas.microsoft.com/office/drawing/2014/main" id="{08FAABC2-3D71-88CC-40D4-A7318434A6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218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423</xdr:row>
      <xdr:rowOff>760942</xdr:rowOff>
    </xdr:from>
    <xdr:to>
      <xdr:col>0</xdr:col>
      <xdr:colOff>871538</xdr:colOff>
      <xdr:row>424</xdr:row>
      <xdr:rowOff>760942</xdr:rowOff>
    </xdr:to>
    <xdr:pic>
      <xdr:nvPicPr>
        <xdr:cNvPr id="830" name="Obraz 829">
          <a:extLst>
            <a:ext uri="{FF2B5EF4-FFF2-40B4-BE49-F238E27FC236}">
              <a16:creationId xmlns:a16="http://schemas.microsoft.com/office/drawing/2014/main" id="{BFA40FB5-B3D3-E069-0868-58C218F577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226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424</xdr:row>
      <xdr:rowOff>760942</xdr:rowOff>
    </xdr:from>
    <xdr:to>
      <xdr:col>0</xdr:col>
      <xdr:colOff>871538</xdr:colOff>
      <xdr:row>425</xdr:row>
      <xdr:rowOff>760942</xdr:rowOff>
    </xdr:to>
    <xdr:pic>
      <xdr:nvPicPr>
        <xdr:cNvPr id="832" name="Obraz 831">
          <a:extLst>
            <a:ext uri="{FF2B5EF4-FFF2-40B4-BE49-F238E27FC236}">
              <a16:creationId xmlns:a16="http://schemas.microsoft.com/office/drawing/2014/main" id="{57F5B66F-A321-B13E-652E-9C1BB56EE7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233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425</xdr:row>
      <xdr:rowOff>760942</xdr:rowOff>
    </xdr:from>
    <xdr:to>
      <xdr:col>0</xdr:col>
      <xdr:colOff>871538</xdr:colOff>
      <xdr:row>426</xdr:row>
      <xdr:rowOff>760942</xdr:rowOff>
    </xdr:to>
    <xdr:pic>
      <xdr:nvPicPr>
        <xdr:cNvPr id="834" name="Obraz 833">
          <a:extLst>
            <a:ext uri="{FF2B5EF4-FFF2-40B4-BE49-F238E27FC236}">
              <a16:creationId xmlns:a16="http://schemas.microsoft.com/office/drawing/2014/main" id="{820A0080-2BA8-1811-645A-BF6E1D0B17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241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426</xdr:row>
      <xdr:rowOff>760942</xdr:rowOff>
    </xdr:from>
    <xdr:to>
      <xdr:col>0</xdr:col>
      <xdr:colOff>871538</xdr:colOff>
      <xdr:row>427</xdr:row>
      <xdr:rowOff>760942</xdr:rowOff>
    </xdr:to>
    <xdr:pic>
      <xdr:nvPicPr>
        <xdr:cNvPr id="836" name="Obraz 835">
          <a:extLst>
            <a:ext uri="{FF2B5EF4-FFF2-40B4-BE49-F238E27FC236}">
              <a16:creationId xmlns:a16="http://schemas.microsoft.com/office/drawing/2014/main" id="{A0000C0E-C33B-F3FA-634F-DDDDD04C9E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249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427</xdr:row>
      <xdr:rowOff>760942</xdr:rowOff>
    </xdr:from>
    <xdr:to>
      <xdr:col>0</xdr:col>
      <xdr:colOff>871538</xdr:colOff>
      <xdr:row>428</xdr:row>
      <xdr:rowOff>760942</xdr:rowOff>
    </xdr:to>
    <xdr:pic>
      <xdr:nvPicPr>
        <xdr:cNvPr id="838" name="Obraz 837">
          <a:extLst>
            <a:ext uri="{FF2B5EF4-FFF2-40B4-BE49-F238E27FC236}">
              <a16:creationId xmlns:a16="http://schemas.microsoft.com/office/drawing/2014/main" id="{85B7B049-B799-1FF1-0194-15CAE9492D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256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428</xdr:row>
      <xdr:rowOff>760942</xdr:rowOff>
    </xdr:from>
    <xdr:to>
      <xdr:col>0</xdr:col>
      <xdr:colOff>871538</xdr:colOff>
      <xdr:row>429</xdr:row>
      <xdr:rowOff>760942</xdr:rowOff>
    </xdr:to>
    <xdr:pic>
      <xdr:nvPicPr>
        <xdr:cNvPr id="840" name="Obraz 839">
          <a:extLst>
            <a:ext uri="{FF2B5EF4-FFF2-40B4-BE49-F238E27FC236}">
              <a16:creationId xmlns:a16="http://schemas.microsoft.com/office/drawing/2014/main" id="{05625E2D-9C08-C5D7-DF32-555A402D4A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264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429</xdr:row>
      <xdr:rowOff>760942</xdr:rowOff>
    </xdr:from>
    <xdr:to>
      <xdr:col>0</xdr:col>
      <xdr:colOff>871538</xdr:colOff>
      <xdr:row>430</xdr:row>
      <xdr:rowOff>760942</xdr:rowOff>
    </xdr:to>
    <xdr:pic>
      <xdr:nvPicPr>
        <xdr:cNvPr id="842" name="Obraz 841">
          <a:extLst>
            <a:ext uri="{FF2B5EF4-FFF2-40B4-BE49-F238E27FC236}">
              <a16:creationId xmlns:a16="http://schemas.microsoft.com/office/drawing/2014/main" id="{58E48BB6-0E2F-53C6-EA48-B87B75349D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271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430</xdr:row>
      <xdr:rowOff>760942</xdr:rowOff>
    </xdr:from>
    <xdr:to>
      <xdr:col>0</xdr:col>
      <xdr:colOff>871538</xdr:colOff>
      <xdr:row>431</xdr:row>
      <xdr:rowOff>760942</xdr:rowOff>
    </xdr:to>
    <xdr:pic>
      <xdr:nvPicPr>
        <xdr:cNvPr id="844" name="Obraz 843">
          <a:extLst>
            <a:ext uri="{FF2B5EF4-FFF2-40B4-BE49-F238E27FC236}">
              <a16:creationId xmlns:a16="http://schemas.microsoft.com/office/drawing/2014/main" id="{0813A00B-5826-5429-26E9-581A989E65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279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431</xdr:row>
      <xdr:rowOff>760942</xdr:rowOff>
    </xdr:from>
    <xdr:to>
      <xdr:col>0</xdr:col>
      <xdr:colOff>871538</xdr:colOff>
      <xdr:row>432</xdr:row>
      <xdr:rowOff>760942</xdr:rowOff>
    </xdr:to>
    <xdr:pic>
      <xdr:nvPicPr>
        <xdr:cNvPr id="846" name="Obraz 845">
          <a:extLst>
            <a:ext uri="{FF2B5EF4-FFF2-40B4-BE49-F238E27FC236}">
              <a16:creationId xmlns:a16="http://schemas.microsoft.com/office/drawing/2014/main" id="{166E6CBF-155C-9E16-E4D2-CF7A68CCF7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287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432</xdr:row>
      <xdr:rowOff>760942</xdr:rowOff>
    </xdr:from>
    <xdr:to>
      <xdr:col>0</xdr:col>
      <xdr:colOff>871538</xdr:colOff>
      <xdr:row>433</xdr:row>
      <xdr:rowOff>760942</xdr:rowOff>
    </xdr:to>
    <xdr:pic>
      <xdr:nvPicPr>
        <xdr:cNvPr id="848" name="Obraz 847">
          <a:extLst>
            <a:ext uri="{FF2B5EF4-FFF2-40B4-BE49-F238E27FC236}">
              <a16:creationId xmlns:a16="http://schemas.microsoft.com/office/drawing/2014/main" id="{2B06A4CA-2EC0-88AC-59FC-5D6E4D04AB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294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433</xdr:row>
      <xdr:rowOff>760942</xdr:rowOff>
    </xdr:from>
    <xdr:to>
      <xdr:col>0</xdr:col>
      <xdr:colOff>871538</xdr:colOff>
      <xdr:row>434</xdr:row>
      <xdr:rowOff>760942</xdr:rowOff>
    </xdr:to>
    <xdr:pic>
      <xdr:nvPicPr>
        <xdr:cNvPr id="850" name="Obraz 849">
          <a:extLst>
            <a:ext uri="{FF2B5EF4-FFF2-40B4-BE49-F238E27FC236}">
              <a16:creationId xmlns:a16="http://schemas.microsoft.com/office/drawing/2014/main" id="{6AD1A89B-191F-33A6-8BAE-8B95E89622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02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434</xdr:row>
      <xdr:rowOff>760942</xdr:rowOff>
    </xdr:from>
    <xdr:to>
      <xdr:col>0</xdr:col>
      <xdr:colOff>871538</xdr:colOff>
      <xdr:row>435</xdr:row>
      <xdr:rowOff>760942</xdr:rowOff>
    </xdr:to>
    <xdr:pic>
      <xdr:nvPicPr>
        <xdr:cNvPr id="852" name="Obraz 851">
          <a:extLst>
            <a:ext uri="{FF2B5EF4-FFF2-40B4-BE49-F238E27FC236}">
              <a16:creationId xmlns:a16="http://schemas.microsoft.com/office/drawing/2014/main" id="{73FC47B4-91FF-45B8-C193-50FFCE0D60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10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435</xdr:row>
      <xdr:rowOff>760942</xdr:rowOff>
    </xdr:from>
    <xdr:to>
      <xdr:col>0</xdr:col>
      <xdr:colOff>871538</xdr:colOff>
      <xdr:row>436</xdr:row>
      <xdr:rowOff>760942</xdr:rowOff>
    </xdr:to>
    <xdr:pic>
      <xdr:nvPicPr>
        <xdr:cNvPr id="854" name="Obraz 853">
          <a:extLst>
            <a:ext uri="{FF2B5EF4-FFF2-40B4-BE49-F238E27FC236}">
              <a16:creationId xmlns:a16="http://schemas.microsoft.com/office/drawing/2014/main" id="{9E74473C-94BF-4586-1CE4-B0EA96BCB6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17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436</xdr:row>
      <xdr:rowOff>760942</xdr:rowOff>
    </xdr:from>
    <xdr:to>
      <xdr:col>0</xdr:col>
      <xdr:colOff>871538</xdr:colOff>
      <xdr:row>437</xdr:row>
      <xdr:rowOff>760942</xdr:rowOff>
    </xdr:to>
    <xdr:pic>
      <xdr:nvPicPr>
        <xdr:cNvPr id="856" name="Obraz 855">
          <a:extLst>
            <a:ext uri="{FF2B5EF4-FFF2-40B4-BE49-F238E27FC236}">
              <a16:creationId xmlns:a16="http://schemas.microsoft.com/office/drawing/2014/main" id="{8A20FA4C-808A-EC6B-41E5-FD62E70FE0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25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437</xdr:row>
      <xdr:rowOff>760942</xdr:rowOff>
    </xdr:from>
    <xdr:to>
      <xdr:col>0</xdr:col>
      <xdr:colOff>871538</xdr:colOff>
      <xdr:row>438</xdr:row>
      <xdr:rowOff>760942</xdr:rowOff>
    </xdr:to>
    <xdr:pic>
      <xdr:nvPicPr>
        <xdr:cNvPr id="858" name="Obraz 857">
          <a:extLst>
            <a:ext uri="{FF2B5EF4-FFF2-40B4-BE49-F238E27FC236}">
              <a16:creationId xmlns:a16="http://schemas.microsoft.com/office/drawing/2014/main" id="{419ABFC2-628E-E847-55EA-B6A8E5CB70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32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438</xdr:row>
      <xdr:rowOff>760942</xdr:rowOff>
    </xdr:from>
    <xdr:to>
      <xdr:col>0</xdr:col>
      <xdr:colOff>871538</xdr:colOff>
      <xdr:row>439</xdr:row>
      <xdr:rowOff>760942</xdr:rowOff>
    </xdr:to>
    <xdr:pic>
      <xdr:nvPicPr>
        <xdr:cNvPr id="860" name="Obraz 859">
          <a:extLst>
            <a:ext uri="{FF2B5EF4-FFF2-40B4-BE49-F238E27FC236}">
              <a16:creationId xmlns:a16="http://schemas.microsoft.com/office/drawing/2014/main" id="{3B0E7301-E2A8-0AE6-40B8-D35B929F8B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40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439</xdr:row>
      <xdr:rowOff>760942</xdr:rowOff>
    </xdr:from>
    <xdr:to>
      <xdr:col>0</xdr:col>
      <xdr:colOff>871538</xdr:colOff>
      <xdr:row>440</xdr:row>
      <xdr:rowOff>760942</xdr:rowOff>
    </xdr:to>
    <xdr:pic>
      <xdr:nvPicPr>
        <xdr:cNvPr id="862" name="Obraz 861">
          <a:extLst>
            <a:ext uri="{FF2B5EF4-FFF2-40B4-BE49-F238E27FC236}">
              <a16:creationId xmlns:a16="http://schemas.microsoft.com/office/drawing/2014/main" id="{75A37620-ACE8-079D-A867-C4833663E8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48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440</xdr:row>
      <xdr:rowOff>760942</xdr:rowOff>
    </xdr:from>
    <xdr:to>
      <xdr:col>0</xdr:col>
      <xdr:colOff>871538</xdr:colOff>
      <xdr:row>441</xdr:row>
      <xdr:rowOff>760942</xdr:rowOff>
    </xdr:to>
    <xdr:pic>
      <xdr:nvPicPr>
        <xdr:cNvPr id="864" name="Obraz 863">
          <a:extLst>
            <a:ext uri="{FF2B5EF4-FFF2-40B4-BE49-F238E27FC236}">
              <a16:creationId xmlns:a16="http://schemas.microsoft.com/office/drawing/2014/main" id="{7E4AA52F-E36F-D89E-350F-08ABD44922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55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441</xdr:row>
      <xdr:rowOff>760942</xdr:rowOff>
    </xdr:from>
    <xdr:to>
      <xdr:col>0</xdr:col>
      <xdr:colOff>871538</xdr:colOff>
      <xdr:row>442</xdr:row>
      <xdr:rowOff>760942</xdr:rowOff>
    </xdr:to>
    <xdr:pic>
      <xdr:nvPicPr>
        <xdr:cNvPr id="866" name="Obraz 865">
          <a:extLst>
            <a:ext uri="{FF2B5EF4-FFF2-40B4-BE49-F238E27FC236}">
              <a16:creationId xmlns:a16="http://schemas.microsoft.com/office/drawing/2014/main" id="{B9F144C6-8CBD-595B-2641-F22285EDA3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63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442</xdr:row>
      <xdr:rowOff>760942</xdr:rowOff>
    </xdr:from>
    <xdr:to>
      <xdr:col>0</xdr:col>
      <xdr:colOff>871538</xdr:colOff>
      <xdr:row>443</xdr:row>
      <xdr:rowOff>760942</xdr:rowOff>
    </xdr:to>
    <xdr:pic>
      <xdr:nvPicPr>
        <xdr:cNvPr id="868" name="Obraz 867">
          <a:extLst>
            <a:ext uri="{FF2B5EF4-FFF2-40B4-BE49-F238E27FC236}">
              <a16:creationId xmlns:a16="http://schemas.microsoft.com/office/drawing/2014/main" id="{D3D9C780-1D7F-D0C9-BEB0-99E5DCC774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70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443</xdr:row>
      <xdr:rowOff>760942</xdr:rowOff>
    </xdr:from>
    <xdr:to>
      <xdr:col>0</xdr:col>
      <xdr:colOff>871538</xdr:colOff>
      <xdr:row>444</xdr:row>
      <xdr:rowOff>760942</xdr:rowOff>
    </xdr:to>
    <xdr:pic>
      <xdr:nvPicPr>
        <xdr:cNvPr id="870" name="Obraz 869">
          <a:extLst>
            <a:ext uri="{FF2B5EF4-FFF2-40B4-BE49-F238E27FC236}">
              <a16:creationId xmlns:a16="http://schemas.microsoft.com/office/drawing/2014/main" id="{831438FA-15E8-25F8-0622-C54DD05C15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78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444</xdr:row>
      <xdr:rowOff>760942</xdr:rowOff>
    </xdr:from>
    <xdr:to>
      <xdr:col>0</xdr:col>
      <xdr:colOff>871538</xdr:colOff>
      <xdr:row>445</xdr:row>
      <xdr:rowOff>760942</xdr:rowOff>
    </xdr:to>
    <xdr:pic>
      <xdr:nvPicPr>
        <xdr:cNvPr id="872" name="Obraz 871">
          <a:extLst>
            <a:ext uri="{FF2B5EF4-FFF2-40B4-BE49-F238E27FC236}">
              <a16:creationId xmlns:a16="http://schemas.microsoft.com/office/drawing/2014/main" id="{886F10DC-4109-033C-BFD9-21D81D11C2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86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445</xdr:row>
      <xdr:rowOff>760942</xdr:rowOff>
    </xdr:from>
    <xdr:to>
      <xdr:col>0</xdr:col>
      <xdr:colOff>871538</xdr:colOff>
      <xdr:row>446</xdr:row>
      <xdr:rowOff>760942</xdr:rowOff>
    </xdr:to>
    <xdr:pic>
      <xdr:nvPicPr>
        <xdr:cNvPr id="874" name="Obraz 873">
          <a:extLst>
            <a:ext uri="{FF2B5EF4-FFF2-40B4-BE49-F238E27FC236}">
              <a16:creationId xmlns:a16="http://schemas.microsoft.com/office/drawing/2014/main" id="{D62CF3C8-799B-84D6-3F35-A3C917E55B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93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446</xdr:row>
      <xdr:rowOff>760942</xdr:rowOff>
    </xdr:from>
    <xdr:to>
      <xdr:col>0</xdr:col>
      <xdr:colOff>871538</xdr:colOff>
      <xdr:row>447</xdr:row>
      <xdr:rowOff>760942</xdr:rowOff>
    </xdr:to>
    <xdr:pic>
      <xdr:nvPicPr>
        <xdr:cNvPr id="876" name="Obraz 875">
          <a:extLst>
            <a:ext uri="{FF2B5EF4-FFF2-40B4-BE49-F238E27FC236}">
              <a16:creationId xmlns:a16="http://schemas.microsoft.com/office/drawing/2014/main" id="{A7F57F98-A35A-F16C-A3DE-431CDFFD85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01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447</xdr:row>
      <xdr:rowOff>760942</xdr:rowOff>
    </xdr:from>
    <xdr:to>
      <xdr:col>0</xdr:col>
      <xdr:colOff>871538</xdr:colOff>
      <xdr:row>448</xdr:row>
      <xdr:rowOff>760942</xdr:rowOff>
    </xdr:to>
    <xdr:pic>
      <xdr:nvPicPr>
        <xdr:cNvPr id="878" name="Obraz 877">
          <a:extLst>
            <a:ext uri="{FF2B5EF4-FFF2-40B4-BE49-F238E27FC236}">
              <a16:creationId xmlns:a16="http://schemas.microsoft.com/office/drawing/2014/main" id="{97A63DB1-8AAF-4279-9457-82FB6F5552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09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448</xdr:row>
      <xdr:rowOff>760942</xdr:rowOff>
    </xdr:from>
    <xdr:to>
      <xdr:col>0</xdr:col>
      <xdr:colOff>871538</xdr:colOff>
      <xdr:row>449</xdr:row>
      <xdr:rowOff>760942</xdr:rowOff>
    </xdr:to>
    <xdr:pic>
      <xdr:nvPicPr>
        <xdr:cNvPr id="880" name="Obraz 879">
          <a:extLst>
            <a:ext uri="{FF2B5EF4-FFF2-40B4-BE49-F238E27FC236}">
              <a16:creationId xmlns:a16="http://schemas.microsoft.com/office/drawing/2014/main" id="{62C487A3-002F-6770-04F6-528DA20F7D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16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449</xdr:row>
      <xdr:rowOff>760942</xdr:rowOff>
    </xdr:from>
    <xdr:to>
      <xdr:col>0</xdr:col>
      <xdr:colOff>871538</xdr:colOff>
      <xdr:row>450</xdr:row>
      <xdr:rowOff>760942</xdr:rowOff>
    </xdr:to>
    <xdr:pic>
      <xdr:nvPicPr>
        <xdr:cNvPr id="882" name="Obraz 881">
          <a:extLst>
            <a:ext uri="{FF2B5EF4-FFF2-40B4-BE49-F238E27FC236}">
              <a16:creationId xmlns:a16="http://schemas.microsoft.com/office/drawing/2014/main" id="{45EF878E-34BF-5F31-9B9A-F457C847CC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24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450</xdr:row>
      <xdr:rowOff>760942</xdr:rowOff>
    </xdr:from>
    <xdr:to>
      <xdr:col>0</xdr:col>
      <xdr:colOff>871538</xdr:colOff>
      <xdr:row>451</xdr:row>
      <xdr:rowOff>760942</xdr:rowOff>
    </xdr:to>
    <xdr:pic>
      <xdr:nvPicPr>
        <xdr:cNvPr id="884" name="Obraz 883">
          <a:extLst>
            <a:ext uri="{FF2B5EF4-FFF2-40B4-BE49-F238E27FC236}">
              <a16:creationId xmlns:a16="http://schemas.microsoft.com/office/drawing/2014/main" id="{BE8C8E9A-3DF1-19F2-7FFA-2F560326B2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31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451</xdr:row>
      <xdr:rowOff>760942</xdr:rowOff>
    </xdr:from>
    <xdr:to>
      <xdr:col>0</xdr:col>
      <xdr:colOff>871538</xdr:colOff>
      <xdr:row>452</xdr:row>
      <xdr:rowOff>760942</xdr:rowOff>
    </xdr:to>
    <xdr:pic>
      <xdr:nvPicPr>
        <xdr:cNvPr id="886" name="Obraz 885">
          <a:extLst>
            <a:ext uri="{FF2B5EF4-FFF2-40B4-BE49-F238E27FC236}">
              <a16:creationId xmlns:a16="http://schemas.microsoft.com/office/drawing/2014/main" id="{3EA7C533-03E8-3C11-E54F-87ABBC613C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39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452</xdr:row>
      <xdr:rowOff>760942</xdr:rowOff>
    </xdr:from>
    <xdr:to>
      <xdr:col>0</xdr:col>
      <xdr:colOff>871538</xdr:colOff>
      <xdr:row>453</xdr:row>
      <xdr:rowOff>760942</xdr:rowOff>
    </xdr:to>
    <xdr:pic>
      <xdr:nvPicPr>
        <xdr:cNvPr id="888" name="Obraz 887">
          <a:extLst>
            <a:ext uri="{FF2B5EF4-FFF2-40B4-BE49-F238E27FC236}">
              <a16:creationId xmlns:a16="http://schemas.microsoft.com/office/drawing/2014/main" id="{B5200024-A91E-18E0-3AF0-B4D3C1C008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47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453</xdr:row>
      <xdr:rowOff>760942</xdr:rowOff>
    </xdr:from>
    <xdr:to>
      <xdr:col>0</xdr:col>
      <xdr:colOff>871538</xdr:colOff>
      <xdr:row>454</xdr:row>
      <xdr:rowOff>760942</xdr:rowOff>
    </xdr:to>
    <xdr:pic>
      <xdr:nvPicPr>
        <xdr:cNvPr id="890" name="Obraz 889">
          <a:extLst>
            <a:ext uri="{FF2B5EF4-FFF2-40B4-BE49-F238E27FC236}">
              <a16:creationId xmlns:a16="http://schemas.microsoft.com/office/drawing/2014/main" id="{9128611B-FD92-9ABE-4DA5-F7C566CFFB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54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454</xdr:row>
      <xdr:rowOff>760942</xdr:rowOff>
    </xdr:from>
    <xdr:to>
      <xdr:col>0</xdr:col>
      <xdr:colOff>871538</xdr:colOff>
      <xdr:row>455</xdr:row>
      <xdr:rowOff>760942</xdr:rowOff>
    </xdr:to>
    <xdr:pic>
      <xdr:nvPicPr>
        <xdr:cNvPr id="892" name="Obraz 891">
          <a:extLst>
            <a:ext uri="{FF2B5EF4-FFF2-40B4-BE49-F238E27FC236}">
              <a16:creationId xmlns:a16="http://schemas.microsoft.com/office/drawing/2014/main" id="{3F746C3F-B667-0DC4-6090-B36C1A6622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62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455</xdr:row>
      <xdr:rowOff>760942</xdr:rowOff>
    </xdr:from>
    <xdr:to>
      <xdr:col>0</xdr:col>
      <xdr:colOff>871538</xdr:colOff>
      <xdr:row>456</xdr:row>
      <xdr:rowOff>760942</xdr:rowOff>
    </xdr:to>
    <xdr:pic>
      <xdr:nvPicPr>
        <xdr:cNvPr id="894" name="Obraz 893">
          <a:extLst>
            <a:ext uri="{FF2B5EF4-FFF2-40B4-BE49-F238E27FC236}">
              <a16:creationId xmlns:a16="http://schemas.microsoft.com/office/drawing/2014/main" id="{94DA98E6-5F63-FDD9-C59C-F0A705924E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70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456</xdr:row>
      <xdr:rowOff>760942</xdr:rowOff>
    </xdr:from>
    <xdr:to>
      <xdr:col>0</xdr:col>
      <xdr:colOff>871538</xdr:colOff>
      <xdr:row>457</xdr:row>
      <xdr:rowOff>760942</xdr:rowOff>
    </xdr:to>
    <xdr:pic>
      <xdr:nvPicPr>
        <xdr:cNvPr id="896" name="Obraz 895">
          <a:extLst>
            <a:ext uri="{FF2B5EF4-FFF2-40B4-BE49-F238E27FC236}">
              <a16:creationId xmlns:a16="http://schemas.microsoft.com/office/drawing/2014/main" id="{E8664065-8CBF-90CB-D068-FE84B4AE44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77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457</xdr:row>
      <xdr:rowOff>760942</xdr:rowOff>
    </xdr:from>
    <xdr:to>
      <xdr:col>0</xdr:col>
      <xdr:colOff>871538</xdr:colOff>
      <xdr:row>458</xdr:row>
      <xdr:rowOff>760942</xdr:rowOff>
    </xdr:to>
    <xdr:pic>
      <xdr:nvPicPr>
        <xdr:cNvPr id="898" name="Obraz 897">
          <a:extLst>
            <a:ext uri="{FF2B5EF4-FFF2-40B4-BE49-F238E27FC236}">
              <a16:creationId xmlns:a16="http://schemas.microsoft.com/office/drawing/2014/main" id="{FC7D924F-9FB0-C92E-0777-4D9F63B479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85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458</xdr:row>
      <xdr:rowOff>760942</xdr:rowOff>
    </xdr:from>
    <xdr:to>
      <xdr:col>0</xdr:col>
      <xdr:colOff>871538</xdr:colOff>
      <xdr:row>459</xdr:row>
      <xdr:rowOff>760942</xdr:rowOff>
    </xdr:to>
    <xdr:pic>
      <xdr:nvPicPr>
        <xdr:cNvPr id="900" name="Obraz 899">
          <a:extLst>
            <a:ext uri="{FF2B5EF4-FFF2-40B4-BE49-F238E27FC236}">
              <a16:creationId xmlns:a16="http://schemas.microsoft.com/office/drawing/2014/main" id="{CD7C52E4-AE4F-6C24-BE54-A1F13D0B8F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92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459</xdr:row>
      <xdr:rowOff>760942</xdr:rowOff>
    </xdr:from>
    <xdr:to>
      <xdr:col>0</xdr:col>
      <xdr:colOff>871538</xdr:colOff>
      <xdr:row>460</xdr:row>
      <xdr:rowOff>760942</xdr:rowOff>
    </xdr:to>
    <xdr:pic>
      <xdr:nvPicPr>
        <xdr:cNvPr id="902" name="Obraz 901">
          <a:extLst>
            <a:ext uri="{FF2B5EF4-FFF2-40B4-BE49-F238E27FC236}">
              <a16:creationId xmlns:a16="http://schemas.microsoft.com/office/drawing/2014/main" id="{3E6B5F9C-708B-DB28-0262-44F9469DBA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00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460</xdr:row>
      <xdr:rowOff>760942</xdr:rowOff>
    </xdr:from>
    <xdr:to>
      <xdr:col>0</xdr:col>
      <xdr:colOff>871538</xdr:colOff>
      <xdr:row>461</xdr:row>
      <xdr:rowOff>760942</xdr:rowOff>
    </xdr:to>
    <xdr:pic>
      <xdr:nvPicPr>
        <xdr:cNvPr id="904" name="Obraz 903">
          <a:extLst>
            <a:ext uri="{FF2B5EF4-FFF2-40B4-BE49-F238E27FC236}">
              <a16:creationId xmlns:a16="http://schemas.microsoft.com/office/drawing/2014/main" id="{48257564-D3F4-E0D7-0F0E-6A50EA9712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08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461</xdr:row>
      <xdr:rowOff>760942</xdr:rowOff>
    </xdr:from>
    <xdr:to>
      <xdr:col>0</xdr:col>
      <xdr:colOff>871538</xdr:colOff>
      <xdr:row>462</xdr:row>
      <xdr:rowOff>760942</xdr:rowOff>
    </xdr:to>
    <xdr:pic>
      <xdr:nvPicPr>
        <xdr:cNvPr id="906" name="Obraz 905">
          <a:extLst>
            <a:ext uri="{FF2B5EF4-FFF2-40B4-BE49-F238E27FC236}">
              <a16:creationId xmlns:a16="http://schemas.microsoft.com/office/drawing/2014/main" id="{EF02194B-098C-40D1-CD6D-531D8CDD8B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15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462</xdr:row>
      <xdr:rowOff>760942</xdr:rowOff>
    </xdr:from>
    <xdr:to>
      <xdr:col>0</xdr:col>
      <xdr:colOff>871538</xdr:colOff>
      <xdr:row>463</xdr:row>
      <xdr:rowOff>760942</xdr:rowOff>
    </xdr:to>
    <xdr:pic>
      <xdr:nvPicPr>
        <xdr:cNvPr id="908" name="Obraz 907">
          <a:extLst>
            <a:ext uri="{FF2B5EF4-FFF2-40B4-BE49-F238E27FC236}">
              <a16:creationId xmlns:a16="http://schemas.microsoft.com/office/drawing/2014/main" id="{73B8A8B2-8455-8B48-2438-84A9CB8B4E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23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463</xdr:row>
      <xdr:rowOff>760942</xdr:rowOff>
    </xdr:from>
    <xdr:to>
      <xdr:col>0</xdr:col>
      <xdr:colOff>871538</xdr:colOff>
      <xdr:row>464</xdr:row>
      <xdr:rowOff>760942</xdr:rowOff>
    </xdr:to>
    <xdr:pic>
      <xdr:nvPicPr>
        <xdr:cNvPr id="910" name="Obraz 909">
          <a:extLst>
            <a:ext uri="{FF2B5EF4-FFF2-40B4-BE49-F238E27FC236}">
              <a16:creationId xmlns:a16="http://schemas.microsoft.com/office/drawing/2014/main" id="{8D08C8D8-80F4-66CE-59C1-A9FD322420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31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464</xdr:row>
      <xdr:rowOff>760942</xdr:rowOff>
    </xdr:from>
    <xdr:to>
      <xdr:col>0</xdr:col>
      <xdr:colOff>871538</xdr:colOff>
      <xdr:row>465</xdr:row>
      <xdr:rowOff>760942</xdr:rowOff>
    </xdr:to>
    <xdr:pic>
      <xdr:nvPicPr>
        <xdr:cNvPr id="912" name="Obraz 911">
          <a:extLst>
            <a:ext uri="{FF2B5EF4-FFF2-40B4-BE49-F238E27FC236}">
              <a16:creationId xmlns:a16="http://schemas.microsoft.com/office/drawing/2014/main" id="{AB9A461D-58E1-5D5A-FA21-AA9A95CC23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38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465</xdr:row>
      <xdr:rowOff>760942</xdr:rowOff>
    </xdr:from>
    <xdr:to>
      <xdr:col>0</xdr:col>
      <xdr:colOff>871538</xdr:colOff>
      <xdr:row>466</xdr:row>
      <xdr:rowOff>760942</xdr:rowOff>
    </xdr:to>
    <xdr:pic>
      <xdr:nvPicPr>
        <xdr:cNvPr id="914" name="Obraz 913">
          <a:extLst>
            <a:ext uri="{FF2B5EF4-FFF2-40B4-BE49-F238E27FC236}">
              <a16:creationId xmlns:a16="http://schemas.microsoft.com/office/drawing/2014/main" id="{99926596-8015-1E16-C43A-8618B8D61B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46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466</xdr:row>
      <xdr:rowOff>760942</xdr:rowOff>
    </xdr:from>
    <xdr:to>
      <xdr:col>0</xdr:col>
      <xdr:colOff>871538</xdr:colOff>
      <xdr:row>467</xdr:row>
      <xdr:rowOff>760942</xdr:rowOff>
    </xdr:to>
    <xdr:pic>
      <xdr:nvPicPr>
        <xdr:cNvPr id="916" name="Obraz 915">
          <a:extLst>
            <a:ext uri="{FF2B5EF4-FFF2-40B4-BE49-F238E27FC236}">
              <a16:creationId xmlns:a16="http://schemas.microsoft.com/office/drawing/2014/main" id="{140826CC-3DC1-E442-B265-1F934EA3E2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53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467</xdr:row>
      <xdr:rowOff>760942</xdr:rowOff>
    </xdr:from>
    <xdr:to>
      <xdr:col>0</xdr:col>
      <xdr:colOff>871538</xdr:colOff>
      <xdr:row>468</xdr:row>
      <xdr:rowOff>760942</xdr:rowOff>
    </xdr:to>
    <xdr:pic>
      <xdr:nvPicPr>
        <xdr:cNvPr id="918" name="Obraz 917">
          <a:extLst>
            <a:ext uri="{FF2B5EF4-FFF2-40B4-BE49-F238E27FC236}">
              <a16:creationId xmlns:a16="http://schemas.microsoft.com/office/drawing/2014/main" id="{5225C296-5176-B5C1-4F45-9E86D690B8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61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468</xdr:row>
      <xdr:rowOff>760942</xdr:rowOff>
    </xdr:from>
    <xdr:to>
      <xdr:col>0</xdr:col>
      <xdr:colOff>871538</xdr:colOff>
      <xdr:row>469</xdr:row>
      <xdr:rowOff>760942</xdr:rowOff>
    </xdr:to>
    <xdr:pic>
      <xdr:nvPicPr>
        <xdr:cNvPr id="920" name="Obraz 919">
          <a:extLst>
            <a:ext uri="{FF2B5EF4-FFF2-40B4-BE49-F238E27FC236}">
              <a16:creationId xmlns:a16="http://schemas.microsoft.com/office/drawing/2014/main" id="{F4D5E6A9-7E6A-B823-AB09-9633C5F356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69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469</xdr:row>
      <xdr:rowOff>760942</xdr:rowOff>
    </xdr:from>
    <xdr:to>
      <xdr:col>0</xdr:col>
      <xdr:colOff>871538</xdr:colOff>
      <xdr:row>470</xdr:row>
      <xdr:rowOff>760942</xdr:rowOff>
    </xdr:to>
    <xdr:pic>
      <xdr:nvPicPr>
        <xdr:cNvPr id="922" name="Obraz 921">
          <a:extLst>
            <a:ext uri="{FF2B5EF4-FFF2-40B4-BE49-F238E27FC236}">
              <a16:creationId xmlns:a16="http://schemas.microsoft.com/office/drawing/2014/main" id="{2A09D77A-00B8-BDC3-4DB1-38D1E9D8BB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76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470</xdr:row>
      <xdr:rowOff>760942</xdr:rowOff>
    </xdr:from>
    <xdr:to>
      <xdr:col>0</xdr:col>
      <xdr:colOff>871538</xdr:colOff>
      <xdr:row>471</xdr:row>
      <xdr:rowOff>760942</xdr:rowOff>
    </xdr:to>
    <xdr:pic>
      <xdr:nvPicPr>
        <xdr:cNvPr id="924" name="Obraz 923">
          <a:extLst>
            <a:ext uri="{FF2B5EF4-FFF2-40B4-BE49-F238E27FC236}">
              <a16:creationId xmlns:a16="http://schemas.microsoft.com/office/drawing/2014/main" id="{CAFB6A54-F94A-FEEE-36AB-3A4C9CE919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84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471</xdr:row>
      <xdr:rowOff>760942</xdr:rowOff>
    </xdr:from>
    <xdr:to>
      <xdr:col>0</xdr:col>
      <xdr:colOff>871538</xdr:colOff>
      <xdr:row>472</xdr:row>
      <xdr:rowOff>760942</xdr:rowOff>
    </xdr:to>
    <xdr:pic>
      <xdr:nvPicPr>
        <xdr:cNvPr id="926" name="Obraz 925">
          <a:extLst>
            <a:ext uri="{FF2B5EF4-FFF2-40B4-BE49-F238E27FC236}">
              <a16:creationId xmlns:a16="http://schemas.microsoft.com/office/drawing/2014/main" id="{786A04C9-7A3A-6844-9EC5-CDCFCB1CAE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91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472</xdr:row>
      <xdr:rowOff>760942</xdr:rowOff>
    </xdr:from>
    <xdr:to>
      <xdr:col>0</xdr:col>
      <xdr:colOff>871538</xdr:colOff>
      <xdr:row>473</xdr:row>
      <xdr:rowOff>760942</xdr:rowOff>
    </xdr:to>
    <xdr:pic>
      <xdr:nvPicPr>
        <xdr:cNvPr id="928" name="Obraz 927">
          <a:extLst>
            <a:ext uri="{FF2B5EF4-FFF2-40B4-BE49-F238E27FC236}">
              <a16:creationId xmlns:a16="http://schemas.microsoft.com/office/drawing/2014/main" id="{5421F18A-30AE-4C5C-46F7-4D163E1DB9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99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473</xdr:row>
      <xdr:rowOff>760942</xdr:rowOff>
    </xdr:from>
    <xdr:to>
      <xdr:col>0</xdr:col>
      <xdr:colOff>871538</xdr:colOff>
      <xdr:row>474</xdr:row>
      <xdr:rowOff>760942</xdr:rowOff>
    </xdr:to>
    <xdr:pic>
      <xdr:nvPicPr>
        <xdr:cNvPr id="930" name="Obraz 929">
          <a:extLst>
            <a:ext uri="{FF2B5EF4-FFF2-40B4-BE49-F238E27FC236}">
              <a16:creationId xmlns:a16="http://schemas.microsoft.com/office/drawing/2014/main" id="{D4CE3BED-386F-2D7D-3639-246F51E311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07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474</xdr:row>
      <xdr:rowOff>760942</xdr:rowOff>
    </xdr:from>
    <xdr:to>
      <xdr:col>0</xdr:col>
      <xdr:colOff>871538</xdr:colOff>
      <xdr:row>475</xdr:row>
      <xdr:rowOff>760942</xdr:rowOff>
    </xdr:to>
    <xdr:pic>
      <xdr:nvPicPr>
        <xdr:cNvPr id="932" name="Obraz 931">
          <a:extLst>
            <a:ext uri="{FF2B5EF4-FFF2-40B4-BE49-F238E27FC236}">
              <a16:creationId xmlns:a16="http://schemas.microsoft.com/office/drawing/2014/main" id="{94C512E4-60F9-CB25-E8A8-7169237661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14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475</xdr:row>
      <xdr:rowOff>760942</xdr:rowOff>
    </xdr:from>
    <xdr:to>
      <xdr:col>0</xdr:col>
      <xdr:colOff>871538</xdr:colOff>
      <xdr:row>476</xdr:row>
      <xdr:rowOff>760942</xdr:rowOff>
    </xdr:to>
    <xdr:pic>
      <xdr:nvPicPr>
        <xdr:cNvPr id="934" name="Obraz 933">
          <a:extLst>
            <a:ext uri="{FF2B5EF4-FFF2-40B4-BE49-F238E27FC236}">
              <a16:creationId xmlns:a16="http://schemas.microsoft.com/office/drawing/2014/main" id="{7B77A76A-DF17-28BB-D3CD-FD48DC02B7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22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476</xdr:row>
      <xdr:rowOff>760942</xdr:rowOff>
    </xdr:from>
    <xdr:to>
      <xdr:col>0</xdr:col>
      <xdr:colOff>871538</xdr:colOff>
      <xdr:row>477</xdr:row>
      <xdr:rowOff>760942</xdr:rowOff>
    </xdr:to>
    <xdr:pic>
      <xdr:nvPicPr>
        <xdr:cNvPr id="936" name="Obraz 935">
          <a:extLst>
            <a:ext uri="{FF2B5EF4-FFF2-40B4-BE49-F238E27FC236}">
              <a16:creationId xmlns:a16="http://schemas.microsoft.com/office/drawing/2014/main" id="{7A9C993D-7CD5-32E8-DD39-E150C0E149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30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477</xdr:row>
      <xdr:rowOff>760942</xdr:rowOff>
    </xdr:from>
    <xdr:to>
      <xdr:col>0</xdr:col>
      <xdr:colOff>871538</xdr:colOff>
      <xdr:row>478</xdr:row>
      <xdr:rowOff>760942</xdr:rowOff>
    </xdr:to>
    <xdr:pic>
      <xdr:nvPicPr>
        <xdr:cNvPr id="938" name="Obraz 937">
          <a:extLst>
            <a:ext uri="{FF2B5EF4-FFF2-40B4-BE49-F238E27FC236}">
              <a16:creationId xmlns:a16="http://schemas.microsoft.com/office/drawing/2014/main" id="{754294D7-AA32-C5E8-51D3-AD1BFD66B3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37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478</xdr:row>
      <xdr:rowOff>760942</xdr:rowOff>
    </xdr:from>
    <xdr:to>
      <xdr:col>0</xdr:col>
      <xdr:colOff>871538</xdr:colOff>
      <xdr:row>479</xdr:row>
      <xdr:rowOff>760942</xdr:rowOff>
    </xdr:to>
    <xdr:pic>
      <xdr:nvPicPr>
        <xdr:cNvPr id="940" name="Obraz 939">
          <a:extLst>
            <a:ext uri="{FF2B5EF4-FFF2-40B4-BE49-F238E27FC236}">
              <a16:creationId xmlns:a16="http://schemas.microsoft.com/office/drawing/2014/main" id="{ACE2909E-8A51-EC0E-59F8-5910209869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45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479</xdr:row>
      <xdr:rowOff>760942</xdr:rowOff>
    </xdr:from>
    <xdr:to>
      <xdr:col>0</xdr:col>
      <xdr:colOff>871538</xdr:colOff>
      <xdr:row>480</xdr:row>
      <xdr:rowOff>760942</xdr:rowOff>
    </xdr:to>
    <xdr:pic>
      <xdr:nvPicPr>
        <xdr:cNvPr id="942" name="Obraz 941">
          <a:extLst>
            <a:ext uri="{FF2B5EF4-FFF2-40B4-BE49-F238E27FC236}">
              <a16:creationId xmlns:a16="http://schemas.microsoft.com/office/drawing/2014/main" id="{3F333E95-9657-098B-DF71-DC3E97A3B7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52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480</xdr:row>
      <xdr:rowOff>760942</xdr:rowOff>
    </xdr:from>
    <xdr:to>
      <xdr:col>0</xdr:col>
      <xdr:colOff>871538</xdr:colOff>
      <xdr:row>481</xdr:row>
      <xdr:rowOff>760942</xdr:rowOff>
    </xdr:to>
    <xdr:pic>
      <xdr:nvPicPr>
        <xdr:cNvPr id="944" name="Obraz 943">
          <a:extLst>
            <a:ext uri="{FF2B5EF4-FFF2-40B4-BE49-F238E27FC236}">
              <a16:creationId xmlns:a16="http://schemas.microsoft.com/office/drawing/2014/main" id="{A7626423-6571-792C-319D-ACF6E83D84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60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481</xdr:row>
      <xdr:rowOff>760942</xdr:rowOff>
    </xdr:from>
    <xdr:to>
      <xdr:col>0</xdr:col>
      <xdr:colOff>871538</xdr:colOff>
      <xdr:row>482</xdr:row>
      <xdr:rowOff>760942</xdr:rowOff>
    </xdr:to>
    <xdr:pic>
      <xdr:nvPicPr>
        <xdr:cNvPr id="946" name="Obraz 945">
          <a:extLst>
            <a:ext uri="{FF2B5EF4-FFF2-40B4-BE49-F238E27FC236}">
              <a16:creationId xmlns:a16="http://schemas.microsoft.com/office/drawing/2014/main" id="{ABBCE318-F2A8-A1D3-F448-DB3DC49F81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68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482</xdr:row>
      <xdr:rowOff>760942</xdr:rowOff>
    </xdr:from>
    <xdr:to>
      <xdr:col>0</xdr:col>
      <xdr:colOff>871538</xdr:colOff>
      <xdr:row>483</xdr:row>
      <xdr:rowOff>760942</xdr:rowOff>
    </xdr:to>
    <xdr:pic>
      <xdr:nvPicPr>
        <xdr:cNvPr id="948" name="Obraz 947">
          <a:extLst>
            <a:ext uri="{FF2B5EF4-FFF2-40B4-BE49-F238E27FC236}">
              <a16:creationId xmlns:a16="http://schemas.microsoft.com/office/drawing/2014/main" id="{EE322A1D-A15D-0D84-081B-C91E8983FD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75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483</xdr:row>
      <xdr:rowOff>760942</xdr:rowOff>
    </xdr:from>
    <xdr:to>
      <xdr:col>0</xdr:col>
      <xdr:colOff>871538</xdr:colOff>
      <xdr:row>484</xdr:row>
      <xdr:rowOff>760942</xdr:rowOff>
    </xdr:to>
    <xdr:pic>
      <xdr:nvPicPr>
        <xdr:cNvPr id="950" name="Obraz 949">
          <a:extLst>
            <a:ext uri="{FF2B5EF4-FFF2-40B4-BE49-F238E27FC236}">
              <a16:creationId xmlns:a16="http://schemas.microsoft.com/office/drawing/2014/main" id="{31EC507A-F1AB-6100-12D0-061096D22F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83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484</xdr:row>
      <xdr:rowOff>760942</xdr:rowOff>
    </xdr:from>
    <xdr:to>
      <xdr:col>0</xdr:col>
      <xdr:colOff>871538</xdr:colOff>
      <xdr:row>485</xdr:row>
      <xdr:rowOff>760942</xdr:rowOff>
    </xdr:to>
    <xdr:pic>
      <xdr:nvPicPr>
        <xdr:cNvPr id="952" name="Obraz 951">
          <a:extLst>
            <a:ext uri="{FF2B5EF4-FFF2-40B4-BE49-F238E27FC236}">
              <a16:creationId xmlns:a16="http://schemas.microsoft.com/office/drawing/2014/main" id="{276AF1A1-9171-4B90-FE5D-CD28A890A2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91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485</xdr:row>
      <xdr:rowOff>760942</xdr:rowOff>
    </xdr:from>
    <xdr:to>
      <xdr:col>0</xdr:col>
      <xdr:colOff>871538</xdr:colOff>
      <xdr:row>486</xdr:row>
      <xdr:rowOff>760942</xdr:rowOff>
    </xdr:to>
    <xdr:pic>
      <xdr:nvPicPr>
        <xdr:cNvPr id="954" name="Obraz 953">
          <a:extLst>
            <a:ext uri="{FF2B5EF4-FFF2-40B4-BE49-F238E27FC236}">
              <a16:creationId xmlns:a16="http://schemas.microsoft.com/office/drawing/2014/main" id="{0E2ECD5A-6CD9-A531-70C2-07A0AD6D34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98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486</xdr:row>
      <xdr:rowOff>760942</xdr:rowOff>
    </xdr:from>
    <xdr:to>
      <xdr:col>0</xdr:col>
      <xdr:colOff>871538</xdr:colOff>
      <xdr:row>487</xdr:row>
      <xdr:rowOff>760942</xdr:rowOff>
    </xdr:to>
    <xdr:pic>
      <xdr:nvPicPr>
        <xdr:cNvPr id="956" name="Obraz 955">
          <a:extLst>
            <a:ext uri="{FF2B5EF4-FFF2-40B4-BE49-F238E27FC236}">
              <a16:creationId xmlns:a16="http://schemas.microsoft.com/office/drawing/2014/main" id="{C2C50057-B5E3-8D62-8EEB-E690C3F8DB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06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487</xdr:row>
      <xdr:rowOff>760942</xdr:rowOff>
    </xdr:from>
    <xdr:to>
      <xdr:col>0</xdr:col>
      <xdr:colOff>871538</xdr:colOff>
      <xdr:row>488</xdr:row>
      <xdr:rowOff>760942</xdr:rowOff>
    </xdr:to>
    <xdr:pic>
      <xdr:nvPicPr>
        <xdr:cNvPr id="958" name="Obraz 957">
          <a:extLst>
            <a:ext uri="{FF2B5EF4-FFF2-40B4-BE49-F238E27FC236}">
              <a16:creationId xmlns:a16="http://schemas.microsoft.com/office/drawing/2014/main" id="{851F4DBE-567D-81E7-1C6A-093EE35222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13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488</xdr:row>
      <xdr:rowOff>760942</xdr:rowOff>
    </xdr:from>
    <xdr:to>
      <xdr:col>0</xdr:col>
      <xdr:colOff>871538</xdr:colOff>
      <xdr:row>489</xdr:row>
      <xdr:rowOff>760942</xdr:rowOff>
    </xdr:to>
    <xdr:pic>
      <xdr:nvPicPr>
        <xdr:cNvPr id="960" name="Obraz 959">
          <a:extLst>
            <a:ext uri="{FF2B5EF4-FFF2-40B4-BE49-F238E27FC236}">
              <a16:creationId xmlns:a16="http://schemas.microsoft.com/office/drawing/2014/main" id="{B59D3E01-755F-365F-3EC1-4625B54C24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21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489</xdr:row>
      <xdr:rowOff>760942</xdr:rowOff>
    </xdr:from>
    <xdr:to>
      <xdr:col>0</xdr:col>
      <xdr:colOff>871538</xdr:colOff>
      <xdr:row>490</xdr:row>
      <xdr:rowOff>760942</xdr:rowOff>
    </xdr:to>
    <xdr:pic>
      <xdr:nvPicPr>
        <xdr:cNvPr id="962" name="Obraz 961">
          <a:extLst>
            <a:ext uri="{FF2B5EF4-FFF2-40B4-BE49-F238E27FC236}">
              <a16:creationId xmlns:a16="http://schemas.microsoft.com/office/drawing/2014/main" id="{08C1ECAD-EB23-B4F6-7E3F-2AA28E140E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29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490</xdr:row>
      <xdr:rowOff>760942</xdr:rowOff>
    </xdr:from>
    <xdr:to>
      <xdr:col>0</xdr:col>
      <xdr:colOff>871538</xdr:colOff>
      <xdr:row>491</xdr:row>
      <xdr:rowOff>760942</xdr:rowOff>
    </xdr:to>
    <xdr:pic>
      <xdr:nvPicPr>
        <xdr:cNvPr id="964" name="Obraz 963">
          <a:extLst>
            <a:ext uri="{FF2B5EF4-FFF2-40B4-BE49-F238E27FC236}">
              <a16:creationId xmlns:a16="http://schemas.microsoft.com/office/drawing/2014/main" id="{70385A63-A2F1-898F-C02F-C95D8C75A8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36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491</xdr:row>
      <xdr:rowOff>760942</xdr:rowOff>
    </xdr:from>
    <xdr:to>
      <xdr:col>0</xdr:col>
      <xdr:colOff>871538</xdr:colOff>
      <xdr:row>492</xdr:row>
      <xdr:rowOff>760942</xdr:rowOff>
    </xdr:to>
    <xdr:pic>
      <xdr:nvPicPr>
        <xdr:cNvPr id="966" name="Obraz 965">
          <a:extLst>
            <a:ext uri="{FF2B5EF4-FFF2-40B4-BE49-F238E27FC236}">
              <a16:creationId xmlns:a16="http://schemas.microsoft.com/office/drawing/2014/main" id="{27AAD037-F1DC-EF5F-AD21-9D5FCE8EB3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44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492</xdr:row>
      <xdr:rowOff>760942</xdr:rowOff>
    </xdr:from>
    <xdr:to>
      <xdr:col>0</xdr:col>
      <xdr:colOff>871538</xdr:colOff>
      <xdr:row>493</xdr:row>
      <xdr:rowOff>760942</xdr:rowOff>
    </xdr:to>
    <xdr:pic>
      <xdr:nvPicPr>
        <xdr:cNvPr id="968" name="Obraz 967">
          <a:extLst>
            <a:ext uri="{FF2B5EF4-FFF2-40B4-BE49-F238E27FC236}">
              <a16:creationId xmlns:a16="http://schemas.microsoft.com/office/drawing/2014/main" id="{2D0671B9-B079-84AE-0253-0CB7D281A6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51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493</xdr:row>
      <xdr:rowOff>760942</xdr:rowOff>
    </xdr:from>
    <xdr:to>
      <xdr:col>0</xdr:col>
      <xdr:colOff>871538</xdr:colOff>
      <xdr:row>494</xdr:row>
      <xdr:rowOff>760942</xdr:rowOff>
    </xdr:to>
    <xdr:pic>
      <xdr:nvPicPr>
        <xdr:cNvPr id="970" name="Obraz 969">
          <a:extLst>
            <a:ext uri="{FF2B5EF4-FFF2-40B4-BE49-F238E27FC236}">
              <a16:creationId xmlns:a16="http://schemas.microsoft.com/office/drawing/2014/main" id="{E4A7035D-DF08-FB6D-58B1-E4E0269C6E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59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494</xdr:row>
      <xdr:rowOff>760942</xdr:rowOff>
    </xdr:from>
    <xdr:to>
      <xdr:col>0</xdr:col>
      <xdr:colOff>871538</xdr:colOff>
      <xdr:row>495</xdr:row>
      <xdr:rowOff>760942</xdr:rowOff>
    </xdr:to>
    <xdr:pic>
      <xdr:nvPicPr>
        <xdr:cNvPr id="972" name="Obraz 971">
          <a:extLst>
            <a:ext uri="{FF2B5EF4-FFF2-40B4-BE49-F238E27FC236}">
              <a16:creationId xmlns:a16="http://schemas.microsoft.com/office/drawing/2014/main" id="{AFB40035-EE8A-3337-6792-6F552AB33B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67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495</xdr:row>
      <xdr:rowOff>760942</xdr:rowOff>
    </xdr:from>
    <xdr:to>
      <xdr:col>0</xdr:col>
      <xdr:colOff>871538</xdr:colOff>
      <xdr:row>496</xdr:row>
      <xdr:rowOff>760942</xdr:rowOff>
    </xdr:to>
    <xdr:pic>
      <xdr:nvPicPr>
        <xdr:cNvPr id="974" name="Obraz 973">
          <a:extLst>
            <a:ext uri="{FF2B5EF4-FFF2-40B4-BE49-F238E27FC236}">
              <a16:creationId xmlns:a16="http://schemas.microsoft.com/office/drawing/2014/main" id="{9A8AD9C7-1696-C6E9-F379-4A6502F067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74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496</xdr:row>
      <xdr:rowOff>760942</xdr:rowOff>
    </xdr:from>
    <xdr:to>
      <xdr:col>0</xdr:col>
      <xdr:colOff>871538</xdr:colOff>
      <xdr:row>497</xdr:row>
      <xdr:rowOff>760942</xdr:rowOff>
    </xdr:to>
    <xdr:pic>
      <xdr:nvPicPr>
        <xdr:cNvPr id="976" name="Obraz 975">
          <a:extLst>
            <a:ext uri="{FF2B5EF4-FFF2-40B4-BE49-F238E27FC236}">
              <a16:creationId xmlns:a16="http://schemas.microsoft.com/office/drawing/2014/main" id="{176A30AE-B2A7-5672-1BBC-D4BC7348C6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82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497</xdr:row>
      <xdr:rowOff>760942</xdr:rowOff>
    </xdr:from>
    <xdr:to>
      <xdr:col>0</xdr:col>
      <xdr:colOff>871538</xdr:colOff>
      <xdr:row>498</xdr:row>
      <xdr:rowOff>760942</xdr:rowOff>
    </xdr:to>
    <xdr:pic>
      <xdr:nvPicPr>
        <xdr:cNvPr id="978" name="Obraz 977">
          <a:extLst>
            <a:ext uri="{FF2B5EF4-FFF2-40B4-BE49-F238E27FC236}">
              <a16:creationId xmlns:a16="http://schemas.microsoft.com/office/drawing/2014/main" id="{3467554B-D88F-EDF3-BA16-8B65E54523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90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498</xdr:row>
      <xdr:rowOff>760942</xdr:rowOff>
    </xdr:from>
    <xdr:to>
      <xdr:col>0</xdr:col>
      <xdr:colOff>871538</xdr:colOff>
      <xdr:row>499</xdr:row>
      <xdr:rowOff>760942</xdr:rowOff>
    </xdr:to>
    <xdr:pic>
      <xdr:nvPicPr>
        <xdr:cNvPr id="980" name="Obraz 979">
          <a:extLst>
            <a:ext uri="{FF2B5EF4-FFF2-40B4-BE49-F238E27FC236}">
              <a16:creationId xmlns:a16="http://schemas.microsoft.com/office/drawing/2014/main" id="{907EA869-D159-59DE-2641-9C4C2AF5E7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97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499</xdr:row>
      <xdr:rowOff>760942</xdr:rowOff>
    </xdr:from>
    <xdr:to>
      <xdr:col>0</xdr:col>
      <xdr:colOff>871538</xdr:colOff>
      <xdr:row>500</xdr:row>
      <xdr:rowOff>760942</xdr:rowOff>
    </xdr:to>
    <xdr:pic>
      <xdr:nvPicPr>
        <xdr:cNvPr id="982" name="Obraz 981">
          <a:extLst>
            <a:ext uri="{FF2B5EF4-FFF2-40B4-BE49-F238E27FC236}">
              <a16:creationId xmlns:a16="http://schemas.microsoft.com/office/drawing/2014/main" id="{CF631402-E936-85E6-05C1-BD4DC5B27B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805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500</xdr:row>
      <xdr:rowOff>760942</xdr:rowOff>
    </xdr:from>
    <xdr:to>
      <xdr:col>0</xdr:col>
      <xdr:colOff>871538</xdr:colOff>
      <xdr:row>501</xdr:row>
      <xdr:rowOff>760942</xdr:rowOff>
    </xdr:to>
    <xdr:pic>
      <xdr:nvPicPr>
        <xdr:cNvPr id="984" name="Obraz 983">
          <a:extLst>
            <a:ext uri="{FF2B5EF4-FFF2-40B4-BE49-F238E27FC236}">
              <a16:creationId xmlns:a16="http://schemas.microsoft.com/office/drawing/2014/main" id="{F92A2582-7CA3-92C6-B122-9EFC90FA70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812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501</xdr:row>
      <xdr:rowOff>760942</xdr:rowOff>
    </xdr:from>
    <xdr:to>
      <xdr:col>0</xdr:col>
      <xdr:colOff>871538</xdr:colOff>
      <xdr:row>502</xdr:row>
      <xdr:rowOff>760942</xdr:rowOff>
    </xdr:to>
    <xdr:pic>
      <xdr:nvPicPr>
        <xdr:cNvPr id="986" name="Obraz 985">
          <a:extLst>
            <a:ext uri="{FF2B5EF4-FFF2-40B4-BE49-F238E27FC236}">
              <a16:creationId xmlns:a16="http://schemas.microsoft.com/office/drawing/2014/main" id="{532529C9-293E-4B4D-CCFE-E223C0EC76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820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502</xdr:row>
      <xdr:rowOff>760942</xdr:rowOff>
    </xdr:from>
    <xdr:to>
      <xdr:col>0</xdr:col>
      <xdr:colOff>871538</xdr:colOff>
      <xdr:row>503</xdr:row>
      <xdr:rowOff>760942</xdr:rowOff>
    </xdr:to>
    <xdr:pic>
      <xdr:nvPicPr>
        <xdr:cNvPr id="988" name="Obraz 987">
          <a:extLst>
            <a:ext uri="{FF2B5EF4-FFF2-40B4-BE49-F238E27FC236}">
              <a16:creationId xmlns:a16="http://schemas.microsoft.com/office/drawing/2014/main" id="{C26239E6-8074-2393-3A15-BA3C6EC2A6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828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503</xdr:row>
      <xdr:rowOff>760942</xdr:rowOff>
    </xdr:from>
    <xdr:to>
      <xdr:col>0</xdr:col>
      <xdr:colOff>871538</xdr:colOff>
      <xdr:row>504</xdr:row>
      <xdr:rowOff>760942</xdr:rowOff>
    </xdr:to>
    <xdr:pic>
      <xdr:nvPicPr>
        <xdr:cNvPr id="990" name="Obraz 989">
          <a:extLst>
            <a:ext uri="{FF2B5EF4-FFF2-40B4-BE49-F238E27FC236}">
              <a16:creationId xmlns:a16="http://schemas.microsoft.com/office/drawing/2014/main" id="{9BEEE6CC-E492-E3A2-7AEF-89C4304B04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835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504</xdr:row>
      <xdr:rowOff>760942</xdr:rowOff>
    </xdr:from>
    <xdr:to>
      <xdr:col>0</xdr:col>
      <xdr:colOff>871538</xdr:colOff>
      <xdr:row>505</xdr:row>
      <xdr:rowOff>760942</xdr:rowOff>
    </xdr:to>
    <xdr:pic>
      <xdr:nvPicPr>
        <xdr:cNvPr id="992" name="Obraz 991">
          <a:extLst>
            <a:ext uri="{FF2B5EF4-FFF2-40B4-BE49-F238E27FC236}">
              <a16:creationId xmlns:a16="http://schemas.microsoft.com/office/drawing/2014/main" id="{1641C34F-E012-4B32-ECCA-8B58D86146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843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505</xdr:row>
      <xdr:rowOff>760942</xdr:rowOff>
    </xdr:from>
    <xdr:to>
      <xdr:col>0</xdr:col>
      <xdr:colOff>871538</xdr:colOff>
      <xdr:row>506</xdr:row>
      <xdr:rowOff>760942</xdr:rowOff>
    </xdr:to>
    <xdr:pic>
      <xdr:nvPicPr>
        <xdr:cNvPr id="994" name="Obraz 993">
          <a:extLst>
            <a:ext uri="{FF2B5EF4-FFF2-40B4-BE49-F238E27FC236}">
              <a16:creationId xmlns:a16="http://schemas.microsoft.com/office/drawing/2014/main" id="{B0B16CCE-3607-7BB2-04BD-DFE21AEFC0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851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506</xdr:row>
      <xdr:rowOff>760942</xdr:rowOff>
    </xdr:from>
    <xdr:to>
      <xdr:col>0</xdr:col>
      <xdr:colOff>871538</xdr:colOff>
      <xdr:row>507</xdr:row>
      <xdr:rowOff>760942</xdr:rowOff>
    </xdr:to>
    <xdr:pic>
      <xdr:nvPicPr>
        <xdr:cNvPr id="996" name="Obraz 995">
          <a:extLst>
            <a:ext uri="{FF2B5EF4-FFF2-40B4-BE49-F238E27FC236}">
              <a16:creationId xmlns:a16="http://schemas.microsoft.com/office/drawing/2014/main" id="{996370EE-F965-E9C4-58DD-4A8D89ABA8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858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507</xdr:row>
      <xdr:rowOff>760942</xdr:rowOff>
    </xdr:from>
    <xdr:to>
      <xdr:col>0</xdr:col>
      <xdr:colOff>871538</xdr:colOff>
      <xdr:row>508</xdr:row>
      <xdr:rowOff>760942</xdr:rowOff>
    </xdr:to>
    <xdr:pic>
      <xdr:nvPicPr>
        <xdr:cNvPr id="998" name="Obraz 997">
          <a:extLst>
            <a:ext uri="{FF2B5EF4-FFF2-40B4-BE49-F238E27FC236}">
              <a16:creationId xmlns:a16="http://schemas.microsoft.com/office/drawing/2014/main" id="{78558468-BD42-7481-5B9B-3C5DB80E3B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866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508</xdr:row>
      <xdr:rowOff>760942</xdr:rowOff>
    </xdr:from>
    <xdr:to>
      <xdr:col>0</xdr:col>
      <xdr:colOff>871538</xdr:colOff>
      <xdr:row>509</xdr:row>
      <xdr:rowOff>760942</xdr:rowOff>
    </xdr:to>
    <xdr:pic>
      <xdr:nvPicPr>
        <xdr:cNvPr id="1000" name="Obraz 999">
          <a:extLst>
            <a:ext uri="{FF2B5EF4-FFF2-40B4-BE49-F238E27FC236}">
              <a16:creationId xmlns:a16="http://schemas.microsoft.com/office/drawing/2014/main" id="{5B720604-5F4D-146B-453B-510705BF7C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873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509</xdr:row>
      <xdr:rowOff>760942</xdr:rowOff>
    </xdr:from>
    <xdr:to>
      <xdr:col>0</xdr:col>
      <xdr:colOff>871538</xdr:colOff>
      <xdr:row>510</xdr:row>
      <xdr:rowOff>760942</xdr:rowOff>
    </xdr:to>
    <xdr:pic>
      <xdr:nvPicPr>
        <xdr:cNvPr id="1002" name="Obraz 1001">
          <a:extLst>
            <a:ext uri="{FF2B5EF4-FFF2-40B4-BE49-F238E27FC236}">
              <a16:creationId xmlns:a16="http://schemas.microsoft.com/office/drawing/2014/main" id="{5D32A19E-B394-1977-E200-A3DE89B05B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881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510</xdr:row>
      <xdr:rowOff>760942</xdr:rowOff>
    </xdr:from>
    <xdr:to>
      <xdr:col>0</xdr:col>
      <xdr:colOff>871538</xdr:colOff>
      <xdr:row>511</xdr:row>
      <xdr:rowOff>760942</xdr:rowOff>
    </xdr:to>
    <xdr:pic>
      <xdr:nvPicPr>
        <xdr:cNvPr id="1004" name="Obraz 1003">
          <a:extLst>
            <a:ext uri="{FF2B5EF4-FFF2-40B4-BE49-F238E27FC236}">
              <a16:creationId xmlns:a16="http://schemas.microsoft.com/office/drawing/2014/main" id="{2BCC02B4-26E3-F5E0-40B5-8514D2ABF0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889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511</xdr:row>
      <xdr:rowOff>760942</xdr:rowOff>
    </xdr:from>
    <xdr:to>
      <xdr:col>0</xdr:col>
      <xdr:colOff>871538</xdr:colOff>
      <xdr:row>512</xdr:row>
      <xdr:rowOff>760942</xdr:rowOff>
    </xdr:to>
    <xdr:pic>
      <xdr:nvPicPr>
        <xdr:cNvPr id="1006" name="Obraz 1005">
          <a:extLst>
            <a:ext uri="{FF2B5EF4-FFF2-40B4-BE49-F238E27FC236}">
              <a16:creationId xmlns:a16="http://schemas.microsoft.com/office/drawing/2014/main" id="{9B2C3521-413C-4F16-9331-3F2466E79B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896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512</xdr:row>
      <xdr:rowOff>760942</xdr:rowOff>
    </xdr:from>
    <xdr:to>
      <xdr:col>0</xdr:col>
      <xdr:colOff>871538</xdr:colOff>
      <xdr:row>513</xdr:row>
      <xdr:rowOff>760942</xdr:rowOff>
    </xdr:to>
    <xdr:pic>
      <xdr:nvPicPr>
        <xdr:cNvPr id="1008" name="Obraz 1007">
          <a:extLst>
            <a:ext uri="{FF2B5EF4-FFF2-40B4-BE49-F238E27FC236}">
              <a16:creationId xmlns:a16="http://schemas.microsoft.com/office/drawing/2014/main" id="{C3864877-D4FA-0665-7639-F17525F145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04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513</xdr:row>
      <xdr:rowOff>760942</xdr:rowOff>
    </xdr:from>
    <xdr:to>
      <xdr:col>0</xdr:col>
      <xdr:colOff>871538</xdr:colOff>
      <xdr:row>514</xdr:row>
      <xdr:rowOff>760942</xdr:rowOff>
    </xdr:to>
    <xdr:pic>
      <xdr:nvPicPr>
        <xdr:cNvPr id="1010" name="Obraz 1009">
          <a:extLst>
            <a:ext uri="{FF2B5EF4-FFF2-40B4-BE49-F238E27FC236}">
              <a16:creationId xmlns:a16="http://schemas.microsoft.com/office/drawing/2014/main" id="{B187B774-6EB7-7899-2155-F7AECED5E5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12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514</xdr:row>
      <xdr:rowOff>760942</xdr:rowOff>
    </xdr:from>
    <xdr:to>
      <xdr:col>0</xdr:col>
      <xdr:colOff>871538</xdr:colOff>
      <xdr:row>515</xdr:row>
      <xdr:rowOff>760942</xdr:rowOff>
    </xdr:to>
    <xdr:pic>
      <xdr:nvPicPr>
        <xdr:cNvPr id="1012" name="Obraz 1011">
          <a:extLst>
            <a:ext uri="{FF2B5EF4-FFF2-40B4-BE49-F238E27FC236}">
              <a16:creationId xmlns:a16="http://schemas.microsoft.com/office/drawing/2014/main" id="{27529A0F-857D-A58F-B74A-8190728605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19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515</xdr:row>
      <xdr:rowOff>760942</xdr:rowOff>
    </xdr:from>
    <xdr:to>
      <xdr:col>0</xdr:col>
      <xdr:colOff>871538</xdr:colOff>
      <xdr:row>516</xdr:row>
      <xdr:rowOff>760942</xdr:rowOff>
    </xdr:to>
    <xdr:pic>
      <xdr:nvPicPr>
        <xdr:cNvPr id="1014" name="Obraz 1013">
          <a:extLst>
            <a:ext uri="{FF2B5EF4-FFF2-40B4-BE49-F238E27FC236}">
              <a16:creationId xmlns:a16="http://schemas.microsoft.com/office/drawing/2014/main" id="{794FBBA2-232C-166B-C12F-671967FF50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27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516</xdr:row>
      <xdr:rowOff>760942</xdr:rowOff>
    </xdr:from>
    <xdr:to>
      <xdr:col>0</xdr:col>
      <xdr:colOff>871538</xdr:colOff>
      <xdr:row>517</xdr:row>
      <xdr:rowOff>760942</xdr:rowOff>
    </xdr:to>
    <xdr:pic>
      <xdr:nvPicPr>
        <xdr:cNvPr id="1016" name="Obraz 1015">
          <a:extLst>
            <a:ext uri="{FF2B5EF4-FFF2-40B4-BE49-F238E27FC236}">
              <a16:creationId xmlns:a16="http://schemas.microsoft.com/office/drawing/2014/main" id="{BE61FFF4-1347-5F9C-3453-CBB0E9DC2E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34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517</xdr:row>
      <xdr:rowOff>760942</xdr:rowOff>
    </xdr:from>
    <xdr:to>
      <xdr:col>0</xdr:col>
      <xdr:colOff>871538</xdr:colOff>
      <xdr:row>518</xdr:row>
      <xdr:rowOff>760942</xdr:rowOff>
    </xdr:to>
    <xdr:pic>
      <xdr:nvPicPr>
        <xdr:cNvPr id="1018" name="Obraz 1017">
          <a:extLst>
            <a:ext uri="{FF2B5EF4-FFF2-40B4-BE49-F238E27FC236}">
              <a16:creationId xmlns:a16="http://schemas.microsoft.com/office/drawing/2014/main" id="{764A22DB-CE2E-DCCA-7677-5FDA0483D5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42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518</xdr:row>
      <xdr:rowOff>760942</xdr:rowOff>
    </xdr:from>
    <xdr:to>
      <xdr:col>0</xdr:col>
      <xdr:colOff>871538</xdr:colOff>
      <xdr:row>519</xdr:row>
      <xdr:rowOff>760942</xdr:rowOff>
    </xdr:to>
    <xdr:pic>
      <xdr:nvPicPr>
        <xdr:cNvPr id="1020" name="Obraz 1019">
          <a:extLst>
            <a:ext uri="{FF2B5EF4-FFF2-40B4-BE49-F238E27FC236}">
              <a16:creationId xmlns:a16="http://schemas.microsoft.com/office/drawing/2014/main" id="{0D7DDFB7-02E4-63FE-8639-C8CF71009A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50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519</xdr:row>
      <xdr:rowOff>760942</xdr:rowOff>
    </xdr:from>
    <xdr:to>
      <xdr:col>0</xdr:col>
      <xdr:colOff>871538</xdr:colOff>
      <xdr:row>520</xdr:row>
      <xdr:rowOff>760942</xdr:rowOff>
    </xdr:to>
    <xdr:pic>
      <xdr:nvPicPr>
        <xdr:cNvPr id="1022" name="Obraz 1021">
          <a:extLst>
            <a:ext uri="{FF2B5EF4-FFF2-40B4-BE49-F238E27FC236}">
              <a16:creationId xmlns:a16="http://schemas.microsoft.com/office/drawing/2014/main" id="{AECF1CF7-8966-6DA8-29B6-1403654A20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57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520</xdr:row>
      <xdr:rowOff>760942</xdr:rowOff>
    </xdr:from>
    <xdr:to>
      <xdr:col>0</xdr:col>
      <xdr:colOff>871538</xdr:colOff>
      <xdr:row>521</xdr:row>
      <xdr:rowOff>760942</xdr:rowOff>
    </xdr:to>
    <xdr:pic>
      <xdr:nvPicPr>
        <xdr:cNvPr id="1024" name="Obraz 1023">
          <a:extLst>
            <a:ext uri="{FF2B5EF4-FFF2-40B4-BE49-F238E27FC236}">
              <a16:creationId xmlns:a16="http://schemas.microsoft.com/office/drawing/2014/main" id="{56B5A02B-B1E4-ECAB-3759-8EB8233C5D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65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521</xdr:row>
      <xdr:rowOff>760942</xdr:rowOff>
    </xdr:from>
    <xdr:to>
      <xdr:col>0</xdr:col>
      <xdr:colOff>871538</xdr:colOff>
      <xdr:row>522</xdr:row>
      <xdr:rowOff>760942</xdr:rowOff>
    </xdr:to>
    <xdr:pic>
      <xdr:nvPicPr>
        <xdr:cNvPr id="1026" name="Obraz 1025">
          <a:extLst>
            <a:ext uri="{FF2B5EF4-FFF2-40B4-BE49-F238E27FC236}">
              <a16:creationId xmlns:a16="http://schemas.microsoft.com/office/drawing/2014/main" id="{F389B6E8-45FC-B900-D175-5F03283C27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72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522</xdr:row>
      <xdr:rowOff>760942</xdr:rowOff>
    </xdr:from>
    <xdr:to>
      <xdr:col>0</xdr:col>
      <xdr:colOff>871538</xdr:colOff>
      <xdr:row>523</xdr:row>
      <xdr:rowOff>760942</xdr:rowOff>
    </xdr:to>
    <xdr:pic>
      <xdr:nvPicPr>
        <xdr:cNvPr id="1028" name="Obraz 1027">
          <a:extLst>
            <a:ext uri="{FF2B5EF4-FFF2-40B4-BE49-F238E27FC236}">
              <a16:creationId xmlns:a16="http://schemas.microsoft.com/office/drawing/2014/main" id="{D13DFEEA-D099-381D-F380-5140406E03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80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523</xdr:row>
      <xdr:rowOff>760942</xdr:rowOff>
    </xdr:from>
    <xdr:to>
      <xdr:col>0</xdr:col>
      <xdr:colOff>871538</xdr:colOff>
      <xdr:row>524</xdr:row>
      <xdr:rowOff>760942</xdr:rowOff>
    </xdr:to>
    <xdr:pic>
      <xdr:nvPicPr>
        <xdr:cNvPr id="1030" name="Obraz 1029">
          <a:extLst>
            <a:ext uri="{FF2B5EF4-FFF2-40B4-BE49-F238E27FC236}">
              <a16:creationId xmlns:a16="http://schemas.microsoft.com/office/drawing/2014/main" id="{29A91832-3C25-6891-6BC4-451ED8D8D0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88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524</xdr:row>
      <xdr:rowOff>760942</xdr:rowOff>
    </xdr:from>
    <xdr:to>
      <xdr:col>0</xdr:col>
      <xdr:colOff>871538</xdr:colOff>
      <xdr:row>525</xdr:row>
      <xdr:rowOff>760942</xdr:rowOff>
    </xdr:to>
    <xdr:pic>
      <xdr:nvPicPr>
        <xdr:cNvPr id="1032" name="Obraz 1031">
          <a:extLst>
            <a:ext uri="{FF2B5EF4-FFF2-40B4-BE49-F238E27FC236}">
              <a16:creationId xmlns:a16="http://schemas.microsoft.com/office/drawing/2014/main" id="{E8619718-5D22-515D-2E27-85C95B2CB7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95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525</xdr:row>
      <xdr:rowOff>760942</xdr:rowOff>
    </xdr:from>
    <xdr:to>
      <xdr:col>0</xdr:col>
      <xdr:colOff>871538</xdr:colOff>
      <xdr:row>526</xdr:row>
      <xdr:rowOff>760942</xdr:rowOff>
    </xdr:to>
    <xdr:pic>
      <xdr:nvPicPr>
        <xdr:cNvPr id="1034" name="Obraz 1033">
          <a:extLst>
            <a:ext uri="{FF2B5EF4-FFF2-40B4-BE49-F238E27FC236}">
              <a16:creationId xmlns:a16="http://schemas.microsoft.com/office/drawing/2014/main" id="{554D7D43-FCE2-F4AE-8382-1A4B91870D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03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526</xdr:row>
      <xdr:rowOff>760942</xdr:rowOff>
    </xdr:from>
    <xdr:to>
      <xdr:col>0</xdr:col>
      <xdr:colOff>871538</xdr:colOff>
      <xdr:row>527</xdr:row>
      <xdr:rowOff>760942</xdr:rowOff>
    </xdr:to>
    <xdr:pic>
      <xdr:nvPicPr>
        <xdr:cNvPr id="1036" name="Obraz 1035">
          <a:extLst>
            <a:ext uri="{FF2B5EF4-FFF2-40B4-BE49-F238E27FC236}">
              <a16:creationId xmlns:a16="http://schemas.microsoft.com/office/drawing/2014/main" id="{A075F11B-660B-541A-8DEE-9301760060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11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527</xdr:row>
      <xdr:rowOff>760942</xdr:rowOff>
    </xdr:from>
    <xdr:to>
      <xdr:col>0</xdr:col>
      <xdr:colOff>871538</xdr:colOff>
      <xdr:row>528</xdr:row>
      <xdr:rowOff>760942</xdr:rowOff>
    </xdr:to>
    <xdr:pic>
      <xdr:nvPicPr>
        <xdr:cNvPr id="1038" name="Obraz 1037">
          <a:extLst>
            <a:ext uri="{FF2B5EF4-FFF2-40B4-BE49-F238E27FC236}">
              <a16:creationId xmlns:a16="http://schemas.microsoft.com/office/drawing/2014/main" id="{3B44588F-345E-59D5-5CC2-2B47DE5A07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18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528</xdr:row>
      <xdr:rowOff>760942</xdr:rowOff>
    </xdr:from>
    <xdr:to>
      <xdr:col>0</xdr:col>
      <xdr:colOff>871538</xdr:colOff>
      <xdr:row>529</xdr:row>
      <xdr:rowOff>760942</xdr:rowOff>
    </xdr:to>
    <xdr:pic>
      <xdr:nvPicPr>
        <xdr:cNvPr id="1040" name="Obraz 1039">
          <a:extLst>
            <a:ext uri="{FF2B5EF4-FFF2-40B4-BE49-F238E27FC236}">
              <a16:creationId xmlns:a16="http://schemas.microsoft.com/office/drawing/2014/main" id="{B620B21A-0EA7-F1C9-E43C-E22EE4CA9C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26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529</xdr:row>
      <xdr:rowOff>760942</xdr:rowOff>
    </xdr:from>
    <xdr:to>
      <xdr:col>0</xdr:col>
      <xdr:colOff>871538</xdr:colOff>
      <xdr:row>530</xdr:row>
      <xdr:rowOff>760942</xdr:rowOff>
    </xdr:to>
    <xdr:pic>
      <xdr:nvPicPr>
        <xdr:cNvPr id="1042" name="Obraz 1041">
          <a:extLst>
            <a:ext uri="{FF2B5EF4-FFF2-40B4-BE49-F238E27FC236}">
              <a16:creationId xmlns:a16="http://schemas.microsoft.com/office/drawing/2014/main" id="{C522D087-5243-4121-EB62-1C3F059FC1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33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530</xdr:row>
      <xdr:rowOff>760942</xdr:rowOff>
    </xdr:from>
    <xdr:to>
      <xdr:col>0</xdr:col>
      <xdr:colOff>871538</xdr:colOff>
      <xdr:row>531</xdr:row>
      <xdr:rowOff>760942</xdr:rowOff>
    </xdr:to>
    <xdr:pic>
      <xdr:nvPicPr>
        <xdr:cNvPr id="1044" name="Obraz 1043">
          <a:extLst>
            <a:ext uri="{FF2B5EF4-FFF2-40B4-BE49-F238E27FC236}">
              <a16:creationId xmlns:a16="http://schemas.microsoft.com/office/drawing/2014/main" id="{48105F57-721E-8109-376A-AEAC3A6937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41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531</xdr:row>
      <xdr:rowOff>760942</xdr:rowOff>
    </xdr:from>
    <xdr:to>
      <xdr:col>0</xdr:col>
      <xdr:colOff>871538</xdr:colOff>
      <xdr:row>532</xdr:row>
      <xdr:rowOff>760942</xdr:rowOff>
    </xdr:to>
    <xdr:pic>
      <xdr:nvPicPr>
        <xdr:cNvPr id="1046" name="Obraz 1045">
          <a:extLst>
            <a:ext uri="{FF2B5EF4-FFF2-40B4-BE49-F238E27FC236}">
              <a16:creationId xmlns:a16="http://schemas.microsoft.com/office/drawing/2014/main" id="{B36A04CC-52A9-877F-28BA-9AC106EA75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49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532</xdr:row>
      <xdr:rowOff>760942</xdr:rowOff>
    </xdr:from>
    <xdr:to>
      <xdr:col>0</xdr:col>
      <xdr:colOff>871538</xdr:colOff>
      <xdr:row>533</xdr:row>
      <xdr:rowOff>760942</xdr:rowOff>
    </xdr:to>
    <xdr:pic>
      <xdr:nvPicPr>
        <xdr:cNvPr id="1048" name="Obraz 1047">
          <a:extLst>
            <a:ext uri="{FF2B5EF4-FFF2-40B4-BE49-F238E27FC236}">
              <a16:creationId xmlns:a16="http://schemas.microsoft.com/office/drawing/2014/main" id="{D0494390-6ED9-F418-840E-FEC114E98E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56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533</xdr:row>
      <xdr:rowOff>760942</xdr:rowOff>
    </xdr:from>
    <xdr:to>
      <xdr:col>0</xdr:col>
      <xdr:colOff>871538</xdr:colOff>
      <xdr:row>534</xdr:row>
      <xdr:rowOff>760942</xdr:rowOff>
    </xdr:to>
    <xdr:pic>
      <xdr:nvPicPr>
        <xdr:cNvPr id="1050" name="Obraz 1049">
          <a:extLst>
            <a:ext uri="{FF2B5EF4-FFF2-40B4-BE49-F238E27FC236}">
              <a16:creationId xmlns:a16="http://schemas.microsoft.com/office/drawing/2014/main" id="{D7C830E2-E805-0BEC-E51E-BB6E2293C9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64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534</xdr:row>
      <xdr:rowOff>760942</xdr:rowOff>
    </xdr:from>
    <xdr:to>
      <xdr:col>0</xdr:col>
      <xdr:colOff>871538</xdr:colOff>
      <xdr:row>535</xdr:row>
      <xdr:rowOff>760942</xdr:rowOff>
    </xdr:to>
    <xdr:pic>
      <xdr:nvPicPr>
        <xdr:cNvPr id="1052" name="Obraz 1051">
          <a:extLst>
            <a:ext uri="{FF2B5EF4-FFF2-40B4-BE49-F238E27FC236}">
              <a16:creationId xmlns:a16="http://schemas.microsoft.com/office/drawing/2014/main" id="{5960E8C7-B5C7-04E4-DA47-8954FDA40F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72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535</xdr:row>
      <xdr:rowOff>760942</xdr:rowOff>
    </xdr:from>
    <xdr:to>
      <xdr:col>0</xdr:col>
      <xdr:colOff>871538</xdr:colOff>
      <xdr:row>536</xdr:row>
      <xdr:rowOff>760942</xdr:rowOff>
    </xdr:to>
    <xdr:pic>
      <xdr:nvPicPr>
        <xdr:cNvPr id="1054" name="Obraz 1053">
          <a:extLst>
            <a:ext uri="{FF2B5EF4-FFF2-40B4-BE49-F238E27FC236}">
              <a16:creationId xmlns:a16="http://schemas.microsoft.com/office/drawing/2014/main" id="{5F3FBB72-CD65-77BA-0FD9-1FC0535D7A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79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536</xdr:row>
      <xdr:rowOff>760942</xdr:rowOff>
    </xdr:from>
    <xdr:to>
      <xdr:col>0</xdr:col>
      <xdr:colOff>871538</xdr:colOff>
      <xdr:row>537</xdr:row>
      <xdr:rowOff>760942</xdr:rowOff>
    </xdr:to>
    <xdr:pic>
      <xdr:nvPicPr>
        <xdr:cNvPr id="1056" name="Obraz 1055">
          <a:extLst>
            <a:ext uri="{FF2B5EF4-FFF2-40B4-BE49-F238E27FC236}">
              <a16:creationId xmlns:a16="http://schemas.microsoft.com/office/drawing/2014/main" id="{E0F4DEA8-C866-DD70-E203-33B43E6134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87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537</xdr:row>
      <xdr:rowOff>760942</xdr:rowOff>
    </xdr:from>
    <xdr:to>
      <xdr:col>0</xdr:col>
      <xdr:colOff>871538</xdr:colOff>
      <xdr:row>538</xdr:row>
      <xdr:rowOff>760942</xdr:rowOff>
    </xdr:to>
    <xdr:pic>
      <xdr:nvPicPr>
        <xdr:cNvPr id="1058" name="Obraz 1057">
          <a:extLst>
            <a:ext uri="{FF2B5EF4-FFF2-40B4-BE49-F238E27FC236}">
              <a16:creationId xmlns:a16="http://schemas.microsoft.com/office/drawing/2014/main" id="{303C0305-B542-45A4-18E3-5A06464878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94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538</xdr:row>
      <xdr:rowOff>760942</xdr:rowOff>
    </xdr:from>
    <xdr:to>
      <xdr:col>0</xdr:col>
      <xdr:colOff>871538</xdr:colOff>
      <xdr:row>539</xdr:row>
      <xdr:rowOff>760942</xdr:rowOff>
    </xdr:to>
    <xdr:pic>
      <xdr:nvPicPr>
        <xdr:cNvPr id="1060" name="Obraz 1059">
          <a:extLst>
            <a:ext uri="{FF2B5EF4-FFF2-40B4-BE49-F238E27FC236}">
              <a16:creationId xmlns:a16="http://schemas.microsoft.com/office/drawing/2014/main" id="{E11DFFC1-C4F7-7CFC-4CE0-6D942035AD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02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539</xdr:row>
      <xdr:rowOff>760942</xdr:rowOff>
    </xdr:from>
    <xdr:to>
      <xdr:col>0</xdr:col>
      <xdr:colOff>871538</xdr:colOff>
      <xdr:row>540</xdr:row>
      <xdr:rowOff>760942</xdr:rowOff>
    </xdr:to>
    <xdr:pic>
      <xdr:nvPicPr>
        <xdr:cNvPr id="1062" name="Obraz 1061">
          <a:extLst>
            <a:ext uri="{FF2B5EF4-FFF2-40B4-BE49-F238E27FC236}">
              <a16:creationId xmlns:a16="http://schemas.microsoft.com/office/drawing/2014/main" id="{75E9EFC3-EB24-1D30-3A8F-C964B22F8E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10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540</xdr:row>
      <xdr:rowOff>760942</xdr:rowOff>
    </xdr:from>
    <xdr:to>
      <xdr:col>0</xdr:col>
      <xdr:colOff>871538</xdr:colOff>
      <xdr:row>541</xdr:row>
      <xdr:rowOff>760942</xdr:rowOff>
    </xdr:to>
    <xdr:pic>
      <xdr:nvPicPr>
        <xdr:cNvPr id="1064" name="Obraz 1063">
          <a:extLst>
            <a:ext uri="{FF2B5EF4-FFF2-40B4-BE49-F238E27FC236}">
              <a16:creationId xmlns:a16="http://schemas.microsoft.com/office/drawing/2014/main" id="{EB7A4D17-2DC7-6A15-4F00-E4CF65C0C4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17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541</xdr:row>
      <xdr:rowOff>760942</xdr:rowOff>
    </xdr:from>
    <xdr:to>
      <xdr:col>0</xdr:col>
      <xdr:colOff>871538</xdr:colOff>
      <xdr:row>542</xdr:row>
      <xdr:rowOff>760942</xdr:rowOff>
    </xdr:to>
    <xdr:pic>
      <xdr:nvPicPr>
        <xdr:cNvPr id="1066" name="Obraz 1065">
          <a:extLst>
            <a:ext uri="{FF2B5EF4-FFF2-40B4-BE49-F238E27FC236}">
              <a16:creationId xmlns:a16="http://schemas.microsoft.com/office/drawing/2014/main" id="{A7BF55B5-9A60-0618-DD61-AEEFA9A42F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25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542</xdr:row>
      <xdr:rowOff>760942</xdr:rowOff>
    </xdr:from>
    <xdr:to>
      <xdr:col>0</xdr:col>
      <xdr:colOff>871538</xdr:colOff>
      <xdr:row>543</xdr:row>
      <xdr:rowOff>760942</xdr:rowOff>
    </xdr:to>
    <xdr:pic>
      <xdr:nvPicPr>
        <xdr:cNvPr id="1068" name="Obraz 1067">
          <a:extLst>
            <a:ext uri="{FF2B5EF4-FFF2-40B4-BE49-F238E27FC236}">
              <a16:creationId xmlns:a16="http://schemas.microsoft.com/office/drawing/2014/main" id="{DC08AF2F-C5E0-F1CB-BB49-1994ADF722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32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543</xdr:row>
      <xdr:rowOff>760942</xdr:rowOff>
    </xdr:from>
    <xdr:to>
      <xdr:col>0</xdr:col>
      <xdr:colOff>871538</xdr:colOff>
      <xdr:row>544</xdr:row>
      <xdr:rowOff>760942</xdr:rowOff>
    </xdr:to>
    <xdr:pic>
      <xdr:nvPicPr>
        <xdr:cNvPr id="1070" name="Obraz 1069">
          <a:extLst>
            <a:ext uri="{FF2B5EF4-FFF2-40B4-BE49-F238E27FC236}">
              <a16:creationId xmlns:a16="http://schemas.microsoft.com/office/drawing/2014/main" id="{C481F56C-0BCC-1A09-9661-62C82EF3EC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40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544</xdr:row>
      <xdr:rowOff>760942</xdr:rowOff>
    </xdr:from>
    <xdr:to>
      <xdr:col>0</xdr:col>
      <xdr:colOff>871538</xdr:colOff>
      <xdr:row>545</xdr:row>
      <xdr:rowOff>760942</xdr:rowOff>
    </xdr:to>
    <xdr:pic>
      <xdr:nvPicPr>
        <xdr:cNvPr id="1072" name="Obraz 1071">
          <a:extLst>
            <a:ext uri="{FF2B5EF4-FFF2-40B4-BE49-F238E27FC236}">
              <a16:creationId xmlns:a16="http://schemas.microsoft.com/office/drawing/2014/main" id="{5E6947CE-DCFD-3BD6-30A2-BE404222EB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48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545</xdr:row>
      <xdr:rowOff>760942</xdr:rowOff>
    </xdr:from>
    <xdr:to>
      <xdr:col>0</xdr:col>
      <xdr:colOff>871538</xdr:colOff>
      <xdr:row>546</xdr:row>
      <xdr:rowOff>760942</xdr:rowOff>
    </xdr:to>
    <xdr:pic>
      <xdr:nvPicPr>
        <xdr:cNvPr id="1074" name="Obraz 1073">
          <a:extLst>
            <a:ext uri="{FF2B5EF4-FFF2-40B4-BE49-F238E27FC236}">
              <a16:creationId xmlns:a16="http://schemas.microsoft.com/office/drawing/2014/main" id="{ABCFCFEB-8548-45F8-ED97-9B4C2F1091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55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546</xdr:row>
      <xdr:rowOff>760942</xdr:rowOff>
    </xdr:from>
    <xdr:to>
      <xdr:col>0</xdr:col>
      <xdr:colOff>871538</xdr:colOff>
      <xdr:row>547</xdr:row>
      <xdr:rowOff>760942</xdr:rowOff>
    </xdr:to>
    <xdr:pic>
      <xdr:nvPicPr>
        <xdr:cNvPr id="1076" name="Obraz 1075">
          <a:extLst>
            <a:ext uri="{FF2B5EF4-FFF2-40B4-BE49-F238E27FC236}">
              <a16:creationId xmlns:a16="http://schemas.microsoft.com/office/drawing/2014/main" id="{7979EFF0-7817-4A09-50B3-33C6F7EDF0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63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547</xdr:row>
      <xdr:rowOff>760942</xdr:rowOff>
    </xdr:from>
    <xdr:to>
      <xdr:col>0</xdr:col>
      <xdr:colOff>871538</xdr:colOff>
      <xdr:row>548</xdr:row>
      <xdr:rowOff>760942</xdr:rowOff>
    </xdr:to>
    <xdr:pic>
      <xdr:nvPicPr>
        <xdr:cNvPr id="1078" name="Obraz 1077">
          <a:extLst>
            <a:ext uri="{FF2B5EF4-FFF2-40B4-BE49-F238E27FC236}">
              <a16:creationId xmlns:a16="http://schemas.microsoft.com/office/drawing/2014/main" id="{C0461D82-70DE-A935-E6CA-0657242516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71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548</xdr:row>
      <xdr:rowOff>760942</xdr:rowOff>
    </xdr:from>
    <xdr:to>
      <xdr:col>0</xdr:col>
      <xdr:colOff>871538</xdr:colOff>
      <xdr:row>549</xdr:row>
      <xdr:rowOff>760942</xdr:rowOff>
    </xdr:to>
    <xdr:pic>
      <xdr:nvPicPr>
        <xdr:cNvPr id="1080" name="Obraz 1079">
          <a:extLst>
            <a:ext uri="{FF2B5EF4-FFF2-40B4-BE49-F238E27FC236}">
              <a16:creationId xmlns:a16="http://schemas.microsoft.com/office/drawing/2014/main" id="{2F43E413-CA39-EB87-5EEF-80771A509C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78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549</xdr:row>
      <xdr:rowOff>760942</xdr:rowOff>
    </xdr:from>
    <xdr:to>
      <xdr:col>0</xdr:col>
      <xdr:colOff>871538</xdr:colOff>
      <xdr:row>550</xdr:row>
      <xdr:rowOff>760942</xdr:rowOff>
    </xdr:to>
    <xdr:pic>
      <xdr:nvPicPr>
        <xdr:cNvPr id="1082" name="Obraz 1081">
          <a:extLst>
            <a:ext uri="{FF2B5EF4-FFF2-40B4-BE49-F238E27FC236}">
              <a16:creationId xmlns:a16="http://schemas.microsoft.com/office/drawing/2014/main" id="{B12CAFB7-4558-1001-C008-F72C33E6D5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86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550</xdr:row>
      <xdr:rowOff>760942</xdr:rowOff>
    </xdr:from>
    <xdr:to>
      <xdr:col>0</xdr:col>
      <xdr:colOff>871538</xdr:colOff>
      <xdr:row>551</xdr:row>
      <xdr:rowOff>760942</xdr:rowOff>
    </xdr:to>
    <xdr:pic>
      <xdr:nvPicPr>
        <xdr:cNvPr id="1084" name="Obraz 1083">
          <a:extLst>
            <a:ext uri="{FF2B5EF4-FFF2-40B4-BE49-F238E27FC236}">
              <a16:creationId xmlns:a16="http://schemas.microsoft.com/office/drawing/2014/main" id="{E1B50D4C-89F4-6D56-BABE-B49F43B9AF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93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551</xdr:row>
      <xdr:rowOff>760942</xdr:rowOff>
    </xdr:from>
    <xdr:to>
      <xdr:col>0</xdr:col>
      <xdr:colOff>871538</xdr:colOff>
      <xdr:row>552</xdr:row>
      <xdr:rowOff>760942</xdr:rowOff>
    </xdr:to>
    <xdr:pic>
      <xdr:nvPicPr>
        <xdr:cNvPr id="1086" name="Obraz 1085">
          <a:extLst>
            <a:ext uri="{FF2B5EF4-FFF2-40B4-BE49-F238E27FC236}">
              <a16:creationId xmlns:a16="http://schemas.microsoft.com/office/drawing/2014/main" id="{47DEE5FD-30EA-3814-1809-CB9CA87CC1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01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552</xdr:row>
      <xdr:rowOff>760942</xdr:rowOff>
    </xdr:from>
    <xdr:to>
      <xdr:col>0</xdr:col>
      <xdr:colOff>871538</xdr:colOff>
      <xdr:row>553</xdr:row>
      <xdr:rowOff>760942</xdr:rowOff>
    </xdr:to>
    <xdr:pic>
      <xdr:nvPicPr>
        <xdr:cNvPr id="1088" name="Obraz 1087">
          <a:extLst>
            <a:ext uri="{FF2B5EF4-FFF2-40B4-BE49-F238E27FC236}">
              <a16:creationId xmlns:a16="http://schemas.microsoft.com/office/drawing/2014/main" id="{7BC1EE3C-6773-5404-C850-3FE7DE30EA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09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553</xdr:row>
      <xdr:rowOff>760942</xdr:rowOff>
    </xdr:from>
    <xdr:to>
      <xdr:col>0</xdr:col>
      <xdr:colOff>871538</xdr:colOff>
      <xdr:row>554</xdr:row>
      <xdr:rowOff>760942</xdr:rowOff>
    </xdr:to>
    <xdr:pic>
      <xdr:nvPicPr>
        <xdr:cNvPr id="1090" name="Obraz 1089">
          <a:extLst>
            <a:ext uri="{FF2B5EF4-FFF2-40B4-BE49-F238E27FC236}">
              <a16:creationId xmlns:a16="http://schemas.microsoft.com/office/drawing/2014/main" id="{3603AA02-F966-2503-C5CF-1D89274956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16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554</xdr:row>
      <xdr:rowOff>760942</xdr:rowOff>
    </xdr:from>
    <xdr:to>
      <xdr:col>0</xdr:col>
      <xdr:colOff>871538</xdr:colOff>
      <xdr:row>555</xdr:row>
      <xdr:rowOff>760942</xdr:rowOff>
    </xdr:to>
    <xdr:pic>
      <xdr:nvPicPr>
        <xdr:cNvPr id="1092" name="Obraz 1091">
          <a:extLst>
            <a:ext uri="{FF2B5EF4-FFF2-40B4-BE49-F238E27FC236}">
              <a16:creationId xmlns:a16="http://schemas.microsoft.com/office/drawing/2014/main" id="{58F75BCD-A22E-4147-BF34-FF8EE2583C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24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555</xdr:row>
      <xdr:rowOff>760942</xdr:rowOff>
    </xdr:from>
    <xdr:to>
      <xdr:col>0</xdr:col>
      <xdr:colOff>871538</xdr:colOff>
      <xdr:row>556</xdr:row>
      <xdr:rowOff>760942</xdr:rowOff>
    </xdr:to>
    <xdr:pic>
      <xdr:nvPicPr>
        <xdr:cNvPr id="1094" name="Obraz 1093">
          <a:extLst>
            <a:ext uri="{FF2B5EF4-FFF2-40B4-BE49-F238E27FC236}">
              <a16:creationId xmlns:a16="http://schemas.microsoft.com/office/drawing/2014/main" id="{59AE1C29-D341-4833-44BA-AB8FDDB221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32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556</xdr:row>
      <xdr:rowOff>760942</xdr:rowOff>
    </xdr:from>
    <xdr:to>
      <xdr:col>0</xdr:col>
      <xdr:colOff>871538</xdr:colOff>
      <xdr:row>557</xdr:row>
      <xdr:rowOff>760942</xdr:rowOff>
    </xdr:to>
    <xdr:pic>
      <xdr:nvPicPr>
        <xdr:cNvPr id="1096" name="Obraz 1095">
          <a:extLst>
            <a:ext uri="{FF2B5EF4-FFF2-40B4-BE49-F238E27FC236}">
              <a16:creationId xmlns:a16="http://schemas.microsoft.com/office/drawing/2014/main" id="{567CD52F-7B85-311F-0D95-75AD1003B4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39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557</xdr:row>
      <xdr:rowOff>760942</xdr:rowOff>
    </xdr:from>
    <xdr:to>
      <xdr:col>0</xdr:col>
      <xdr:colOff>871538</xdr:colOff>
      <xdr:row>558</xdr:row>
      <xdr:rowOff>760942</xdr:rowOff>
    </xdr:to>
    <xdr:pic>
      <xdr:nvPicPr>
        <xdr:cNvPr id="1098" name="Obraz 1097">
          <a:extLst>
            <a:ext uri="{FF2B5EF4-FFF2-40B4-BE49-F238E27FC236}">
              <a16:creationId xmlns:a16="http://schemas.microsoft.com/office/drawing/2014/main" id="{D150A3FD-4528-951C-111C-0028664F9F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47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558</xdr:row>
      <xdr:rowOff>760942</xdr:rowOff>
    </xdr:from>
    <xdr:to>
      <xdr:col>0</xdr:col>
      <xdr:colOff>871538</xdr:colOff>
      <xdr:row>559</xdr:row>
      <xdr:rowOff>760942</xdr:rowOff>
    </xdr:to>
    <xdr:pic>
      <xdr:nvPicPr>
        <xdr:cNvPr id="1100" name="Obraz 1099">
          <a:extLst>
            <a:ext uri="{FF2B5EF4-FFF2-40B4-BE49-F238E27FC236}">
              <a16:creationId xmlns:a16="http://schemas.microsoft.com/office/drawing/2014/main" id="{F5AAD1D5-1FC9-D940-095B-AE8B874155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54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559</xdr:row>
      <xdr:rowOff>760942</xdr:rowOff>
    </xdr:from>
    <xdr:to>
      <xdr:col>0</xdr:col>
      <xdr:colOff>871538</xdr:colOff>
      <xdr:row>560</xdr:row>
      <xdr:rowOff>760942</xdr:rowOff>
    </xdr:to>
    <xdr:pic>
      <xdr:nvPicPr>
        <xdr:cNvPr id="1102" name="Obraz 1101">
          <a:extLst>
            <a:ext uri="{FF2B5EF4-FFF2-40B4-BE49-F238E27FC236}">
              <a16:creationId xmlns:a16="http://schemas.microsoft.com/office/drawing/2014/main" id="{57A5261A-16E5-65F8-8BDF-472A05B1C7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62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560</xdr:row>
      <xdr:rowOff>760942</xdr:rowOff>
    </xdr:from>
    <xdr:to>
      <xdr:col>0</xdr:col>
      <xdr:colOff>871538</xdr:colOff>
      <xdr:row>561</xdr:row>
      <xdr:rowOff>760942</xdr:rowOff>
    </xdr:to>
    <xdr:pic>
      <xdr:nvPicPr>
        <xdr:cNvPr id="1104" name="Obraz 1103">
          <a:extLst>
            <a:ext uri="{FF2B5EF4-FFF2-40B4-BE49-F238E27FC236}">
              <a16:creationId xmlns:a16="http://schemas.microsoft.com/office/drawing/2014/main" id="{A7ECA0AA-880E-F9C4-850B-62B6B18012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70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561</xdr:row>
      <xdr:rowOff>760942</xdr:rowOff>
    </xdr:from>
    <xdr:to>
      <xdr:col>0</xdr:col>
      <xdr:colOff>871538</xdr:colOff>
      <xdr:row>562</xdr:row>
      <xdr:rowOff>760942</xdr:rowOff>
    </xdr:to>
    <xdr:pic>
      <xdr:nvPicPr>
        <xdr:cNvPr id="1106" name="Obraz 1105">
          <a:extLst>
            <a:ext uri="{FF2B5EF4-FFF2-40B4-BE49-F238E27FC236}">
              <a16:creationId xmlns:a16="http://schemas.microsoft.com/office/drawing/2014/main" id="{E352B363-B348-2677-60F4-4079F65B5A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77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562</xdr:row>
      <xdr:rowOff>760942</xdr:rowOff>
    </xdr:from>
    <xdr:to>
      <xdr:col>0</xdr:col>
      <xdr:colOff>871538</xdr:colOff>
      <xdr:row>563</xdr:row>
      <xdr:rowOff>760942</xdr:rowOff>
    </xdr:to>
    <xdr:pic>
      <xdr:nvPicPr>
        <xdr:cNvPr id="1108" name="Obraz 1107">
          <a:extLst>
            <a:ext uri="{FF2B5EF4-FFF2-40B4-BE49-F238E27FC236}">
              <a16:creationId xmlns:a16="http://schemas.microsoft.com/office/drawing/2014/main" id="{05F96AC1-E819-ED77-5B86-AC3E01D65D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85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563</xdr:row>
      <xdr:rowOff>760942</xdr:rowOff>
    </xdr:from>
    <xdr:to>
      <xdr:col>0</xdr:col>
      <xdr:colOff>871538</xdr:colOff>
      <xdr:row>564</xdr:row>
      <xdr:rowOff>760942</xdr:rowOff>
    </xdr:to>
    <xdr:pic>
      <xdr:nvPicPr>
        <xdr:cNvPr id="1110" name="Obraz 1109">
          <a:extLst>
            <a:ext uri="{FF2B5EF4-FFF2-40B4-BE49-F238E27FC236}">
              <a16:creationId xmlns:a16="http://schemas.microsoft.com/office/drawing/2014/main" id="{04E7D716-E252-328A-2C72-55F40BD931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93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564</xdr:row>
      <xdr:rowOff>760942</xdr:rowOff>
    </xdr:from>
    <xdr:to>
      <xdr:col>0</xdr:col>
      <xdr:colOff>871538</xdr:colOff>
      <xdr:row>565</xdr:row>
      <xdr:rowOff>760942</xdr:rowOff>
    </xdr:to>
    <xdr:pic>
      <xdr:nvPicPr>
        <xdr:cNvPr id="1112" name="Obraz 1111">
          <a:extLst>
            <a:ext uri="{FF2B5EF4-FFF2-40B4-BE49-F238E27FC236}">
              <a16:creationId xmlns:a16="http://schemas.microsoft.com/office/drawing/2014/main" id="{AD9A9ED1-9E25-956E-B235-C47CB8A53A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00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565</xdr:row>
      <xdr:rowOff>760942</xdr:rowOff>
    </xdr:from>
    <xdr:to>
      <xdr:col>0</xdr:col>
      <xdr:colOff>871538</xdr:colOff>
      <xdr:row>566</xdr:row>
      <xdr:rowOff>760942</xdr:rowOff>
    </xdr:to>
    <xdr:pic>
      <xdr:nvPicPr>
        <xdr:cNvPr id="1114" name="Obraz 1113">
          <a:extLst>
            <a:ext uri="{FF2B5EF4-FFF2-40B4-BE49-F238E27FC236}">
              <a16:creationId xmlns:a16="http://schemas.microsoft.com/office/drawing/2014/main" id="{E7811F34-C3DD-A548-336E-7A65C76A68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08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566</xdr:row>
      <xdr:rowOff>760942</xdr:rowOff>
    </xdr:from>
    <xdr:to>
      <xdr:col>0</xdr:col>
      <xdr:colOff>871538</xdr:colOff>
      <xdr:row>567</xdr:row>
      <xdr:rowOff>760942</xdr:rowOff>
    </xdr:to>
    <xdr:pic>
      <xdr:nvPicPr>
        <xdr:cNvPr id="1116" name="Obraz 1115">
          <a:extLst>
            <a:ext uri="{FF2B5EF4-FFF2-40B4-BE49-F238E27FC236}">
              <a16:creationId xmlns:a16="http://schemas.microsoft.com/office/drawing/2014/main" id="{3EDC26C1-2E8A-80AE-C38A-53A00AFDC1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15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567</xdr:row>
      <xdr:rowOff>760942</xdr:rowOff>
    </xdr:from>
    <xdr:to>
      <xdr:col>0</xdr:col>
      <xdr:colOff>871538</xdr:colOff>
      <xdr:row>568</xdr:row>
      <xdr:rowOff>760942</xdr:rowOff>
    </xdr:to>
    <xdr:pic>
      <xdr:nvPicPr>
        <xdr:cNvPr id="1118" name="Obraz 1117">
          <a:extLst>
            <a:ext uri="{FF2B5EF4-FFF2-40B4-BE49-F238E27FC236}">
              <a16:creationId xmlns:a16="http://schemas.microsoft.com/office/drawing/2014/main" id="{3B5FD7D6-1748-1BBB-1049-D061CC3561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23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568</xdr:row>
      <xdr:rowOff>760942</xdr:rowOff>
    </xdr:from>
    <xdr:to>
      <xdr:col>0</xdr:col>
      <xdr:colOff>871538</xdr:colOff>
      <xdr:row>569</xdr:row>
      <xdr:rowOff>760942</xdr:rowOff>
    </xdr:to>
    <xdr:pic>
      <xdr:nvPicPr>
        <xdr:cNvPr id="1120" name="Obraz 1119">
          <a:extLst>
            <a:ext uri="{FF2B5EF4-FFF2-40B4-BE49-F238E27FC236}">
              <a16:creationId xmlns:a16="http://schemas.microsoft.com/office/drawing/2014/main" id="{79B7E060-9584-686C-8A71-BD9ED0E33B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31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569</xdr:row>
      <xdr:rowOff>760942</xdr:rowOff>
    </xdr:from>
    <xdr:to>
      <xdr:col>0</xdr:col>
      <xdr:colOff>871538</xdr:colOff>
      <xdr:row>570</xdr:row>
      <xdr:rowOff>760942</xdr:rowOff>
    </xdr:to>
    <xdr:pic>
      <xdr:nvPicPr>
        <xdr:cNvPr id="1122" name="Obraz 1121">
          <a:extLst>
            <a:ext uri="{FF2B5EF4-FFF2-40B4-BE49-F238E27FC236}">
              <a16:creationId xmlns:a16="http://schemas.microsoft.com/office/drawing/2014/main" id="{4EECFF52-3E81-5665-6B74-061786276A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38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570</xdr:row>
      <xdr:rowOff>760942</xdr:rowOff>
    </xdr:from>
    <xdr:to>
      <xdr:col>0</xdr:col>
      <xdr:colOff>871538</xdr:colOff>
      <xdr:row>571</xdr:row>
      <xdr:rowOff>760942</xdr:rowOff>
    </xdr:to>
    <xdr:pic>
      <xdr:nvPicPr>
        <xdr:cNvPr id="1124" name="Obraz 1123">
          <a:extLst>
            <a:ext uri="{FF2B5EF4-FFF2-40B4-BE49-F238E27FC236}">
              <a16:creationId xmlns:a16="http://schemas.microsoft.com/office/drawing/2014/main" id="{C224DD40-7394-CE2B-14ED-AEDC4C945B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46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571</xdr:row>
      <xdr:rowOff>760942</xdr:rowOff>
    </xdr:from>
    <xdr:to>
      <xdr:col>0</xdr:col>
      <xdr:colOff>871538</xdr:colOff>
      <xdr:row>572</xdr:row>
      <xdr:rowOff>760942</xdr:rowOff>
    </xdr:to>
    <xdr:pic>
      <xdr:nvPicPr>
        <xdr:cNvPr id="1126" name="Obraz 1125">
          <a:extLst>
            <a:ext uri="{FF2B5EF4-FFF2-40B4-BE49-F238E27FC236}">
              <a16:creationId xmlns:a16="http://schemas.microsoft.com/office/drawing/2014/main" id="{77EFC9F8-AD4D-1123-E971-C1FC00AB65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53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572</xdr:row>
      <xdr:rowOff>760942</xdr:rowOff>
    </xdr:from>
    <xdr:to>
      <xdr:col>0</xdr:col>
      <xdr:colOff>871538</xdr:colOff>
      <xdr:row>573</xdr:row>
      <xdr:rowOff>760942</xdr:rowOff>
    </xdr:to>
    <xdr:pic>
      <xdr:nvPicPr>
        <xdr:cNvPr id="1128" name="Obraz 1127">
          <a:extLst>
            <a:ext uri="{FF2B5EF4-FFF2-40B4-BE49-F238E27FC236}">
              <a16:creationId xmlns:a16="http://schemas.microsoft.com/office/drawing/2014/main" id="{567BFCB6-93C2-B76A-40BC-5D77015965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61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573</xdr:row>
      <xdr:rowOff>760942</xdr:rowOff>
    </xdr:from>
    <xdr:to>
      <xdr:col>0</xdr:col>
      <xdr:colOff>871538</xdr:colOff>
      <xdr:row>574</xdr:row>
      <xdr:rowOff>760942</xdr:rowOff>
    </xdr:to>
    <xdr:pic>
      <xdr:nvPicPr>
        <xdr:cNvPr id="1130" name="Obraz 1129">
          <a:extLst>
            <a:ext uri="{FF2B5EF4-FFF2-40B4-BE49-F238E27FC236}">
              <a16:creationId xmlns:a16="http://schemas.microsoft.com/office/drawing/2014/main" id="{6CE5B2F3-83EA-9EA1-F086-019A3EC1BA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69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574</xdr:row>
      <xdr:rowOff>760942</xdr:rowOff>
    </xdr:from>
    <xdr:to>
      <xdr:col>0</xdr:col>
      <xdr:colOff>871538</xdr:colOff>
      <xdr:row>575</xdr:row>
      <xdr:rowOff>760942</xdr:rowOff>
    </xdr:to>
    <xdr:pic>
      <xdr:nvPicPr>
        <xdr:cNvPr id="1132" name="Obraz 1131">
          <a:extLst>
            <a:ext uri="{FF2B5EF4-FFF2-40B4-BE49-F238E27FC236}">
              <a16:creationId xmlns:a16="http://schemas.microsoft.com/office/drawing/2014/main" id="{15800EEE-EAC1-C70B-748C-B743AE2C41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76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575</xdr:row>
      <xdr:rowOff>760942</xdr:rowOff>
    </xdr:from>
    <xdr:to>
      <xdr:col>0</xdr:col>
      <xdr:colOff>871538</xdr:colOff>
      <xdr:row>576</xdr:row>
      <xdr:rowOff>760942</xdr:rowOff>
    </xdr:to>
    <xdr:pic>
      <xdr:nvPicPr>
        <xdr:cNvPr id="1134" name="Obraz 1133">
          <a:extLst>
            <a:ext uri="{FF2B5EF4-FFF2-40B4-BE49-F238E27FC236}">
              <a16:creationId xmlns:a16="http://schemas.microsoft.com/office/drawing/2014/main" id="{60BDDE5F-2065-E377-F9D9-2851A58F79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84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576</xdr:row>
      <xdr:rowOff>760942</xdr:rowOff>
    </xdr:from>
    <xdr:to>
      <xdr:col>0</xdr:col>
      <xdr:colOff>871538</xdr:colOff>
      <xdr:row>577</xdr:row>
      <xdr:rowOff>760942</xdr:rowOff>
    </xdr:to>
    <xdr:pic>
      <xdr:nvPicPr>
        <xdr:cNvPr id="1136" name="Obraz 1135">
          <a:extLst>
            <a:ext uri="{FF2B5EF4-FFF2-40B4-BE49-F238E27FC236}">
              <a16:creationId xmlns:a16="http://schemas.microsoft.com/office/drawing/2014/main" id="{A0EC4258-350E-FC45-751D-B6D09F4188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92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577</xdr:row>
      <xdr:rowOff>760942</xdr:rowOff>
    </xdr:from>
    <xdr:to>
      <xdr:col>0</xdr:col>
      <xdr:colOff>871538</xdr:colOff>
      <xdr:row>578</xdr:row>
      <xdr:rowOff>760942</xdr:rowOff>
    </xdr:to>
    <xdr:pic>
      <xdr:nvPicPr>
        <xdr:cNvPr id="1138" name="Obraz 1137">
          <a:extLst>
            <a:ext uri="{FF2B5EF4-FFF2-40B4-BE49-F238E27FC236}">
              <a16:creationId xmlns:a16="http://schemas.microsoft.com/office/drawing/2014/main" id="{B1C0E149-F974-DF0B-0331-EAC1EE6FA5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99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578</xdr:row>
      <xdr:rowOff>760942</xdr:rowOff>
    </xdr:from>
    <xdr:to>
      <xdr:col>0</xdr:col>
      <xdr:colOff>871538</xdr:colOff>
      <xdr:row>579</xdr:row>
      <xdr:rowOff>760942</xdr:rowOff>
    </xdr:to>
    <xdr:pic>
      <xdr:nvPicPr>
        <xdr:cNvPr id="1140" name="Obraz 1139">
          <a:extLst>
            <a:ext uri="{FF2B5EF4-FFF2-40B4-BE49-F238E27FC236}">
              <a16:creationId xmlns:a16="http://schemas.microsoft.com/office/drawing/2014/main" id="{72FE217B-969A-4E00-0EDC-A11E5E6903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407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579</xdr:row>
      <xdr:rowOff>760942</xdr:rowOff>
    </xdr:from>
    <xdr:to>
      <xdr:col>0</xdr:col>
      <xdr:colOff>871538</xdr:colOff>
      <xdr:row>580</xdr:row>
      <xdr:rowOff>760942</xdr:rowOff>
    </xdr:to>
    <xdr:pic>
      <xdr:nvPicPr>
        <xdr:cNvPr id="1142" name="Obraz 1141">
          <a:extLst>
            <a:ext uri="{FF2B5EF4-FFF2-40B4-BE49-F238E27FC236}">
              <a16:creationId xmlns:a16="http://schemas.microsoft.com/office/drawing/2014/main" id="{EBFA29F4-89BC-2C52-DBE1-32067BBCDF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414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580</xdr:row>
      <xdr:rowOff>760942</xdr:rowOff>
    </xdr:from>
    <xdr:to>
      <xdr:col>0</xdr:col>
      <xdr:colOff>871538</xdr:colOff>
      <xdr:row>581</xdr:row>
      <xdr:rowOff>760942</xdr:rowOff>
    </xdr:to>
    <xdr:pic>
      <xdr:nvPicPr>
        <xdr:cNvPr id="1144" name="Obraz 1143">
          <a:extLst>
            <a:ext uri="{FF2B5EF4-FFF2-40B4-BE49-F238E27FC236}">
              <a16:creationId xmlns:a16="http://schemas.microsoft.com/office/drawing/2014/main" id="{F4BFFF2C-72EE-3D10-93AD-994870A8E2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422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581</xdr:row>
      <xdr:rowOff>760942</xdr:rowOff>
    </xdr:from>
    <xdr:to>
      <xdr:col>0</xdr:col>
      <xdr:colOff>871538</xdr:colOff>
      <xdr:row>582</xdr:row>
      <xdr:rowOff>760942</xdr:rowOff>
    </xdr:to>
    <xdr:pic>
      <xdr:nvPicPr>
        <xdr:cNvPr id="1146" name="Obraz 1145">
          <a:extLst>
            <a:ext uri="{FF2B5EF4-FFF2-40B4-BE49-F238E27FC236}">
              <a16:creationId xmlns:a16="http://schemas.microsoft.com/office/drawing/2014/main" id="{DB9CDD66-4F16-B5E2-1F48-479BA91FD9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430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582</xdr:row>
      <xdr:rowOff>760942</xdr:rowOff>
    </xdr:from>
    <xdr:to>
      <xdr:col>0</xdr:col>
      <xdr:colOff>871538</xdr:colOff>
      <xdr:row>583</xdr:row>
      <xdr:rowOff>760942</xdr:rowOff>
    </xdr:to>
    <xdr:pic>
      <xdr:nvPicPr>
        <xdr:cNvPr id="1148" name="Obraz 1147">
          <a:extLst>
            <a:ext uri="{FF2B5EF4-FFF2-40B4-BE49-F238E27FC236}">
              <a16:creationId xmlns:a16="http://schemas.microsoft.com/office/drawing/2014/main" id="{8E7FBC4A-EE00-55B5-8393-125A5A14F0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437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583</xdr:row>
      <xdr:rowOff>760942</xdr:rowOff>
    </xdr:from>
    <xdr:to>
      <xdr:col>0</xdr:col>
      <xdr:colOff>871538</xdr:colOff>
      <xdr:row>584</xdr:row>
      <xdr:rowOff>760942</xdr:rowOff>
    </xdr:to>
    <xdr:pic>
      <xdr:nvPicPr>
        <xdr:cNvPr id="1150" name="Obraz 1149">
          <a:extLst>
            <a:ext uri="{FF2B5EF4-FFF2-40B4-BE49-F238E27FC236}">
              <a16:creationId xmlns:a16="http://schemas.microsoft.com/office/drawing/2014/main" id="{D9F9EBD5-46CB-8C0B-BB2B-B65856DC98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445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584</xdr:row>
      <xdr:rowOff>760942</xdr:rowOff>
    </xdr:from>
    <xdr:to>
      <xdr:col>0</xdr:col>
      <xdr:colOff>871538</xdr:colOff>
      <xdr:row>585</xdr:row>
      <xdr:rowOff>760942</xdr:rowOff>
    </xdr:to>
    <xdr:pic>
      <xdr:nvPicPr>
        <xdr:cNvPr id="1152" name="Obraz 1151">
          <a:extLst>
            <a:ext uri="{FF2B5EF4-FFF2-40B4-BE49-F238E27FC236}">
              <a16:creationId xmlns:a16="http://schemas.microsoft.com/office/drawing/2014/main" id="{55AF7692-A2B4-0139-BF5A-729AC5EF06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453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585</xdr:row>
      <xdr:rowOff>760942</xdr:rowOff>
    </xdr:from>
    <xdr:to>
      <xdr:col>0</xdr:col>
      <xdr:colOff>871538</xdr:colOff>
      <xdr:row>586</xdr:row>
      <xdr:rowOff>760942</xdr:rowOff>
    </xdr:to>
    <xdr:pic>
      <xdr:nvPicPr>
        <xdr:cNvPr id="1154" name="Obraz 1153">
          <a:extLst>
            <a:ext uri="{FF2B5EF4-FFF2-40B4-BE49-F238E27FC236}">
              <a16:creationId xmlns:a16="http://schemas.microsoft.com/office/drawing/2014/main" id="{FCAEA8CF-7219-37DC-E432-80BD70F55C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460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586</xdr:row>
      <xdr:rowOff>760942</xdr:rowOff>
    </xdr:from>
    <xdr:to>
      <xdr:col>0</xdr:col>
      <xdr:colOff>871538</xdr:colOff>
      <xdr:row>587</xdr:row>
      <xdr:rowOff>760942</xdr:rowOff>
    </xdr:to>
    <xdr:pic>
      <xdr:nvPicPr>
        <xdr:cNvPr id="1156" name="Obraz 1155">
          <a:extLst>
            <a:ext uri="{FF2B5EF4-FFF2-40B4-BE49-F238E27FC236}">
              <a16:creationId xmlns:a16="http://schemas.microsoft.com/office/drawing/2014/main" id="{8C17D667-0F60-D146-7D10-81A6237F9B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468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587</xdr:row>
      <xdr:rowOff>760942</xdr:rowOff>
    </xdr:from>
    <xdr:to>
      <xdr:col>0</xdr:col>
      <xdr:colOff>871538</xdr:colOff>
      <xdr:row>588</xdr:row>
      <xdr:rowOff>760942</xdr:rowOff>
    </xdr:to>
    <xdr:pic>
      <xdr:nvPicPr>
        <xdr:cNvPr id="1158" name="Obraz 1157">
          <a:extLst>
            <a:ext uri="{FF2B5EF4-FFF2-40B4-BE49-F238E27FC236}">
              <a16:creationId xmlns:a16="http://schemas.microsoft.com/office/drawing/2014/main" id="{3AE9B79E-8FF9-25CA-4A76-0D520C2200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475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588</xdr:row>
      <xdr:rowOff>760942</xdr:rowOff>
    </xdr:from>
    <xdr:to>
      <xdr:col>0</xdr:col>
      <xdr:colOff>871538</xdr:colOff>
      <xdr:row>589</xdr:row>
      <xdr:rowOff>760942</xdr:rowOff>
    </xdr:to>
    <xdr:pic>
      <xdr:nvPicPr>
        <xdr:cNvPr id="1160" name="Obraz 1159">
          <a:extLst>
            <a:ext uri="{FF2B5EF4-FFF2-40B4-BE49-F238E27FC236}">
              <a16:creationId xmlns:a16="http://schemas.microsoft.com/office/drawing/2014/main" id="{8F03AF5D-4EA0-16D6-973E-2A046CA3F8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483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589</xdr:row>
      <xdr:rowOff>760942</xdr:rowOff>
    </xdr:from>
    <xdr:to>
      <xdr:col>0</xdr:col>
      <xdr:colOff>871538</xdr:colOff>
      <xdr:row>590</xdr:row>
      <xdr:rowOff>760942</xdr:rowOff>
    </xdr:to>
    <xdr:pic>
      <xdr:nvPicPr>
        <xdr:cNvPr id="1162" name="Obraz 1161">
          <a:extLst>
            <a:ext uri="{FF2B5EF4-FFF2-40B4-BE49-F238E27FC236}">
              <a16:creationId xmlns:a16="http://schemas.microsoft.com/office/drawing/2014/main" id="{E29664C4-2C53-80F0-F711-447C3356E4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491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590</xdr:row>
      <xdr:rowOff>760942</xdr:rowOff>
    </xdr:from>
    <xdr:to>
      <xdr:col>0</xdr:col>
      <xdr:colOff>871538</xdr:colOff>
      <xdr:row>591</xdr:row>
      <xdr:rowOff>760942</xdr:rowOff>
    </xdr:to>
    <xdr:pic>
      <xdr:nvPicPr>
        <xdr:cNvPr id="1164" name="Obraz 1163">
          <a:extLst>
            <a:ext uri="{FF2B5EF4-FFF2-40B4-BE49-F238E27FC236}">
              <a16:creationId xmlns:a16="http://schemas.microsoft.com/office/drawing/2014/main" id="{42520A41-42DF-BB48-1BA3-6F9AE5D492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498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591</xdr:row>
      <xdr:rowOff>760942</xdr:rowOff>
    </xdr:from>
    <xdr:to>
      <xdr:col>0</xdr:col>
      <xdr:colOff>871538</xdr:colOff>
      <xdr:row>592</xdr:row>
      <xdr:rowOff>760942</xdr:rowOff>
    </xdr:to>
    <xdr:pic>
      <xdr:nvPicPr>
        <xdr:cNvPr id="1166" name="Obraz 1165">
          <a:extLst>
            <a:ext uri="{FF2B5EF4-FFF2-40B4-BE49-F238E27FC236}">
              <a16:creationId xmlns:a16="http://schemas.microsoft.com/office/drawing/2014/main" id="{C224375A-16FA-633D-32E9-9A841A0D3D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506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592</xdr:row>
      <xdr:rowOff>760942</xdr:rowOff>
    </xdr:from>
    <xdr:to>
      <xdr:col>0</xdr:col>
      <xdr:colOff>871538</xdr:colOff>
      <xdr:row>593</xdr:row>
      <xdr:rowOff>760942</xdr:rowOff>
    </xdr:to>
    <xdr:pic>
      <xdr:nvPicPr>
        <xdr:cNvPr id="1168" name="Obraz 1167">
          <a:extLst>
            <a:ext uri="{FF2B5EF4-FFF2-40B4-BE49-F238E27FC236}">
              <a16:creationId xmlns:a16="http://schemas.microsoft.com/office/drawing/2014/main" id="{81CB6578-F6FE-44B6-407C-1D77162FC4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513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593</xdr:row>
      <xdr:rowOff>760942</xdr:rowOff>
    </xdr:from>
    <xdr:to>
      <xdr:col>0</xdr:col>
      <xdr:colOff>871538</xdr:colOff>
      <xdr:row>594</xdr:row>
      <xdr:rowOff>760942</xdr:rowOff>
    </xdr:to>
    <xdr:pic>
      <xdr:nvPicPr>
        <xdr:cNvPr id="1170" name="Obraz 1169">
          <a:extLst>
            <a:ext uri="{FF2B5EF4-FFF2-40B4-BE49-F238E27FC236}">
              <a16:creationId xmlns:a16="http://schemas.microsoft.com/office/drawing/2014/main" id="{22413449-509B-83B1-1C2A-89C5086B69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521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594</xdr:row>
      <xdr:rowOff>760942</xdr:rowOff>
    </xdr:from>
    <xdr:to>
      <xdr:col>0</xdr:col>
      <xdr:colOff>871538</xdr:colOff>
      <xdr:row>595</xdr:row>
      <xdr:rowOff>760942</xdr:rowOff>
    </xdr:to>
    <xdr:pic>
      <xdr:nvPicPr>
        <xdr:cNvPr id="1172" name="Obraz 1171">
          <a:extLst>
            <a:ext uri="{FF2B5EF4-FFF2-40B4-BE49-F238E27FC236}">
              <a16:creationId xmlns:a16="http://schemas.microsoft.com/office/drawing/2014/main" id="{E67587C9-5519-EC43-694F-FE0EC9C312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529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595</xdr:row>
      <xdr:rowOff>760942</xdr:rowOff>
    </xdr:from>
    <xdr:to>
      <xdr:col>0</xdr:col>
      <xdr:colOff>871538</xdr:colOff>
      <xdr:row>596</xdr:row>
      <xdr:rowOff>760942</xdr:rowOff>
    </xdr:to>
    <xdr:pic>
      <xdr:nvPicPr>
        <xdr:cNvPr id="1174" name="Obraz 1173">
          <a:extLst>
            <a:ext uri="{FF2B5EF4-FFF2-40B4-BE49-F238E27FC236}">
              <a16:creationId xmlns:a16="http://schemas.microsoft.com/office/drawing/2014/main" id="{CA26D575-FE9B-FB36-584E-CE81F96351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536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596</xdr:row>
      <xdr:rowOff>760942</xdr:rowOff>
    </xdr:from>
    <xdr:to>
      <xdr:col>0</xdr:col>
      <xdr:colOff>871538</xdr:colOff>
      <xdr:row>597</xdr:row>
      <xdr:rowOff>760942</xdr:rowOff>
    </xdr:to>
    <xdr:pic>
      <xdr:nvPicPr>
        <xdr:cNvPr id="1176" name="Obraz 1175">
          <a:extLst>
            <a:ext uri="{FF2B5EF4-FFF2-40B4-BE49-F238E27FC236}">
              <a16:creationId xmlns:a16="http://schemas.microsoft.com/office/drawing/2014/main" id="{63445885-3EDF-4149-322F-86578CC3AD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544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597</xdr:row>
      <xdr:rowOff>760942</xdr:rowOff>
    </xdr:from>
    <xdr:to>
      <xdr:col>0</xdr:col>
      <xdr:colOff>871538</xdr:colOff>
      <xdr:row>598</xdr:row>
      <xdr:rowOff>760942</xdr:rowOff>
    </xdr:to>
    <xdr:pic>
      <xdr:nvPicPr>
        <xdr:cNvPr id="1178" name="Obraz 1177">
          <a:extLst>
            <a:ext uri="{FF2B5EF4-FFF2-40B4-BE49-F238E27FC236}">
              <a16:creationId xmlns:a16="http://schemas.microsoft.com/office/drawing/2014/main" id="{A4B8E5C7-2AD8-7DD2-EDA1-D84ABDA03A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552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598</xdr:row>
      <xdr:rowOff>760942</xdr:rowOff>
    </xdr:from>
    <xdr:to>
      <xdr:col>0</xdr:col>
      <xdr:colOff>871538</xdr:colOff>
      <xdr:row>599</xdr:row>
      <xdr:rowOff>760942</xdr:rowOff>
    </xdr:to>
    <xdr:pic>
      <xdr:nvPicPr>
        <xdr:cNvPr id="1180" name="Obraz 1179">
          <a:extLst>
            <a:ext uri="{FF2B5EF4-FFF2-40B4-BE49-F238E27FC236}">
              <a16:creationId xmlns:a16="http://schemas.microsoft.com/office/drawing/2014/main" id="{40F369F5-E5D5-95A7-A886-31A971BCEC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559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599</xdr:row>
      <xdr:rowOff>760942</xdr:rowOff>
    </xdr:from>
    <xdr:to>
      <xdr:col>0</xdr:col>
      <xdr:colOff>871538</xdr:colOff>
      <xdr:row>600</xdr:row>
      <xdr:rowOff>760942</xdr:rowOff>
    </xdr:to>
    <xdr:pic>
      <xdr:nvPicPr>
        <xdr:cNvPr id="1182" name="Obraz 1181">
          <a:extLst>
            <a:ext uri="{FF2B5EF4-FFF2-40B4-BE49-F238E27FC236}">
              <a16:creationId xmlns:a16="http://schemas.microsoft.com/office/drawing/2014/main" id="{57EF9DA7-EBB8-A62F-5C7A-F2C57405B1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567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600</xdr:row>
      <xdr:rowOff>760942</xdr:rowOff>
    </xdr:from>
    <xdr:to>
      <xdr:col>0</xdr:col>
      <xdr:colOff>871538</xdr:colOff>
      <xdr:row>601</xdr:row>
      <xdr:rowOff>760942</xdr:rowOff>
    </xdr:to>
    <xdr:pic>
      <xdr:nvPicPr>
        <xdr:cNvPr id="1184" name="Obraz 1183">
          <a:extLst>
            <a:ext uri="{FF2B5EF4-FFF2-40B4-BE49-F238E27FC236}">
              <a16:creationId xmlns:a16="http://schemas.microsoft.com/office/drawing/2014/main" id="{EC80AC77-4826-E3FB-7E0C-0661399301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574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601</xdr:row>
      <xdr:rowOff>760942</xdr:rowOff>
    </xdr:from>
    <xdr:to>
      <xdr:col>0</xdr:col>
      <xdr:colOff>871538</xdr:colOff>
      <xdr:row>602</xdr:row>
      <xdr:rowOff>760942</xdr:rowOff>
    </xdr:to>
    <xdr:pic>
      <xdr:nvPicPr>
        <xdr:cNvPr id="1186" name="Obraz 1185">
          <a:extLst>
            <a:ext uri="{FF2B5EF4-FFF2-40B4-BE49-F238E27FC236}">
              <a16:creationId xmlns:a16="http://schemas.microsoft.com/office/drawing/2014/main" id="{63681CFF-8B8F-6156-4F1D-EB5FF90AAD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582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602</xdr:row>
      <xdr:rowOff>760942</xdr:rowOff>
    </xdr:from>
    <xdr:to>
      <xdr:col>0</xdr:col>
      <xdr:colOff>871538</xdr:colOff>
      <xdr:row>603</xdr:row>
      <xdr:rowOff>760942</xdr:rowOff>
    </xdr:to>
    <xdr:pic>
      <xdr:nvPicPr>
        <xdr:cNvPr id="1188" name="Obraz 1187">
          <a:extLst>
            <a:ext uri="{FF2B5EF4-FFF2-40B4-BE49-F238E27FC236}">
              <a16:creationId xmlns:a16="http://schemas.microsoft.com/office/drawing/2014/main" id="{FA18F65C-89E6-B272-FFCD-EF36D88A98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590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603</xdr:row>
      <xdr:rowOff>760942</xdr:rowOff>
    </xdr:from>
    <xdr:to>
      <xdr:col>0</xdr:col>
      <xdr:colOff>871538</xdr:colOff>
      <xdr:row>604</xdr:row>
      <xdr:rowOff>760942</xdr:rowOff>
    </xdr:to>
    <xdr:pic>
      <xdr:nvPicPr>
        <xdr:cNvPr id="1190" name="Obraz 1189">
          <a:extLst>
            <a:ext uri="{FF2B5EF4-FFF2-40B4-BE49-F238E27FC236}">
              <a16:creationId xmlns:a16="http://schemas.microsoft.com/office/drawing/2014/main" id="{3E04F637-EE62-D382-79B4-884ECFD366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597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604</xdr:row>
      <xdr:rowOff>760942</xdr:rowOff>
    </xdr:from>
    <xdr:to>
      <xdr:col>0</xdr:col>
      <xdr:colOff>871538</xdr:colOff>
      <xdr:row>605</xdr:row>
      <xdr:rowOff>760942</xdr:rowOff>
    </xdr:to>
    <xdr:pic>
      <xdr:nvPicPr>
        <xdr:cNvPr id="1192" name="Obraz 1191">
          <a:extLst>
            <a:ext uri="{FF2B5EF4-FFF2-40B4-BE49-F238E27FC236}">
              <a16:creationId xmlns:a16="http://schemas.microsoft.com/office/drawing/2014/main" id="{18517BC3-4888-0263-38A5-D6CFA20A79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05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605</xdr:row>
      <xdr:rowOff>760942</xdr:rowOff>
    </xdr:from>
    <xdr:to>
      <xdr:col>0</xdr:col>
      <xdr:colOff>871538</xdr:colOff>
      <xdr:row>606</xdr:row>
      <xdr:rowOff>760942</xdr:rowOff>
    </xdr:to>
    <xdr:pic>
      <xdr:nvPicPr>
        <xdr:cNvPr id="1194" name="Obraz 1193">
          <a:extLst>
            <a:ext uri="{FF2B5EF4-FFF2-40B4-BE49-F238E27FC236}">
              <a16:creationId xmlns:a16="http://schemas.microsoft.com/office/drawing/2014/main" id="{19DA2A41-0D48-FC80-BA07-2DFCBE0EEE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13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606</xdr:row>
      <xdr:rowOff>760942</xdr:rowOff>
    </xdr:from>
    <xdr:to>
      <xdr:col>0</xdr:col>
      <xdr:colOff>871538</xdr:colOff>
      <xdr:row>607</xdr:row>
      <xdr:rowOff>760942</xdr:rowOff>
    </xdr:to>
    <xdr:pic>
      <xdr:nvPicPr>
        <xdr:cNvPr id="1196" name="Obraz 1195">
          <a:extLst>
            <a:ext uri="{FF2B5EF4-FFF2-40B4-BE49-F238E27FC236}">
              <a16:creationId xmlns:a16="http://schemas.microsoft.com/office/drawing/2014/main" id="{F0ABB20F-B5CF-E401-0BDC-68908F5962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20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607</xdr:row>
      <xdr:rowOff>760942</xdr:rowOff>
    </xdr:from>
    <xdr:to>
      <xdr:col>0</xdr:col>
      <xdr:colOff>871538</xdr:colOff>
      <xdr:row>608</xdr:row>
      <xdr:rowOff>760942</xdr:rowOff>
    </xdr:to>
    <xdr:pic>
      <xdr:nvPicPr>
        <xdr:cNvPr id="1198" name="Obraz 1197">
          <a:extLst>
            <a:ext uri="{FF2B5EF4-FFF2-40B4-BE49-F238E27FC236}">
              <a16:creationId xmlns:a16="http://schemas.microsoft.com/office/drawing/2014/main" id="{2AECC348-01F2-A719-A6D7-E9B9BC8B71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28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608</xdr:row>
      <xdr:rowOff>760942</xdr:rowOff>
    </xdr:from>
    <xdr:to>
      <xdr:col>0</xdr:col>
      <xdr:colOff>871538</xdr:colOff>
      <xdr:row>609</xdr:row>
      <xdr:rowOff>760942</xdr:rowOff>
    </xdr:to>
    <xdr:pic>
      <xdr:nvPicPr>
        <xdr:cNvPr id="1200" name="Obraz 1199">
          <a:extLst>
            <a:ext uri="{FF2B5EF4-FFF2-40B4-BE49-F238E27FC236}">
              <a16:creationId xmlns:a16="http://schemas.microsoft.com/office/drawing/2014/main" id="{123510EA-7BC6-E181-D223-186F00AE31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35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609</xdr:row>
      <xdr:rowOff>760942</xdr:rowOff>
    </xdr:from>
    <xdr:to>
      <xdr:col>0</xdr:col>
      <xdr:colOff>871538</xdr:colOff>
      <xdr:row>610</xdr:row>
      <xdr:rowOff>760942</xdr:rowOff>
    </xdr:to>
    <xdr:pic>
      <xdr:nvPicPr>
        <xdr:cNvPr id="1202" name="Obraz 1201">
          <a:extLst>
            <a:ext uri="{FF2B5EF4-FFF2-40B4-BE49-F238E27FC236}">
              <a16:creationId xmlns:a16="http://schemas.microsoft.com/office/drawing/2014/main" id="{3C3CDED6-A116-76A4-D76A-DE7BA830F9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43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610</xdr:row>
      <xdr:rowOff>760942</xdr:rowOff>
    </xdr:from>
    <xdr:to>
      <xdr:col>0</xdr:col>
      <xdr:colOff>871538</xdr:colOff>
      <xdr:row>611</xdr:row>
      <xdr:rowOff>760942</xdr:rowOff>
    </xdr:to>
    <xdr:pic>
      <xdr:nvPicPr>
        <xdr:cNvPr id="1204" name="Obraz 1203">
          <a:extLst>
            <a:ext uri="{FF2B5EF4-FFF2-40B4-BE49-F238E27FC236}">
              <a16:creationId xmlns:a16="http://schemas.microsoft.com/office/drawing/2014/main" id="{9B4E3547-96B5-95B5-67A1-E1E3302302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51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611</xdr:row>
      <xdr:rowOff>760942</xdr:rowOff>
    </xdr:from>
    <xdr:to>
      <xdr:col>0</xdr:col>
      <xdr:colOff>871538</xdr:colOff>
      <xdr:row>612</xdr:row>
      <xdr:rowOff>760942</xdr:rowOff>
    </xdr:to>
    <xdr:pic>
      <xdr:nvPicPr>
        <xdr:cNvPr id="1206" name="Obraz 1205">
          <a:extLst>
            <a:ext uri="{FF2B5EF4-FFF2-40B4-BE49-F238E27FC236}">
              <a16:creationId xmlns:a16="http://schemas.microsoft.com/office/drawing/2014/main" id="{7C573988-F724-6C67-0AB8-D12F9F49DC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58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612</xdr:row>
      <xdr:rowOff>760942</xdr:rowOff>
    </xdr:from>
    <xdr:to>
      <xdr:col>0</xdr:col>
      <xdr:colOff>871538</xdr:colOff>
      <xdr:row>613</xdr:row>
      <xdr:rowOff>760942</xdr:rowOff>
    </xdr:to>
    <xdr:pic>
      <xdr:nvPicPr>
        <xdr:cNvPr id="1208" name="Obraz 1207">
          <a:extLst>
            <a:ext uri="{FF2B5EF4-FFF2-40B4-BE49-F238E27FC236}">
              <a16:creationId xmlns:a16="http://schemas.microsoft.com/office/drawing/2014/main" id="{99B630AA-40DB-BF9A-DC27-94928AE031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66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613</xdr:row>
      <xdr:rowOff>760942</xdr:rowOff>
    </xdr:from>
    <xdr:to>
      <xdr:col>0</xdr:col>
      <xdr:colOff>871538</xdr:colOff>
      <xdr:row>614</xdr:row>
      <xdr:rowOff>760942</xdr:rowOff>
    </xdr:to>
    <xdr:pic>
      <xdr:nvPicPr>
        <xdr:cNvPr id="1210" name="Obraz 1209">
          <a:extLst>
            <a:ext uri="{FF2B5EF4-FFF2-40B4-BE49-F238E27FC236}">
              <a16:creationId xmlns:a16="http://schemas.microsoft.com/office/drawing/2014/main" id="{3EB02197-0CC2-4DC7-8AA1-1634503DE8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74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614</xdr:row>
      <xdr:rowOff>760942</xdr:rowOff>
    </xdr:from>
    <xdr:to>
      <xdr:col>0</xdr:col>
      <xdr:colOff>871538</xdr:colOff>
      <xdr:row>615</xdr:row>
      <xdr:rowOff>760942</xdr:rowOff>
    </xdr:to>
    <xdr:pic>
      <xdr:nvPicPr>
        <xdr:cNvPr id="1212" name="Obraz 1211">
          <a:extLst>
            <a:ext uri="{FF2B5EF4-FFF2-40B4-BE49-F238E27FC236}">
              <a16:creationId xmlns:a16="http://schemas.microsoft.com/office/drawing/2014/main" id="{9467CF95-32EE-F7A2-888F-6E47D0A145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81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615</xdr:row>
      <xdr:rowOff>760942</xdr:rowOff>
    </xdr:from>
    <xdr:to>
      <xdr:col>0</xdr:col>
      <xdr:colOff>871538</xdr:colOff>
      <xdr:row>616</xdr:row>
      <xdr:rowOff>760942</xdr:rowOff>
    </xdr:to>
    <xdr:pic>
      <xdr:nvPicPr>
        <xdr:cNvPr id="1214" name="Obraz 1213">
          <a:extLst>
            <a:ext uri="{FF2B5EF4-FFF2-40B4-BE49-F238E27FC236}">
              <a16:creationId xmlns:a16="http://schemas.microsoft.com/office/drawing/2014/main" id="{B9CBBBF3-A304-3840-8E57-03BA97B9EE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89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616</xdr:row>
      <xdr:rowOff>760942</xdr:rowOff>
    </xdr:from>
    <xdr:to>
      <xdr:col>0</xdr:col>
      <xdr:colOff>871538</xdr:colOff>
      <xdr:row>617</xdr:row>
      <xdr:rowOff>760942</xdr:rowOff>
    </xdr:to>
    <xdr:pic>
      <xdr:nvPicPr>
        <xdr:cNvPr id="1216" name="Obraz 1215">
          <a:extLst>
            <a:ext uri="{FF2B5EF4-FFF2-40B4-BE49-F238E27FC236}">
              <a16:creationId xmlns:a16="http://schemas.microsoft.com/office/drawing/2014/main" id="{EE2D385A-411E-A479-E276-8DD6834BBC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96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617</xdr:row>
      <xdr:rowOff>760942</xdr:rowOff>
    </xdr:from>
    <xdr:to>
      <xdr:col>0</xdr:col>
      <xdr:colOff>871538</xdr:colOff>
      <xdr:row>618</xdr:row>
      <xdr:rowOff>760942</xdr:rowOff>
    </xdr:to>
    <xdr:pic>
      <xdr:nvPicPr>
        <xdr:cNvPr id="1218" name="Obraz 1217">
          <a:extLst>
            <a:ext uri="{FF2B5EF4-FFF2-40B4-BE49-F238E27FC236}">
              <a16:creationId xmlns:a16="http://schemas.microsoft.com/office/drawing/2014/main" id="{AF385AC1-9976-0D5C-E412-BEF0F81216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704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618</xdr:row>
      <xdr:rowOff>760942</xdr:rowOff>
    </xdr:from>
    <xdr:to>
      <xdr:col>0</xdr:col>
      <xdr:colOff>871538</xdr:colOff>
      <xdr:row>619</xdr:row>
      <xdr:rowOff>760942</xdr:rowOff>
    </xdr:to>
    <xdr:pic>
      <xdr:nvPicPr>
        <xdr:cNvPr id="1220" name="Obraz 1219">
          <a:extLst>
            <a:ext uri="{FF2B5EF4-FFF2-40B4-BE49-F238E27FC236}">
              <a16:creationId xmlns:a16="http://schemas.microsoft.com/office/drawing/2014/main" id="{1560792B-F749-B1BF-76C3-B349E18F11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712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619</xdr:row>
      <xdr:rowOff>760942</xdr:rowOff>
    </xdr:from>
    <xdr:to>
      <xdr:col>0</xdr:col>
      <xdr:colOff>871538</xdr:colOff>
      <xdr:row>620</xdr:row>
      <xdr:rowOff>760942</xdr:rowOff>
    </xdr:to>
    <xdr:pic>
      <xdr:nvPicPr>
        <xdr:cNvPr id="1222" name="Obraz 1221">
          <a:extLst>
            <a:ext uri="{FF2B5EF4-FFF2-40B4-BE49-F238E27FC236}">
              <a16:creationId xmlns:a16="http://schemas.microsoft.com/office/drawing/2014/main" id="{8AEDB7D0-0155-ACE2-4A99-854DC06502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719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620</xdr:row>
      <xdr:rowOff>760942</xdr:rowOff>
    </xdr:from>
    <xdr:to>
      <xdr:col>0</xdr:col>
      <xdr:colOff>871538</xdr:colOff>
      <xdr:row>621</xdr:row>
      <xdr:rowOff>760942</xdr:rowOff>
    </xdr:to>
    <xdr:pic>
      <xdr:nvPicPr>
        <xdr:cNvPr id="1224" name="Obraz 1223">
          <a:extLst>
            <a:ext uri="{FF2B5EF4-FFF2-40B4-BE49-F238E27FC236}">
              <a16:creationId xmlns:a16="http://schemas.microsoft.com/office/drawing/2014/main" id="{457B1DDD-37FE-890A-09F0-1052933E42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727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621</xdr:row>
      <xdr:rowOff>760942</xdr:rowOff>
    </xdr:from>
    <xdr:to>
      <xdr:col>0</xdr:col>
      <xdr:colOff>871538</xdr:colOff>
      <xdr:row>622</xdr:row>
      <xdr:rowOff>760942</xdr:rowOff>
    </xdr:to>
    <xdr:pic>
      <xdr:nvPicPr>
        <xdr:cNvPr id="1226" name="Obraz 1225">
          <a:extLst>
            <a:ext uri="{FF2B5EF4-FFF2-40B4-BE49-F238E27FC236}">
              <a16:creationId xmlns:a16="http://schemas.microsoft.com/office/drawing/2014/main" id="{C3C80980-9957-1948-FA3E-AEF43D724E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734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622</xdr:row>
      <xdr:rowOff>760942</xdr:rowOff>
    </xdr:from>
    <xdr:to>
      <xdr:col>0</xdr:col>
      <xdr:colOff>871538</xdr:colOff>
      <xdr:row>623</xdr:row>
      <xdr:rowOff>760942</xdr:rowOff>
    </xdr:to>
    <xdr:pic>
      <xdr:nvPicPr>
        <xdr:cNvPr id="1228" name="Obraz 1227">
          <a:extLst>
            <a:ext uri="{FF2B5EF4-FFF2-40B4-BE49-F238E27FC236}">
              <a16:creationId xmlns:a16="http://schemas.microsoft.com/office/drawing/2014/main" id="{4B0BBAE6-7A3E-D1DE-B3A7-6799AEE2C1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742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623</xdr:row>
      <xdr:rowOff>760942</xdr:rowOff>
    </xdr:from>
    <xdr:to>
      <xdr:col>0</xdr:col>
      <xdr:colOff>871538</xdr:colOff>
      <xdr:row>624</xdr:row>
      <xdr:rowOff>760942</xdr:rowOff>
    </xdr:to>
    <xdr:pic>
      <xdr:nvPicPr>
        <xdr:cNvPr id="1230" name="Obraz 1229">
          <a:extLst>
            <a:ext uri="{FF2B5EF4-FFF2-40B4-BE49-F238E27FC236}">
              <a16:creationId xmlns:a16="http://schemas.microsoft.com/office/drawing/2014/main" id="{AF757CA4-481D-1ECF-7989-DBAA650E9E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750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624</xdr:row>
      <xdr:rowOff>760942</xdr:rowOff>
    </xdr:from>
    <xdr:to>
      <xdr:col>0</xdr:col>
      <xdr:colOff>871538</xdr:colOff>
      <xdr:row>625</xdr:row>
      <xdr:rowOff>760942</xdr:rowOff>
    </xdr:to>
    <xdr:pic>
      <xdr:nvPicPr>
        <xdr:cNvPr id="1232" name="Obraz 1231">
          <a:extLst>
            <a:ext uri="{FF2B5EF4-FFF2-40B4-BE49-F238E27FC236}">
              <a16:creationId xmlns:a16="http://schemas.microsoft.com/office/drawing/2014/main" id="{375ECA52-D686-4C5C-0271-2A00CA7022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757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625</xdr:row>
      <xdr:rowOff>760942</xdr:rowOff>
    </xdr:from>
    <xdr:to>
      <xdr:col>0</xdr:col>
      <xdr:colOff>871538</xdr:colOff>
      <xdr:row>626</xdr:row>
      <xdr:rowOff>760942</xdr:rowOff>
    </xdr:to>
    <xdr:pic>
      <xdr:nvPicPr>
        <xdr:cNvPr id="1234" name="Obraz 1233">
          <a:extLst>
            <a:ext uri="{FF2B5EF4-FFF2-40B4-BE49-F238E27FC236}">
              <a16:creationId xmlns:a16="http://schemas.microsoft.com/office/drawing/2014/main" id="{06D0D768-97C3-BB0A-67E8-4D6A913674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765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626</xdr:row>
      <xdr:rowOff>760942</xdr:rowOff>
    </xdr:from>
    <xdr:to>
      <xdr:col>0</xdr:col>
      <xdr:colOff>871538</xdr:colOff>
      <xdr:row>627</xdr:row>
      <xdr:rowOff>760942</xdr:rowOff>
    </xdr:to>
    <xdr:pic>
      <xdr:nvPicPr>
        <xdr:cNvPr id="1236" name="Obraz 1235">
          <a:extLst>
            <a:ext uri="{FF2B5EF4-FFF2-40B4-BE49-F238E27FC236}">
              <a16:creationId xmlns:a16="http://schemas.microsoft.com/office/drawing/2014/main" id="{98ED13D4-D9FC-FF25-ED87-CE3A4D556D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773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627</xdr:row>
      <xdr:rowOff>760942</xdr:rowOff>
    </xdr:from>
    <xdr:to>
      <xdr:col>0</xdr:col>
      <xdr:colOff>871538</xdr:colOff>
      <xdr:row>628</xdr:row>
      <xdr:rowOff>760942</xdr:rowOff>
    </xdr:to>
    <xdr:pic>
      <xdr:nvPicPr>
        <xdr:cNvPr id="1238" name="Obraz 1237">
          <a:extLst>
            <a:ext uri="{FF2B5EF4-FFF2-40B4-BE49-F238E27FC236}">
              <a16:creationId xmlns:a16="http://schemas.microsoft.com/office/drawing/2014/main" id="{559D4060-E069-2FFD-4D2C-E98EFD93F1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780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628</xdr:row>
      <xdr:rowOff>760942</xdr:rowOff>
    </xdr:from>
    <xdr:to>
      <xdr:col>0</xdr:col>
      <xdr:colOff>871538</xdr:colOff>
      <xdr:row>629</xdr:row>
      <xdr:rowOff>760942</xdr:rowOff>
    </xdr:to>
    <xdr:pic>
      <xdr:nvPicPr>
        <xdr:cNvPr id="1240" name="Obraz 1239">
          <a:extLst>
            <a:ext uri="{FF2B5EF4-FFF2-40B4-BE49-F238E27FC236}">
              <a16:creationId xmlns:a16="http://schemas.microsoft.com/office/drawing/2014/main" id="{4954402A-9216-826C-FBD4-769409DE9C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788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629</xdr:row>
      <xdr:rowOff>760942</xdr:rowOff>
    </xdr:from>
    <xdr:to>
      <xdr:col>0</xdr:col>
      <xdr:colOff>871538</xdr:colOff>
      <xdr:row>630</xdr:row>
      <xdr:rowOff>760942</xdr:rowOff>
    </xdr:to>
    <xdr:pic>
      <xdr:nvPicPr>
        <xdr:cNvPr id="1242" name="Obraz 1241">
          <a:extLst>
            <a:ext uri="{FF2B5EF4-FFF2-40B4-BE49-F238E27FC236}">
              <a16:creationId xmlns:a16="http://schemas.microsoft.com/office/drawing/2014/main" id="{59E4A7FE-7DFD-271F-69F4-766924D993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795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630</xdr:row>
      <xdr:rowOff>760942</xdr:rowOff>
    </xdr:from>
    <xdr:to>
      <xdr:col>0</xdr:col>
      <xdr:colOff>871538</xdr:colOff>
      <xdr:row>631</xdr:row>
      <xdr:rowOff>760942</xdr:rowOff>
    </xdr:to>
    <xdr:pic>
      <xdr:nvPicPr>
        <xdr:cNvPr id="1244" name="Obraz 1243">
          <a:extLst>
            <a:ext uri="{FF2B5EF4-FFF2-40B4-BE49-F238E27FC236}">
              <a16:creationId xmlns:a16="http://schemas.microsoft.com/office/drawing/2014/main" id="{279C66D8-6E0C-9933-E1E0-89FD30FE29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03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631</xdr:row>
      <xdr:rowOff>760942</xdr:rowOff>
    </xdr:from>
    <xdr:to>
      <xdr:col>0</xdr:col>
      <xdr:colOff>871538</xdr:colOff>
      <xdr:row>632</xdr:row>
      <xdr:rowOff>760942</xdr:rowOff>
    </xdr:to>
    <xdr:pic>
      <xdr:nvPicPr>
        <xdr:cNvPr id="1246" name="Obraz 1245">
          <a:extLst>
            <a:ext uri="{FF2B5EF4-FFF2-40B4-BE49-F238E27FC236}">
              <a16:creationId xmlns:a16="http://schemas.microsoft.com/office/drawing/2014/main" id="{71F64F65-053D-7DDB-2235-C2D2FEFC2F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11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632</xdr:row>
      <xdr:rowOff>760942</xdr:rowOff>
    </xdr:from>
    <xdr:to>
      <xdr:col>0</xdr:col>
      <xdr:colOff>871538</xdr:colOff>
      <xdr:row>633</xdr:row>
      <xdr:rowOff>760942</xdr:rowOff>
    </xdr:to>
    <xdr:pic>
      <xdr:nvPicPr>
        <xdr:cNvPr id="1248" name="Obraz 1247">
          <a:extLst>
            <a:ext uri="{FF2B5EF4-FFF2-40B4-BE49-F238E27FC236}">
              <a16:creationId xmlns:a16="http://schemas.microsoft.com/office/drawing/2014/main" id="{210FA427-A927-2DFC-55E8-B48BBB2193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18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633</xdr:row>
      <xdr:rowOff>760942</xdr:rowOff>
    </xdr:from>
    <xdr:to>
      <xdr:col>0</xdr:col>
      <xdr:colOff>871538</xdr:colOff>
      <xdr:row>634</xdr:row>
      <xdr:rowOff>760942</xdr:rowOff>
    </xdr:to>
    <xdr:pic>
      <xdr:nvPicPr>
        <xdr:cNvPr id="1250" name="Obraz 1249">
          <a:extLst>
            <a:ext uri="{FF2B5EF4-FFF2-40B4-BE49-F238E27FC236}">
              <a16:creationId xmlns:a16="http://schemas.microsoft.com/office/drawing/2014/main" id="{206DFCD2-D609-05E2-D485-4A5C78DE30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26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634</xdr:row>
      <xdr:rowOff>760942</xdr:rowOff>
    </xdr:from>
    <xdr:to>
      <xdr:col>0</xdr:col>
      <xdr:colOff>871538</xdr:colOff>
      <xdr:row>635</xdr:row>
      <xdr:rowOff>760942</xdr:rowOff>
    </xdr:to>
    <xdr:pic>
      <xdr:nvPicPr>
        <xdr:cNvPr id="1252" name="Obraz 1251">
          <a:extLst>
            <a:ext uri="{FF2B5EF4-FFF2-40B4-BE49-F238E27FC236}">
              <a16:creationId xmlns:a16="http://schemas.microsoft.com/office/drawing/2014/main" id="{8CFCEF6F-A574-7414-24FF-9E15B1F0A4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34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635</xdr:row>
      <xdr:rowOff>760942</xdr:rowOff>
    </xdr:from>
    <xdr:to>
      <xdr:col>0</xdr:col>
      <xdr:colOff>871538</xdr:colOff>
      <xdr:row>636</xdr:row>
      <xdr:rowOff>760942</xdr:rowOff>
    </xdr:to>
    <xdr:pic>
      <xdr:nvPicPr>
        <xdr:cNvPr id="1254" name="Obraz 1253">
          <a:extLst>
            <a:ext uri="{FF2B5EF4-FFF2-40B4-BE49-F238E27FC236}">
              <a16:creationId xmlns:a16="http://schemas.microsoft.com/office/drawing/2014/main" id="{78569427-99DA-F5AA-0310-7CC69FEE0B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41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636</xdr:row>
      <xdr:rowOff>760942</xdr:rowOff>
    </xdr:from>
    <xdr:to>
      <xdr:col>0</xdr:col>
      <xdr:colOff>871538</xdr:colOff>
      <xdr:row>637</xdr:row>
      <xdr:rowOff>760942</xdr:rowOff>
    </xdr:to>
    <xdr:pic>
      <xdr:nvPicPr>
        <xdr:cNvPr id="1256" name="Obraz 1255">
          <a:extLst>
            <a:ext uri="{FF2B5EF4-FFF2-40B4-BE49-F238E27FC236}">
              <a16:creationId xmlns:a16="http://schemas.microsoft.com/office/drawing/2014/main" id="{84ABAF0F-E30D-6D51-D658-F573011B83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49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637</xdr:row>
      <xdr:rowOff>760942</xdr:rowOff>
    </xdr:from>
    <xdr:to>
      <xdr:col>0</xdr:col>
      <xdr:colOff>871538</xdr:colOff>
      <xdr:row>638</xdr:row>
      <xdr:rowOff>760942</xdr:rowOff>
    </xdr:to>
    <xdr:pic>
      <xdr:nvPicPr>
        <xdr:cNvPr id="1258" name="Obraz 1257">
          <a:extLst>
            <a:ext uri="{FF2B5EF4-FFF2-40B4-BE49-F238E27FC236}">
              <a16:creationId xmlns:a16="http://schemas.microsoft.com/office/drawing/2014/main" id="{20FE41A1-5ABC-F254-A30C-F7C45ABC78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56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638</xdr:row>
      <xdr:rowOff>760942</xdr:rowOff>
    </xdr:from>
    <xdr:to>
      <xdr:col>0</xdr:col>
      <xdr:colOff>871538</xdr:colOff>
      <xdr:row>639</xdr:row>
      <xdr:rowOff>760942</xdr:rowOff>
    </xdr:to>
    <xdr:pic>
      <xdr:nvPicPr>
        <xdr:cNvPr id="1260" name="Obraz 1259">
          <a:extLst>
            <a:ext uri="{FF2B5EF4-FFF2-40B4-BE49-F238E27FC236}">
              <a16:creationId xmlns:a16="http://schemas.microsoft.com/office/drawing/2014/main" id="{C6989668-7422-4991-5A40-4E319A062D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64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639</xdr:row>
      <xdr:rowOff>760942</xdr:rowOff>
    </xdr:from>
    <xdr:to>
      <xdr:col>0</xdr:col>
      <xdr:colOff>871538</xdr:colOff>
      <xdr:row>640</xdr:row>
      <xdr:rowOff>760942</xdr:rowOff>
    </xdr:to>
    <xdr:pic>
      <xdr:nvPicPr>
        <xdr:cNvPr id="1262" name="Obraz 1261">
          <a:extLst>
            <a:ext uri="{FF2B5EF4-FFF2-40B4-BE49-F238E27FC236}">
              <a16:creationId xmlns:a16="http://schemas.microsoft.com/office/drawing/2014/main" id="{90E3728D-12A8-8E71-6A03-7AAE803D93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72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640</xdr:row>
      <xdr:rowOff>760942</xdr:rowOff>
    </xdr:from>
    <xdr:to>
      <xdr:col>0</xdr:col>
      <xdr:colOff>871538</xdr:colOff>
      <xdr:row>641</xdr:row>
      <xdr:rowOff>760942</xdr:rowOff>
    </xdr:to>
    <xdr:pic>
      <xdr:nvPicPr>
        <xdr:cNvPr id="1264" name="Obraz 1263">
          <a:extLst>
            <a:ext uri="{FF2B5EF4-FFF2-40B4-BE49-F238E27FC236}">
              <a16:creationId xmlns:a16="http://schemas.microsoft.com/office/drawing/2014/main" id="{BEAA38FE-8293-41C6-81C4-A426FEAA53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79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641</xdr:row>
      <xdr:rowOff>760942</xdr:rowOff>
    </xdr:from>
    <xdr:to>
      <xdr:col>0</xdr:col>
      <xdr:colOff>871538</xdr:colOff>
      <xdr:row>642</xdr:row>
      <xdr:rowOff>760942</xdr:rowOff>
    </xdr:to>
    <xdr:pic>
      <xdr:nvPicPr>
        <xdr:cNvPr id="1266" name="Obraz 1265">
          <a:extLst>
            <a:ext uri="{FF2B5EF4-FFF2-40B4-BE49-F238E27FC236}">
              <a16:creationId xmlns:a16="http://schemas.microsoft.com/office/drawing/2014/main" id="{316934D9-40FF-AB64-F188-8ADDA66967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87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642</xdr:row>
      <xdr:rowOff>760942</xdr:rowOff>
    </xdr:from>
    <xdr:to>
      <xdr:col>0</xdr:col>
      <xdr:colOff>871538</xdr:colOff>
      <xdr:row>643</xdr:row>
      <xdr:rowOff>760942</xdr:rowOff>
    </xdr:to>
    <xdr:pic>
      <xdr:nvPicPr>
        <xdr:cNvPr id="1268" name="Obraz 1267">
          <a:extLst>
            <a:ext uri="{FF2B5EF4-FFF2-40B4-BE49-F238E27FC236}">
              <a16:creationId xmlns:a16="http://schemas.microsoft.com/office/drawing/2014/main" id="{4A7E40B6-F0C3-63DB-5766-97EA89A453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94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643</xdr:row>
      <xdr:rowOff>760942</xdr:rowOff>
    </xdr:from>
    <xdr:to>
      <xdr:col>0</xdr:col>
      <xdr:colOff>871538</xdr:colOff>
      <xdr:row>644</xdr:row>
      <xdr:rowOff>760942</xdr:rowOff>
    </xdr:to>
    <xdr:pic>
      <xdr:nvPicPr>
        <xdr:cNvPr id="1270" name="Obraz 1269">
          <a:extLst>
            <a:ext uri="{FF2B5EF4-FFF2-40B4-BE49-F238E27FC236}">
              <a16:creationId xmlns:a16="http://schemas.microsoft.com/office/drawing/2014/main" id="{C99281E3-935F-0B73-36AF-8C4C38E86A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02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644</xdr:row>
      <xdr:rowOff>760942</xdr:rowOff>
    </xdr:from>
    <xdr:to>
      <xdr:col>0</xdr:col>
      <xdr:colOff>871538</xdr:colOff>
      <xdr:row>645</xdr:row>
      <xdr:rowOff>760942</xdr:rowOff>
    </xdr:to>
    <xdr:pic>
      <xdr:nvPicPr>
        <xdr:cNvPr id="1272" name="Obraz 1271">
          <a:extLst>
            <a:ext uri="{FF2B5EF4-FFF2-40B4-BE49-F238E27FC236}">
              <a16:creationId xmlns:a16="http://schemas.microsoft.com/office/drawing/2014/main" id="{A28A0ABF-BCC8-0A52-5681-7572602BC2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10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645</xdr:row>
      <xdr:rowOff>760942</xdr:rowOff>
    </xdr:from>
    <xdr:to>
      <xdr:col>0</xdr:col>
      <xdr:colOff>871538</xdr:colOff>
      <xdr:row>646</xdr:row>
      <xdr:rowOff>760942</xdr:rowOff>
    </xdr:to>
    <xdr:pic>
      <xdr:nvPicPr>
        <xdr:cNvPr id="1274" name="Obraz 1273">
          <a:extLst>
            <a:ext uri="{FF2B5EF4-FFF2-40B4-BE49-F238E27FC236}">
              <a16:creationId xmlns:a16="http://schemas.microsoft.com/office/drawing/2014/main" id="{E34262F2-D635-CBBA-5469-AB35755AF2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17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646</xdr:row>
      <xdr:rowOff>760942</xdr:rowOff>
    </xdr:from>
    <xdr:to>
      <xdr:col>0</xdr:col>
      <xdr:colOff>871538</xdr:colOff>
      <xdr:row>647</xdr:row>
      <xdr:rowOff>760942</xdr:rowOff>
    </xdr:to>
    <xdr:pic>
      <xdr:nvPicPr>
        <xdr:cNvPr id="1276" name="Obraz 1275">
          <a:extLst>
            <a:ext uri="{FF2B5EF4-FFF2-40B4-BE49-F238E27FC236}">
              <a16:creationId xmlns:a16="http://schemas.microsoft.com/office/drawing/2014/main" id="{EE497444-E73D-23D5-E1A5-8C7546A14B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25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647</xdr:row>
      <xdr:rowOff>760942</xdr:rowOff>
    </xdr:from>
    <xdr:to>
      <xdr:col>0</xdr:col>
      <xdr:colOff>871538</xdr:colOff>
      <xdr:row>648</xdr:row>
      <xdr:rowOff>760942</xdr:rowOff>
    </xdr:to>
    <xdr:pic>
      <xdr:nvPicPr>
        <xdr:cNvPr id="1278" name="Obraz 1277">
          <a:extLst>
            <a:ext uri="{FF2B5EF4-FFF2-40B4-BE49-F238E27FC236}">
              <a16:creationId xmlns:a16="http://schemas.microsoft.com/office/drawing/2014/main" id="{D7E73482-BB0B-5FC8-334F-9E3B39E72C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33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648</xdr:row>
      <xdr:rowOff>760942</xdr:rowOff>
    </xdr:from>
    <xdr:to>
      <xdr:col>0</xdr:col>
      <xdr:colOff>871538</xdr:colOff>
      <xdr:row>649</xdr:row>
      <xdr:rowOff>760942</xdr:rowOff>
    </xdr:to>
    <xdr:pic>
      <xdr:nvPicPr>
        <xdr:cNvPr id="1280" name="Obraz 1279">
          <a:extLst>
            <a:ext uri="{FF2B5EF4-FFF2-40B4-BE49-F238E27FC236}">
              <a16:creationId xmlns:a16="http://schemas.microsoft.com/office/drawing/2014/main" id="{EF7C9276-AEDB-C591-FF83-2F1BFF5033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40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649</xdr:row>
      <xdr:rowOff>760942</xdr:rowOff>
    </xdr:from>
    <xdr:to>
      <xdr:col>0</xdr:col>
      <xdr:colOff>871538</xdr:colOff>
      <xdr:row>650</xdr:row>
      <xdr:rowOff>760942</xdr:rowOff>
    </xdr:to>
    <xdr:pic>
      <xdr:nvPicPr>
        <xdr:cNvPr id="1282" name="Obraz 1281">
          <a:extLst>
            <a:ext uri="{FF2B5EF4-FFF2-40B4-BE49-F238E27FC236}">
              <a16:creationId xmlns:a16="http://schemas.microsoft.com/office/drawing/2014/main" id="{7E3F02FC-673B-632A-9E17-7FB6070744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48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650</xdr:row>
      <xdr:rowOff>760942</xdr:rowOff>
    </xdr:from>
    <xdr:to>
      <xdr:col>0</xdr:col>
      <xdr:colOff>871538</xdr:colOff>
      <xdr:row>651</xdr:row>
      <xdr:rowOff>760942</xdr:rowOff>
    </xdr:to>
    <xdr:pic>
      <xdr:nvPicPr>
        <xdr:cNvPr id="1284" name="Obraz 1283">
          <a:extLst>
            <a:ext uri="{FF2B5EF4-FFF2-40B4-BE49-F238E27FC236}">
              <a16:creationId xmlns:a16="http://schemas.microsoft.com/office/drawing/2014/main" id="{FE6FBFCC-EEC5-0C00-6DDC-9428AB1534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55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651</xdr:row>
      <xdr:rowOff>760942</xdr:rowOff>
    </xdr:from>
    <xdr:to>
      <xdr:col>0</xdr:col>
      <xdr:colOff>871538</xdr:colOff>
      <xdr:row>652</xdr:row>
      <xdr:rowOff>760942</xdr:rowOff>
    </xdr:to>
    <xdr:pic>
      <xdr:nvPicPr>
        <xdr:cNvPr id="1286" name="Obraz 1285">
          <a:extLst>
            <a:ext uri="{FF2B5EF4-FFF2-40B4-BE49-F238E27FC236}">
              <a16:creationId xmlns:a16="http://schemas.microsoft.com/office/drawing/2014/main" id="{911F7FA3-C98C-E5C1-D65A-FB14778A3A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63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652</xdr:row>
      <xdr:rowOff>760942</xdr:rowOff>
    </xdr:from>
    <xdr:to>
      <xdr:col>0</xdr:col>
      <xdr:colOff>871538</xdr:colOff>
      <xdr:row>653</xdr:row>
      <xdr:rowOff>760942</xdr:rowOff>
    </xdr:to>
    <xdr:pic>
      <xdr:nvPicPr>
        <xdr:cNvPr id="1288" name="Obraz 1287">
          <a:extLst>
            <a:ext uri="{FF2B5EF4-FFF2-40B4-BE49-F238E27FC236}">
              <a16:creationId xmlns:a16="http://schemas.microsoft.com/office/drawing/2014/main" id="{E5941E14-5B3A-3486-8648-74A0E81709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71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653</xdr:row>
      <xdr:rowOff>760942</xdr:rowOff>
    </xdr:from>
    <xdr:to>
      <xdr:col>0</xdr:col>
      <xdr:colOff>871538</xdr:colOff>
      <xdr:row>654</xdr:row>
      <xdr:rowOff>760942</xdr:rowOff>
    </xdr:to>
    <xdr:pic>
      <xdr:nvPicPr>
        <xdr:cNvPr id="1290" name="Obraz 1289">
          <a:extLst>
            <a:ext uri="{FF2B5EF4-FFF2-40B4-BE49-F238E27FC236}">
              <a16:creationId xmlns:a16="http://schemas.microsoft.com/office/drawing/2014/main" id="{281A6E8C-6CF1-AC15-BCAD-2A0F26B1BF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78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654</xdr:row>
      <xdr:rowOff>760942</xdr:rowOff>
    </xdr:from>
    <xdr:to>
      <xdr:col>0</xdr:col>
      <xdr:colOff>871538</xdr:colOff>
      <xdr:row>655</xdr:row>
      <xdr:rowOff>760942</xdr:rowOff>
    </xdr:to>
    <xdr:pic>
      <xdr:nvPicPr>
        <xdr:cNvPr id="1292" name="Obraz 1291">
          <a:extLst>
            <a:ext uri="{FF2B5EF4-FFF2-40B4-BE49-F238E27FC236}">
              <a16:creationId xmlns:a16="http://schemas.microsoft.com/office/drawing/2014/main" id="{946D4BCC-CB28-A881-E8C2-E4044F389F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86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655</xdr:row>
      <xdr:rowOff>760942</xdr:rowOff>
    </xdr:from>
    <xdr:to>
      <xdr:col>0</xdr:col>
      <xdr:colOff>871538</xdr:colOff>
      <xdr:row>656</xdr:row>
      <xdr:rowOff>760942</xdr:rowOff>
    </xdr:to>
    <xdr:pic>
      <xdr:nvPicPr>
        <xdr:cNvPr id="1294" name="Obraz 1293">
          <a:extLst>
            <a:ext uri="{FF2B5EF4-FFF2-40B4-BE49-F238E27FC236}">
              <a16:creationId xmlns:a16="http://schemas.microsoft.com/office/drawing/2014/main" id="{5DF6FB1B-F5DF-9F02-B6D9-1EAFAEB950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94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656</xdr:row>
      <xdr:rowOff>760942</xdr:rowOff>
    </xdr:from>
    <xdr:to>
      <xdr:col>0</xdr:col>
      <xdr:colOff>871538</xdr:colOff>
      <xdr:row>657</xdr:row>
      <xdr:rowOff>760942</xdr:rowOff>
    </xdr:to>
    <xdr:pic>
      <xdr:nvPicPr>
        <xdr:cNvPr id="1296" name="Obraz 1295">
          <a:extLst>
            <a:ext uri="{FF2B5EF4-FFF2-40B4-BE49-F238E27FC236}">
              <a16:creationId xmlns:a16="http://schemas.microsoft.com/office/drawing/2014/main" id="{C994F979-697B-81C2-C606-F51447AE21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01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657</xdr:row>
      <xdr:rowOff>760942</xdr:rowOff>
    </xdr:from>
    <xdr:to>
      <xdr:col>0</xdr:col>
      <xdr:colOff>871538</xdr:colOff>
      <xdr:row>658</xdr:row>
      <xdr:rowOff>760942</xdr:rowOff>
    </xdr:to>
    <xdr:pic>
      <xdr:nvPicPr>
        <xdr:cNvPr id="1298" name="Obraz 1297">
          <a:extLst>
            <a:ext uri="{FF2B5EF4-FFF2-40B4-BE49-F238E27FC236}">
              <a16:creationId xmlns:a16="http://schemas.microsoft.com/office/drawing/2014/main" id="{9698998A-1CB8-EA7E-0421-AEE1F2DABD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09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658</xdr:row>
      <xdr:rowOff>760942</xdr:rowOff>
    </xdr:from>
    <xdr:to>
      <xdr:col>0</xdr:col>
      <xdr:colOff>871538</xdr:colOff>
      <xdr:row>659</xdr:row>
      <xdr:rowOff>760942</xdr:rowOff>
    </xdr:to>
    <xdr:pic>
      <xdr:nvPicPr>
        <xdr:cNvPr id="1300" name="Obraz 1299">
          <a:extLst>
            <a:ext uri="{FF2B5EF4-FFF2-40B4-BE49-F238E27FC236}">
              <a16:creationId xmlns:a16="http://schemas.microsoft.com/office/drawing/2014/main" id="{848FB581-2743-00EF-5A98-0A63A24A76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16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659</xdr:row>
      <xdr:rowOff>760942</xdr:rowOff>
    </xdr:from>
    <xdr:to>
      <xdr:col>0</xdr:col>
      <xdr:colOff>871538</xdr:colOff>
      <xdr:row>660</xdr:row>
      <xdr:rowOff>760942</xdr:rowOff>
    </xdr:to>
    <xdr:pic>
      <xdr:nvPicPr>
        <xdr:cNvPr id="1302" name="Obraz 1301">
          <a:extLst>
            <a:ext uri="{FF2B5EF4-FFF2-40B4-BE49-F238E27FC236}">
              <a16:creationId xmlns:a16="http://schemas.microsoft.com/office/drawing/2014/main" id="{2B780B52-B527-E995-82EC-B6D40F6055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24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660</xdr:row>
      <xdr:rowOff>760942</xdr:rowOff>
    </xdr:from>
    <xdr:to>
      <xdr:col>0</xdr:col>
      <xdr:colOff>871538</xdr:colOff>
      <xdr:row>661</xdr:row>
      <xdr:rowOff>760942</xdr:rowOff>
    </xdr:to>
    <xdr:pic>
      <xdr:nvPicPr>
        <xdr:cNvPr id="1304" name="Obraz 1303">
          <a:extLst>
            <a:ext uri="{FF2B5EF4-FFF2-40B4-BE49-F238E27FC236}">
              <a16:creationId xmlns:a16="http://schemas.microsoft.com/office/drawing/2014/main" id="{27AD6DE4-7538-861A-D86F-6E16783C8B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32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661</xdr:row>
      <xdr:rowOff>760942</xdr:rowOff>
    </xdr:from>
    <xdr:to>
      <xdr:col>0</xdr:col>
      <xdr:colOff>871538</xdr:colOff>
      <xdr:row>662</xdr:row>
      <xdr:rowOff>760942</xdr:rowOff>
    </xdr:to>
    <xdr:pic>
      <xdr:nvPicPr>
        <xdr:cNvPr id="1306" name="Obraz 1305">
          <a:extLst>
            <a:ext uri="{FF2B5EF4-FFF2-40B4-BE49-F238E27FC236}">
              <a16:creationId xmlns:a16="http://schemas.microsoft.com/office/drawing/2014/main" id="{3FFB79FA-D18D-A75A-4EC7-21F48D965C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39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662</xdr:row>
      <xdr:rowOff>760942</xdr:rowOff>
    </xdr:from>
    <xdr:to>
      <xdr:col>0</xdr:col>
      <xdr:colOff>871538</xdr:colOff>
      <xdr:row>663</xdr:row>
      <xdr:rowOff>760942</xdr:rowOff>
    </xdr:to>
    <xdr:pic>
      <xdr:nvPicPr>
        <xdr:cNvPr id="1308" name="Obraz 1307">
          <a:extLst>
            <a:ext uri="{FF2B5EF4-FFF2-40B4-BE49-F238E27FC236}">
              <a16:creationId xmlns:a16="http://schemas.microsoft.com/office/drawing/2014/main" id="{7F36FCD6-B1C4-354A-8DF2-2F3B60A874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47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663</xdr:row>
      <xdr:rowOff>760942</xdr:rowOff>
    </xdr:from>
    <xdr:to>
      <xdr:col>0</xdr:col>
      <xdr:colOff>871538</xdr:colOff>
      <xdr:row>664</xdr:row>
      <xdr:rowOff>760942</xdr:rowOff>
    </xdr:to>
    <xdr:pic>
      <xdr:nvPicPr>
        <xdr:cNvPr id="1310" name="Obraz 1309">
          <a:extLst>
            <a:ext uri="{FF2B5EF4-FFF2-40B4-BE49-F238E27FC236}">
              <a16:creationId xmlns:a16="http://schemas.microsoft.com/office/drawing/2014/main" id="{9AF7A88D-D153-907C-4821-3770BE4FF5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55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664</xdr:row>
      <xdr:rowOff>760942</xdr:rowOff>
    </xdr:from>
    <xdr:to>
      <xdr:col>0</xdr:col>
      <xdr:colOff>871538</xdr:colOff>
      <xdr:row>665</xdr:row>
      <xdr:rowOff>760942</xdr:rowOff>
    </xdr:to>
    <xdr:pic>
      <xdr:nvPicPr>
        <xdr:cNvPr id="1312" name="Obraz 1311">
          <a:extLst>
            <a:ext uri="{FF2B5EF4-FFF2-40B4-BE49-F238E27FC236}">
              <a16:creationId xmlns:a16="http://schemas.microsoft.com/office/drawing/2014/main" id="{BE15EA81-50D1-79FC-0BAD-0ACE76B8AC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62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665</xdr:row>
      <xdr:rowOff>760942</xdr:rowOff>
    </xdr:from>
    <xdr:to>
      <xdr:col>0</xdr:col>
      <xdr:colOff>871538</xdr:colOff>
      <xdr:row>666</xdr:row>
      <xdr:rowOff>760942</xdr:rowOff>
    </xdr:to>
    <xdr:pic>
      <xdr:nvPicPr>
        <xdr:cNvPr id="1314" name="Obraz 1313">
          <a:extLst>
            <a:ext uri="{FF2B5EF4-FFF2-40B4-BE49-F238E27FC236}">
              <a16:creationId xmlns:a16="http://schemas.microsoft.com/office/drawing/2014/main" id="{9520C735-6F18-AA4F-6519-FAB597B253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70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666</xdr:row>
      <xdr:rowOff>760942</xdr:rowOff>
    </xdr:from>
    <xdr:to>
      <xdr:col>0</xdr:col>
      <xdr:colOff>871538</xdr:colOff>
      <xdr:row>667</xdr:row>
      <xdr:rowOff>760942</xdr:rowOff>
    </xdr:to>
    <xdr:pic>
      <xdr:nvPicPr>
        <xdr:cNvPr id="1316" name="Obraz 1315">
          <a:extLst>
            <a:ext uri="{FF2B5EF4-FFF2-40B4-BE49-F238E27FC236}">
              <a16:creationId xmlns:a16="http://schemas.microsoft.com/office/drawing/2014/main" id="{26D93FED-3686-5EFE-8004-151E6C0A4B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77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667</xdr:row>
      <xdr:rowOff>760942</xdr:rowOff>
    </xdr:from>
    <xdr:to>
      <xdr:col>0</xdr:col>
      <xdr:colOff>871538</xdr:colOff>
      <xdr:row>668</xdr:row>
      <xdr:rowOff>760942</xdr:rowOff>
    </xdr:to>
    <xdr:pic>
      <xdr:nvPicPr>
        <xdr:cNvPr id="1318" name="Obraz 1317">
          <a:extLst>
            <a:ext uri="{FF2B5EF4-FFF2-40B4-BE49-F238E27FC236}">
              <a16:creationId xmlns:a16="http://schemas.microsoft.com/office/drawing/2014/main" id="{92D61CD9-A072-9168-65CF-354AC31BD7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85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668</xdr:row>
      <xdr:rowOff>760942</xdr:rowOff>
    </xdr:from>
    <xdr:to>
      <xdr:col>0</xdr:col>
      <xdr:colOff>871538</xdr:colOff>
      <xdr:row>669</xdr:row>
      <xdr:rowOff>760942</xdr:rowOff>
    </xdr:to>
    <xdr:pic>
      <xdr:nvPicPr>
        <xdr:cNvPr id="1320" name="Obraz 1319">
          <a:extLst>
            <a:ext uri="{FF2B5EF4-FFF2-40B4-BE49-F238E27FC236}">
              <a16:creationId xmlns:a16="http://schemas.microsoft.com/office/drawing/2014/main" id="{F2C20D78-6352-2F61-4F39-28C1A6E85C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93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669</xdr:row>
      <xdr:rowOff>760942</xdr:rowOff>
    </xdr:from>
    <xdr:to>
      <xdr:col>0</xdr:col>
      <xdr:colOff>871538</xdr:colOff>
      <xdr:row>670</xdr:row>
      <xdr:rowOff>760942</xdr:rowOff>
    </xdr:to>
    <xdr:pic>
      <xdr:nvPicPr>
        <xdr:cNvPr id="1322" name="Obraz 1321">
          <a:extLst>
            <a:ext uri="{FF2B5EF4-FFF2-40B4-BE49-F238E27FC236}">
              <a16:creationId xmlns:a16="http://schemas.microsoft.com/office/drawing/2014/main" id="{8BFB769C-A183-BED1-E363-5E20CB6C34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00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670</xdr:row>
      <xdr:rowOff>760942</xdr:rowOff>
    </xdr:from>
    <xdr:to>
      <xdr:col>0</xdr:col>
      <xdr:colOff>871538</xdr:colOff>
      <xdr:row>671</xdr:row>
      <xdr:rowOff>760942</xdr:rowOff>
    </xdr:to>
    <xdr:pic>
      <xdr:nvPicPr>
        <xdr:cNvPr id="1324" name="Obraz 1323">
          <a:extLst>
            <a:ext uri="{FF2B5EF4-FFF2-40B4-BE49-F238E27FC236}">
              <a16:creationId xmlns:a16="http://schemas.microsoft.com/office/drawing/2014/main" id="{47B9F0F6-B655-BC50-41C9-870F78A560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08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671</xdr:row>
      <xdr:rowOff>760942</xdr:rowOff>
    </xdr:from>
    <xdr:to>
      <xdr:col>0</xdr:col>
      <xdr:colOff>871538</xdr:colOff>
      <xdr:row>672</xdr:row>
      <xdr:rowOff>760942</xdr:rowOff>
    </xdr:to>
    <xdr:pic>
      <xdr:nvPicPr>
        <xdr:cNvPr id="1326" name="Obraz 1325">
          <a:extLst>
            <a:ext uri="{FF2B5EF4-FFF2-40B4-BE49-F238E27FC236}">
              <a16:creationId xmlns:a16="http://schemas.microsoft.com/office/drawing/2014/main" id="{4E42DDFD-FEE1-FCBA-0FA8-816751D4F9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15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672</xdr:row>
      <xdr:rowOff>760942</xdr:rowOff>
    </xdr:from>
    <xdr:to>
      <xdr:col>0</xdr:col>
      <xdr:colOff>871538</xdr:colOff>
      <xdr:row>673</xdr:row>
      <xdr:rowOff>760942</xdr:rowOff>
    </xdr:to>
    <xdr:pic>
      <xdr:nvPicPr>
        <xdr:cNvPr id="1328" name="Obraz 1327">
          <a:extLst>
            <a:ext uri="{FF2B5EF4-FFF2-40B4-BE49-F238E27FC236}">
              <a16:creationId xmlns:a16="http://schemas.microsoft.com/office/drawing/2014/main" id="{4B524259-25FB-EDBE-1877-E7629EE5E5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23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673</xdr:row>
      <xdr:rowOff>760942</xdr:rowOff>
    </xdr:from>
    <xdr:to>
      <xdr:col>0</xdr:col>
      <xdr:colOff>871538</xdr:colOff>
      <xdr:row>674</xdr:row>
      <xdr:rowOff>760942</xdr:rowOff>
    </xdr:to>
    <xdr:pic>
      <xdr:nvPicPr>
        <xdr:cNvPr id="1330" name="Obraz 1329">
          <a:extLst>
            <a:ext uri="{FF2B5EF4-FFF2-40B4-BE49-F238E27FC236}">
              <a16:creationId xmlns:a16="http://schemas.microsoft.com/office/drawing/2014/main" id="{35E6D6B0-B0AA-37BC-B5A1-4B2FC3DD26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31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674</xdr:row>
      <xdr:rowOff>760942</xdr:rowOff>
    </xdr:from>
    <xdr:to>
      <xdr:col>0</xdr:col>
      <xdr:colOff>871538</xdr:colOff>
      <xdr:row>675</xdr:row>
      <xdr:rowOff>760942</xdr:rowOff>
    </xdr:to>
    <xdr:pic>
      <xdr:nvPicPr>
        <xdr:cNvPr id="1332" name="Obraz 1331">
          <a:extLst>
            <a:ext uri="{FF2B5EF4-FFF2-40B4-BE49-F238E27FC236}">
              <a16:creationId xmlns:a16="http://schemas.microsoft.com/office/drawing/2014/main" id="{79915B50-6958-6C0C-2C76-90FEE8B9F1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38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675</xdr:row>
      <xdr:rowOff>760942</xdr:rowOff>
    </xdr:from>
    <xdr:to>
      <xdr:col>0</xdr:col>
      <xdr:colOff>871538</xdr:colOff>
      <xdr:row>676</xdr:row>
      <xdr:rowOff>760942</xdr:rowOff>
    </xdr:to>
    <xdr:pic>
      <xdr:nvPicPr>
        <xdr:cNvPr id="1334" name="Obraz 1333">
          <a:extLst>
            <a:ext uri="{FF2B5EF4-FFF2-40B4-BE49-F238E27FC236}">
              <a16:creationId xmlns:a16="http://schemas.microsoft.com/office/drawing/2014/main" id="{073140D6-E9DD-D978-D2D1-1BF65944D6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46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676</xdr:row>
      <xdr:rowOff>760942</xdr:rowOff>
    </xdr:from>
    <xdr:to>
      <xdr:col>0</xdr:col>
      <xdr:colOff>871538</xdr:colOff>
      <xdr:row>677</xdr:row>
      <xdr:rowOff>760942</xdr:rowOff>
    </xdr:to>
    <xdr:pic>
      <xdr:nvPicPr>
        <xdr:cNvPr id="1336" name="Obraz 1335">
          <a:extLst>
            <a:ext uri="{FF2B5EF4-FFF2-40B4-BE49-F238E27FC236}">
              <a16:creationId xmlns:a16="http://schemas.microsoft.com/office/drawing/2014/main" id="{3A154D31-2FCE-7C9F-05FE-7313FFC388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54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677</xdr:row>
      <xdr:rowOff>760942</xdr:rowOff>
    </xdr:from>
    <xdr:to>
      <xdr:col>0</xdr:col>
      <xdr:colOff>871538</xdr:colOff>
      <xdr:row>678</xdr:row>
      <xdr:rowOff>760942</xdr:rowOff>
    </xdr:to>
    <xdr:pic>
      <xdr:nvPicPr>
        <xdr:cNvPr id="1338" name="Obraz 1337">
          <a:extLst>
            <a:ext uri="{FF2B5EF4-FFF2-40B4-BE49-F238E27FC236}">
              <a16:creationId xmlns:a16="http://schemas.microsoft.com/office/drawing/2014/main" id="{4D164A72-18DC-04F1-46B9-C816C36B62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61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678</xdr:row>
      <xdr:rowOff>760942</xdr:rowOff>
    </xdr:from>
    <xdr:to>
      <xdr:col>0</xdr:col>
      <xdr:colOff>871538</xdr:colOff>
      <xdr:row>679</xdr:row>
      <xdr:rowOff>760942</xdr:rowOff>
    </xdr:to>
    <xdr:pic>
      <xdr:nvPicPr>
        <xdr:cNvPr id="1340" name="Obraz 1339">
          <a:extLst>
            <a:ext uri="{FF2B5EF4-FFF2-40B4-BE49-F238E27FC236}">
              <a16:creationId xmlns:a16="http://schemas.microsoft.com/office/drawing/2014/main" id="{2CC1F1C0-D36B-9C5E-8C5D-506985B165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69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679</xdr:row>
      <xdr:rowOff>760942</xdr:rowOff>
    </xdr:from>
    <xdr:to>
      <xdr:col>0</xdr:col>
      <xdr:colOff>871538</xdr:colOff>
      <xdr:row>680</xdr:row>
      <xdr:rowOff>760942</xdr:rowOff>
    </xdr:to>
    <xdr:pic>
      <xdr:nvPicPr>
        <xdr:cNvPr id="1342" name="Obraz 1341">
          <a:extLst>
            <a:ext uri="{FF2B5EF4-FFF2-40B4-BE49-F238E27FC236}">
              <a16:creationId xmlns:a16="http://schemas.microsoft.com/office/drawing/2014/main" id="{F9035F2C-58A6-DA34-056F-A861AEA847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76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680</xdr:row>
      <xdr:rowOff>760942</xdr:rowOff>
    </xdr:from>
    <xdr:to>
      <xdr:col>0</xdr:col>
      <xdr:colOff>871538</xdr:colOff>
      <xdr:row>681</xdr:row>
      <xdr:rowOff>760942</xdr:rowOff>
    </xdr:to>
    <xdr:pic>
      <xdr:nvPicPr>
        <xdr:cNvPr id="1344" name="Obraz 1343">
          <a:extLst>
            <a:ext uri="{FF2B5EF4-FFF2-40B4-BE49-F238E27FC236}">
              <a16:creationId xmlns:a16="http://schemas.microsoft.com/office/drawing/2014/main" id="{3285206C-2868-08C7-AC24-490D21A3AF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84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681</xdr:row>
      <xdr:rowOff>760942</xdr:rowOff>
    </xdr:from>
    <xdr:to>
      <xdr:col>0</xdr:col>
      <xdr:colOff>871538</xdr:colOff>
      <xdr:row>682</xdr:row>
      <xdr:rowOff>760942</xdr:rowOff>
    </xdr:to>
    <xdr:pic>
      <xdr:nvPicPr>
        <xdr:cNvPr id="1346" name="Obraz 1345">
          <a:extLst>
            <a:ext uri="{FF2B5EF4-FFF2-40B4-BE49-F238E27FC236}">
              <a16:creationId xmlns:a16="http://schemas.microsoft.com/office/drawing/2014/main" id="{78D32164-23A0-D34A-8271-DFFE74E9C3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92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682</xdr:row>
      <xdr:rowOff>760942</xdr:rowOff>
    </xdr:from>
    <xdr:to>
      <xdr:col>0</xdr:col>
      <xdr:colOff>871538</xdr:colOff>
      <xdr:row>683</xdr:row>
      <xdr:rowOff>760942</xdr:rowOff>
    </xdr:to>
    <xdr:pic>
      <xdr:nvPicPr>
        <xdr:cNvPr id="1348" name="Obraz 1347">
          <a:extLst>
            <a:ext uri="{FF2B5EF4-FFF2-40B4-BE49-F238E27FC236}">
              <a16:creationId xmlns:a16="http://schemas.microsoft.com/office/drawing/2014/main" id="{DAA0CC4F-D508-61EF-E767-E40A8EFD82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99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683</xdr:row>
      <xdr:rowOff>760942</xdr:rowOff>
    </xdr:from>
    <xdr:to>
      <xdr:col>0</xdr:col>
      <xdr:colOff>871538</xdr:colOff>
      <xdr:row>684</xdr:row>
      <xdr:rowOff>760942</xdr:rowOff>
    </xdr:to>
    <xdr:pic>
      <xdr:nvPicPr>
        <xdr:cNvPr id="1350" name="Obraz 1349">
          <a:extLst>
            <a:ext uri="{FF2B5EF4-FFF2-40B4-BE49-F238E27FC236}">
              <a16:creationId xmlns:a16="http://schemas.microsoft.com/office/drawing/2014/main" id="{DEE74980-1E1E-A5F5-7093-5A28112E16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07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684</xdr:row>
      <xdr:rowOff>760942</xdr:rowOff>
    </xdr:from>
    <xdr:to>
      <xdr:col>0</xdr:col>
      <xdr:colOff>871538</xdr:colOff>
      <xdr:row>685</xdr:row>
      <xdr:rowOff>760942</xdr:rowOff>
    </xdr:to>
    <xdr:pic>
      <xdr:nvPicPr>
        <xdr:cNvPr id="1352" name="Obraz 1351">
          <a:extLst>
            <a:ext uri="{FF2B5EF4-FFF2-40B4-BE49-F238E27FC236}">
              <a16:creationId xmlns:a16="http://schemas.microsoft.com/office/drawing/2014/main" id="{D56FA5F1-4AC5-6A39-F80F-8254F9C830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15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685</xdr:row>
      <xdr:rowOff>760942</xdr:rowOff>
    </xdr:from>
    <xdr:to>
      <xdr:col>0</xdr:col>
      <xdr:colOff>871538</xdr:colOff>
      <xdr:row>686</xdr:row>
      <xdr:rowOff>760942</xdr:rowOff>
    </xdr:to>
    <xdr:pic>
      <xdr:nvPicPr>
        <xdr:cNvPr id="1354" name="Obraz 1353">
          <a:extLst>
            <a:ext uri="{FF2B5EF4-FFF2-40B4-BE49-F238E27FC236}">
              <a16:creationId xmlns:a16="http://schemas.microsoft.com/office/drawing/2014/main" id="{0AF2469A-9632-C83B-3792-9C28DBCCE6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22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686</xdr:row>
      <xdr:rowOff>760942</xdr:rowOff>
    </xdr:from>
    <xdr:to>
      <xdr:col>0</xdr:col>
      <xdr:colOff>871538</xdr:colOff>
      <xdr:row>687</xdr:row>
      <xdr:rowOff>760942</xdr:rowOff>
    </xdr:to>
    <xdr:pic>
      <xdr:nvPicPr>
        <xdr:cNvPr id="1356" name="Obraz 1355">
          <a:extLst>
            <a:ext uri="{FF2B5EF4-FFF2-40B4-BE49-F238E27FC236}">
              <a16:creationId xmlns:a16="http://schemas.microsoft.com/office/drawing/2014/main" id="{16B8131D-23FC-7F0D-3C9E-CF7DBEFD0B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30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687</xdr:row>
      <xdr:rowOff>760942</xdr:rowOff>
    </xdr:from>
    <xdr:to>
      <xdr:col>0</xdr:col>
      <xdr:colOff>871538</xdr:colOff>
      <xdr:row>688</xdr:row>
      <xdr:rowOff>760942</xdr:rowOff>
    </xdr:to>
    <xdr:pic>
      <xdr:nvPicPr>
        <xdr:cNvPr id="1358" name="Obraz 1357">
          <a:extLst>
            <a:ext uri="{FF2B5EF4-FFF2-40B4-BE49-F238E27FC236}">
              <a16:creationId xmlns:a16="http://schemas.microsoft.com/office/drawing/2014/main" id="{C691B358-0807-0D80-DB8A-4487CEBE25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37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688</xdr:row>
      <xdr:rowOff>760942</xdr:rowOff>
    </xdr:from>
    <xdr:to>
      <xdr:col>0</xdr:col>
      <xdr:colOff>871538</xdr:colOff>
      <xdr:row>689</xdr:row>
      <xdr:rowOff>760942</xdr:rowOff>
    </xdr:to>
    <xdr:pic>
      <xdr:nvPicPr>
        <xdr:cNvPr id="1360" name="Obraz 1359">
          <a:extLst>
            <a:ext uri="{FF2B5EF4-FFF2-40B4-BE49-F238E27FC236}">
              <a16:creationId xmlns:a16="http://schemas.microsoft.com/office/drawing/2014/main" id="{C65D2151-92F8-AAC8-C604-294846E089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45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689</xdr:row>
      <xdr:rowOff>760942</xdr:rowOff>
    </xdr:from>
    <xdr:to>
      <xdr:col>0</xdr:col>
      <xdr:colOff>871538</xdr:colOff>
      <xdr:row>690</xdr:row>
      <xdr:rowOff>760942</xdr:rowOff>
    </xdr:to>
    <xdr:pic>
      <xdr:nvPicPr>
        <xdr:cNvPr id="1362" name="Obraz 1361">
          <a:extLst>
            <a:ext uri="{FF2B5EF4-FFF2-40B4-BE49-F238E27FC236}">
              <a16:creationId xmlns:a16="http://schemas.microsoft.com/office/drawing/2014/main" id="{4D85A8C3-D50E-1B11-DC4C-1AE9F97017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53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690</xdr:row>
      <xdr:rowOff>760942</xdr:rowOff>
    </xdr:from>
    <xdr:to>
      <xdr:col>0</xdr:col>
      <xdr:colOff>871538</xdr:colOff>
      <xdr:row>691</xdr:row>
      <xdr:rowOff>760942</xdr:rowOff>
    </xdr:to>
    <xdr:pic>
      <xdr:nvPicPr>
        <xdr:cNvPr id="1364" name="Obraz 1363">
          <a:extLst>
            <a:ext uri="{FF2B5EF4-FFF2-40B4-BE49-F238E27FC236}">
              <a16:creationId xmlns:a16="http://schemas.microsoft.com/office/drawing/2014/main" id="{D54F0611-05BE-753D-74A9-2563D6EBCC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60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691</xdr:row>
      <xdr:rowOff>760942</xdr:rowOff>
    </xdr:from>
    <xdr:to>
      <xdr:col>0</xdr:col>
      <xdr:colOff>871538</xdr:colOff>
      <xdr:row>692</xdr:row>
      <xdr:rowOff>760942</xdr:rowOff>
    </xdr:to>
    <xdr:pic>
      <xdr:nvPicPr>
        <xdr:cNvPr id="1366" name="Obraz 1365">
          <a:extLst>
            <a:ext uri="{FF2B5EF4-FFF2-40B4-BE49-F238E27FC236}">
              <a16:creationId xmlns:a16="http://schemas.microsoft.com/office/drawing/2014/main" id="{6C3DFC8B-B146-B92E-FDFC-BB81E20206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68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692</xdr:row>
      <xdr:rowOff>760942</xdr:rowOff>
    </xdr:from>
    <xdr:to>
      <xdr:col>0</xdr:col>
      <xdr:colOff>871538</xdr:colOff>
      <xdr:row>693</xdr:row>
      <xdr:rowOff>760942</xdr:rowOff>
    </xdr:to>
    <xdr:pic>
      <xdr:nvPicPr>
        <xdr:cNvPr id="1368" name="Obraz 1367">
          <a:extLst>
            <a:ext uri="{FF2B5EF4-FFF2-40B4-BE49-F238E27FC236}">
              <a16:creationId xmlns:a16="http://schemas.microsoft.com/office/drawing/2014/main" id="{BE3CFF8A-0601-AC8A-4E44-00F420BDD5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75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693</xdr:row>
      <xdr:rowOff>760942</xdr:rowOff>
    </xdr:from>
    <xdr:to>
      <xdr:col>0</xdr:col>
      <xdr:colOff>871538</xdr:colOff>
      <xdr:row>694</xdr:row>
      <xdr:rowOff>760942</xdr:rowOff>
    </xdr:to>
    <xdr:pic>
      <xdr:nvPicPr>
        <xdr:cNvPr id="1370" name="Obraz 1369">
          <a:extLst>
            <a:ext uri="{FF2B5EF4-FFF2-40B4-BE49-F238E27FC236}">
              <a16:creationId xmlns:a16="http://schemas.microsoft.com/office/drawing/2014/main" id="{EC445A06-087A-AED0-07A3-924D5835FD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83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694</xdr:row>
      <xdr:rowOff>760942</xdr:rowOff>
    </xdr:from>
    <xdr:to>
      <xdr:col>0</xdr:col>
      <xdr:colOff>871538</xdr:colOff>
      <xdr:row>695</xdr:row>
      <xdr:rowOff>760942</xdr:rowOff>
    </xdr:to>
    <xdr:pic>
      <xdr:nvPicPr>
        <xdr:cNvPr id="1372" name="Obraz 1371">
          <a:extLst>
            <a:ext uri="{FF2B5EF4-FFF2-40B4-BE49-F238E27FC236}">
              <a16:creationId xmlns:a16="http://schemas.microsoft.com/office/drawing/2014/main" id="{3C3D7E99-405F-4982-BF3D-94D21B584C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91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695</xdr:row>
      <xdr:rowOff>760942</xdr:rowOff>
    </xdr:from>
    <xdr:to>
      <xdr:col>0</xdr:col>
      <xdr:colOff>871538</xdr:colOff>
      <xdr:row>696</xdr:row>
      <xdr:rowOff>760942</xdr:rowOff>
    </xdr:to>
    <xdr:pic>
      <xdr:nvPicPr>
        <xdr:cNvPr id="1374" name="Obraz 1373">
          <a:extLst>
            <a:ext uri="{FF2B5EF4-FFF2-40B4-BE49-F238E27FC236}">
              <a16:creationId xmlns:a16="http://schemas.microsoft.com/office/drawing/2014/main" id="{D31D54FF-40D0-04B5-AE1A-9D69BB9AF8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98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696</xdr:row>
      <xdr:rowOff>760942</xdr:rowOff>
    </xdr:from>
    <xdr:to>
      <xdr:col>0</xdr:col>
      <xdr:colOff>871538</xdr:colOff>
      <xdr:row>697</xdr:row>
      <xdr:rowOff>760942</xdr:rowOff>
    </xdr:to>
    <xdr:pic>
      <xdr:nvPicPr>
        <xdr:cNvPr id="1376" name="Obraz 1375">
          <a:extLst>
            <a:ext uri="{FF2B5EF4-FFF2-40B4-BE49-F238E27FC236}">
              <a16:creationId xmlns:a16="http://schemas.microsoft.com/office/drawing/2014/main" id="{E32DC4E1-F82F-8420-8515-E9802F5745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306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697</xdr:row>
      <xdr:rowOff>760942</xdr:rowOff>
    </xdr:from>
    <xdr:to>
      <xdr:col>0</xdr:col>
      <xdr:colOff>871538</xdr:colOff>
      <xdr:row>698</xdr:row>
      <xdr:rowOff>760942</xdr:rowOff>
    </xdr:to>
    <xdr:pic>
      <xdr:nvPicPr>
        <xdr:cNvPr id="1378" name="Obraz 1377">
          <a:extLst>
            <a:ext uri="{FF2B5EF4-FFF2-40B4-BE49-F238E27FC236}">
              <a16:creationId xmlns:a16="http://schemas.microsoft.com/office/drawing/2014/main" id="{5D09EB73-71F8-135E-D390-CCEAC8618A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314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698</xdr:row>
      <xdr:rowOff>760942</xdr:rowOff>
    </xdr:from>
    <xdr:to>
      <xdr:col>0</xdr:col>
      <xdr:colOff>871538</xdr:colOff>
      <xdr:row>699</xdr:row>
      <xdr:rowOff>760942</xdr:rowOff>
    </xdr:to>
    <xdr:pic>
      <xdr:nvPicPr>
        <xdr:cNvPr id="1380" name="Obraz 1379">
          <a:extLst>
            <a:ext uri="{FF2B5EF4-FFF2-40B4-BE49-F238E27FC236}">
              <a16:creationId xmlns:a16="http://schemas.microsoft.com/office/drawing/2014/main" id="{6122AA68-A777-2AE9-E561-AC5F24C4C8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321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699</xdr:row>
      <xdr:rowOff>760942</xdr:rowOff>
    </xdr:from>
    <xdr:to>
      <xdr:col>0</xdr:col>
      <xdr:colOff>871538</xdr:colOff>
      <xdr:row>700</xdr:row>
      <xdr:rowOff>760942</xdr:rowOff>
    </xdr:to>
    <xdr:pic>
      <xdr:nvPicPr>
        <xdr:cNvPr id="1382" name="Obraz 1381">
          <a:extLst>
            <a:ext uri="{FF2B5EF4-FFF2-40B4-BE49-F238E27FC236}">
              <a16:creationId xmlns:a16="http://schemas.microsoft.com/office/drawing/2014/main" id="{D75FFC56-A07E-C6D4-A6D7-DF0CD9FC94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329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700</xdr:row>
      <xdr:rowOff>760942</xdr:rowOff>
    </xdr:from>
    <xdr:to>
      <xdr:col>0</xdr:col>
      <xdr:colOff>871538</xdr:colOff>
      <xdr:row>701</xdr:row>
      <xdr:rowOff>760942</xdr:rowOff>
    </xdr:to>
    <xdr:pic>
      <xdr:nvPicPr>
        <xdr:cNvPr id="1384" name="Obraz 1383">
          <a:extLst>
            <a:ext uri="{FF2B5EF4-FFF2-40B4-BE49-F238E27FC236}">
              <a16:creationId xmlns:a16="http://schemas.microsoft.com/office/drawing/2014/main" id="{D1756AD3-0BDD-9C9C-27B8-A540B5A247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336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701</xdr:row>
      <xdr:rowOff>760942</xdr:rowOff>
    </xdr:from>
    <xdr:to>
      <xdr:col>0</xdr:col>
      <xdr:colOff>871538</xdr:colOff>
      <xdr:row>702</xdr:row>
      <xdr:rowOff>760942</xdr:rowOff>
    </xdr:to>
    <xdr:pic>
      <xdr:nvPicPr>
        <xdr:cNvPr id="1386" name="Obraz 1385">
          <a:extLst>
            <a:ext uri="{FF2B5EF4-FFF2-40B4-BE49-F238E27FC236}">
              <a16:creationId xmlns:a16="http://schemas.microsoft.com/office/drawing/2014/main" id="{0E2FD07A-631A-19A6-40B7-059BE77561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344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702</xdr:row>
      <xdr:rowOff>760942</xdr:rowOff>
    </xdr:from>
    <xdr:to>
      <xdr:col>0</xdr:col>
      <xdr:colOff>871538</xdr:colOff>
      <xdr:row>703</xdr:row>
      <xdr:rowOff>760942</xdr:rowOff>
    </xdr:to>
    <xdr:pic>
      <xdr:nvPicPr>
        <xdr:cNvPr id="1388" name="Obraz 1387">
          <a:extLst>
            <a:ext uri="{FF2B5EF4-FFF2-40B4-BE49-F238E27FC236}">
              <a16:creationId xmlns:a16="http://schemas.microsoft.com/office/drawing/2014/main" id="{37B7A7B8-5088-EC2C-839A-3BF455B5A8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352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703</xdr:row>
      <xdr:rowOff>760942</xdr:rowOff>
    </xdr:from>
    <xdr:to>
      <xdr:col>0</xdr:col>
      <xdr:colOff>871538</xdr:colOff>
      <xdr:row>704</xdr:row>
      <xdr:rowOff>760942</xdr:rowOff>
    </xdr:to>
    <xdr:pic>
      <xdr:nvPicPr>
        <xdr:cNvPr id="1390" name="Obraz 1389">
          <a:extLst>
            <a:ext uri="{FF2B5EF4-FFF2-40B4-BE49-F238E27FC236}">
              <a16:creationId xmlns:a16="http://schemas.microsoft.com/office/drawing/2014/main" id="{2B368270-2F86-149A-4B79-DB45ECC0FE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359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704</xdr:row>
      <xdr:rowOff>760942</xdr:rowOff>
    </xdr:from>
    <xdr:to>
      <xdr:col>0</xdr:col>
      <xdr:colOff>871538</xdr:colOff>
      <xdr:row>705</xdr:row>
      <xdr:rowOff>760942</xdr:rowOff>
    </xdr:to>
    <xdr:pic>
      <xdr:nvPicPr>
        <xdr:cNvPr id="1392" name="Obraz 1391">
          <a:extLst>
            <a:ext uri="{FF2B5EF4-FFF2-40B4-BE49-F238E27FC236}">
              <a16:creationId xmlns:a16="http://schemas.microsoft.com/office/drawing/2014/main" id="{4C4AC602-C8F1-314A-01C0-E40639CA2C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367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705</xdr:row>
      <xdr:rowOff>760942</xdr:rowOff>
    </xdr:from>
    <xdr:to>
      <xdr:col>0</xdr:col>
      <xdr:colOff>871538</xdr:colOff>
      <xdr:row>706</xdr:row>
      <xdr:rowOff>760942</xdr:rowOff>
    </xdr:to>
    <xdr:pic>
      <xdr:nvPicPr>
        <xdr:cNvPr id="1394" name="Obraz 1393">
          <a:extLst>
            <a:ext uri="{FF2B5EF4-FFF2-40B4-BE49-F238E27FC236}">
              <a16:creationId xmlns:a16="http://schemas.microsoft.com/office/drawing/2014/main" id="{13B9FEA4-AB4B-E2B5-6050-59962E02EB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375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706</xdr:row>
      <xdr:rowOff>760942</xdr:rowOff>
    </xdr:from>
    <xdr:to>
      <xdr:col>0</xdr:col>
      <xdr:colOff>871538</xdr:colOff>
      <xdr:row>707</xdr:row>
      <xdr:rowOff>760942</xdr:rowOff>
    </xdr:to>
    <xdr:pic>
      <xdr:nvPicPr>
        <xdr:cNvPr id="1396" name="Obraz 1395">
          <a:extLst>
            <a:ext uri="{FF2B5EF4-FFF2-40B4-BE49-F238E27FC236}">
              <a16:creationId xmlns:a16="http://schemas.microsoft.com/office/drawing/2014/main" id="{A275C815-759C-F660-5D62-90FBAA893F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382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707</xdr:row>
      <xdr:rowOff>760942</xdr:rowOff>
    </xdr:from>
    <xdr:to>
      <xdr:col>0</xdr:col>
      <xdr:colOff>871538</xdr:colOff>
      <xdr:row>708</xdr:row>
      <xdr:rowOff>760942</xdr:rowOff>
    </xdr:to>
    <xdr:pic>
      <xdr:nvPicPr>
        <xdr:cNvPr id="1398" name="Obraz 1397">
          <a:extLst>
            <a:ext uri="{FF2B5EF4-FFF2-40B4-BE49-F238E27FC236}">
              <a16:creationId xmlns:a16="http://schemas.microsoft.com/office/drawing/2014/main" id="{6DECF75E-1CFB-A5D2-4EBF-35CF4024FB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390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708</xdr:row>
      <xdr:rowOff>760942</xdr:rowOff>
    </xdr:from>
    <xdr:to>
      <xdr:col>0</xdr:col>
      <xdr:colOff>871538</xdr:colOff>
      <xdr:row>709</xdr:row>
      <xdr:rowOff>760942</xdr:rowOff>
    </xdr:to>
    <xdr:pic>
      <xdr:nvPicPr>
        <xdr:cNvPr id="1400" name="Obraz 1399">
          <a:extLst>
            <a:ext uri="{FF2B5EF4-FFF2-40B4-BE49-F238E27FC236}">
              <a16:creationId xmlns:a16="http://schemas.microsoft.com/office/drawing/2014/main" id="{D28930BE-9CD4-6324-66CA-650A141EDE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397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709</xdr:row>
      <xdr:rowOff>760942</xdr:rowOff>
    </xdr:from>
    <xdr:to>
      <xdr:col>0</xdr:col>
      <xdr:colOff>871538</xdr:colOff>
      <xdr:row>710</xdr:row>
      <xdr:rowOff>760942</xdr:rowOff>
    </xdr:to>
    <xdr:pic>
      <xdr:nvPicPr>
        <xdr:cNvPr id="1402" name="Obraz 1401">
          <a:extLst>
            <a:ext uri="{FF2B5EF4-FFF2-40B4-BE49-F238E27FC236}">
              <a16:creationId xmlns:a16="http://schemas.microsoft.com/office/drawing/2014/main" id="{60192F25-BCA2-E4B1-CB23-483442C2F8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405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710</xdr:row>
      <xdr:rowOff>760942</xdr:rowOff>
    </xdr:from>
    <xdr:to>
      <xdr:col>0</xdr:col>
      <xdr:colOff>871538</xdr:colOff>
      <xdr:row>711</xdr:row>
      <xdr:rowOff>760942</xdr:rowOff>
    </xdr:to>
    <xdr:pic>
      <xdr:nvPicPr>
        <xdr:cNvPr id="1404" name="Obraz 1403">
          <a:extLst>
            <a:ext uri="{FF2B5EF4-FFF2-40B4-BE49-F238E27FC236}">
              <a16:creationId xmlns:a16="http://schemas.microsoft.com/office/drawing/2014/main" id="{EB537DC5-912C-8C66-45B2-D448DDE264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413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711</xdr:row>
      <xdr:rowOff>760942</xdr:rowOff>
    </xdr:from>
    <xdr:to>
      <xdr:col>0</xdr:col>
      <xdr:colOff>871538</xdr:colOff>
      <xdr:row>712</xdr:row>
      <xdr:rowOff>760942</xdr:rowOff>
    </xdr:to>
    <xdr:pic>
      <xdr:nvPicPr>
        <xdr:cNvPr id="1406" name="Obraz 1405">
          <a:extLst>
            <a:ext uri="{FF2B5EF4-FFF2-40B4-BE49-F238E27FC236}">
              <a16:creationId xmlns:a16="http://schemas.microsoft.com/office/drawing/2014/main" id="{D6102569-68AD-825C-9DAF-0C38BA458B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420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712</xdr:row>
      <xdr:rowOff>760942</xdr:rowOff>
    </xdr:from>
    <xdr:to>
      <xdr:col>0</xdr:col>
      <xdr:colOff>871538</xdr:colOff>
      <xdr:row>713</xdr:row>
      <xdr:rowOff>760942</xdr:rowOff>
    </xdr:to>
    <xdr:pic>
      <xdr:nvPicPr>
        <xdr:cNvPr id="1408" name="Obraz 1407">
          <a:extLst>
            <a:ext uri="{FF2B5EF4-FFF2-40B4-BE49-F238E27FC236}">
              <a16:creationId xmlns:a16="http://schemas.microsoft.com/office/drawing/2014/main" id="{23D386B2-116F-06CA-C0E9-426BC6EFCB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428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713</xdr:row>
      <xdr:rowOff>760942</xdr:rowOff>
    </xdr:from>
    <xdr:to>
      <xdr:col>0</xdr:col>
      <xdr:colOff>871538</xdr:colOff>
      <xdr:row>714</xdr:row>
      <xdr:rowOff>760942</xdr:rowOff>
    </xdr:to>
    <xdr:pic>
      <xdr:nvPicPr>
        <xdr:cNvPr id="1410" name="Obraz 1409">
          <a:extLst>
            <a:ext uri="{FF2B5EF4-FFF2-40B4-BE49-F238E27FC236}">
              <a16:creationId xmlns:a16="http://schemas.microsoft.com/office/drawing/2014/main" id="{8BE195DE-7684-448F-34B7-A80B3CFFFD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436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714</xdr:row>
      <xdr:rowOff>760942</xdr:rowOff>
    </xdr:from>
    <xdr:to>
      <xdr:col>0</xdr:col>
      <xdr:colOff>871538</xdr:colOff>
      <xdr:row>715</xdr:row>
      <xdr:rowOff>760942</xdr:rowOff>
    </xdr:to>
    <xdr:pic>
      <xdr:nvPicPr>
        <xdr:cNvPr id="1412" name="Obraz 1411">
          <a:extLst>
            <a:ext uri="{FF2B5EF4-FFF2-40B4-BE49-F238E27FC236}">
              <a16:creationId xmlns:a16="http://schemas.microsoft.com/office/drawing/2014/main" id="{C1EF7DAC-BA2E-7D42-C7E4-EE874596A5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443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715</xdr:row>
      <xdr:rowOff>760942</xdr:rowOff>
    </xdr:from>
    <xdr:to>
      <xdr:col>0</xdr:col>
      <xdr:colOff>871538</xdr:colOff>
      <xdr:row>716</xdr:row>
      <xdr:rowOff>760942</xdr:rowOff>
    </xdr:to>
    <xdr:pic>
      <xdr:nvPicPr>
        <xdr:cNvPr id="1414" name="Obraz 1413">
          <a:extLst>
            <a:ext uri="{FF2B5EF4-FFF2-40B4-BE49-F238E27FC236}">
              <a16:creationId xmlns:a16="http://schemas.microsoft.com/office/drawing/2014/main" id="{E4980978-1C6A-8010-9408-4911B9E438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451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716</xdr:row>
      <xdr:rowOff>760942</xdr:rowOff>
    </xdr:from>
    <xdr:to>
      <xdr:col>0</xdr:col>
      <xdr:colOff>871538</xdr:colOff>
      <xdr:row>717</xdr:row>
      <xdr:rowOff>760942</xdr:rowOff>
    </xdr:to>
    <xdr:pic>
      <xdr:nvPicPr>
        <xdr:cNvPr id="1416" name="Obraz 1415">
          <a:extLst>
            <a:ext uri="{FF2B5EF4-FFF2-40B4-BE49-F238E27FC236}">
              <a16:creationId xmlns:a16="http://schemas.microsoft.com/office/drawing/2014/main" id="{CE532B59-1E29-D0D4-B8EA-BBBBF52E37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458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717</xdr:row>
      <xdr:rowOff>760942</xdr:rowOff>
    </xdr:from>
    <xdr:to>
      <xdr:col>0</xdr:col>
      <xdr:colOff>871538</xdr:colOff>
      <xdr:row>718</xdr:row>
      <xdr:rowOff>760942</xdr:rowOff>
    </xdr:to>
    <xdr:pic>
      <xdr:nvPicPr>
        <xdr:cNvPr id="1418" name="Obraz 1417">
          <a:extLst>
            <a:ext uri="{FF2B5EF4-FFF2-40B4-BE49-F238E27FC236}">
              <a16:creationId xmlns:a16="http://schemas.microsoft.com/office/drawing/2014/main" id="{B157AE7E-8D34-24B1-A00D-0F4C02C9A7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466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718</xdr:row>
      <xdr:rowOff>760942</xdr:rowOff>
    </xdr:from>
    <xdr:to>
      <xdr:col>0</xdr:col>
      <xdr:colOff>871538</xdr:colOff>
      <xdr:row>719</xdr:row>
      <xdr:rowOff>760942</xdr:rowOff>
    </xdr:to>
    <xdr:pic>
      <xdr:nvPicPr>
        <xdr:cNvPr id="1420" name="Obraz 1419">
          <a:extLst>
            <a:ext uri="{FF2B5EF4-FFF2-40B4-BE49-F238E27FC236}">
              <a16:creationId xmlns:a16="http://schemas.microsoft.com/office/drawing/2014/main" id="{F0CDEBEC-C236-9E84-2999-48FD585F9D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474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719</xdr:row>
      <xdr:rowOff>760942</xdr:rowOff>
    </xdr:from>
    <xdr:to>
      <xdr:col>0</xdr:col>
      <xdr:colOff>871538</xdr:colOff>
      <xdr:row>720</xdr:row>
      <xdr:rowOff>760942</xdr:rowOff>
    </xdr:to>
    <xdr:pic>
      <xdr:nvPicPr>
        <xdr:cNvPr id="1422" name="Obraz 1421">
          <a:extLst>
            <a:ext uri="{FF2B5EF4-FFF2-40B4-BE49-F238E27FC236}">
              <a16:creationId xmlns:a16="http://schemas.microsoft.com/office/drawing/2014/main" id="{02BAD967-956F-D088-8C22-84384174F2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481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720</xdr:row>
      <xdr:rowOff>760942</xdr:rowOff>
    </xdr:from>
    <xdr:to>
      <xdr:col>0</xdr:col>
      <xdr:colOff>871538</xdr:colOff>
      <xdr:row>721</xdr:row>
      <xdr:rowOff>760942</xdr:rowOff>
    </xdr:to>
    <xdr:pic>
      <xdr:nvPicPr>
        <xdr:cNvPr id="1424" name="Obraz 1423">
          <a:extLst>
            <a:ext uri="{FF2B5EF4-FFF2-40B4-BE49-F238E27FC236}">
              <a16:creationId xmlns:a16="http://schemas.microsoft.com/office/drawing/2014/main" id="{FDE56817-9DAA-5174-F77A-4C144013F1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489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721</xdr:row>
      <xdr:rowOff>760942</xdr:rowOff>
    </xdr:from>
    <xdr:to>
      <xdr:col>0</xdr:col>
      <xdr:colOff>871538</xdr:colOff>
      <xdr:row>722</xdr:row>
      <xdr:rowOff>760942</xdr:rowOff>
    </xdr:to>
    <xdr:pic>
      <xdr:nvPicPr>
        <xdr:cNvPr id="1426" name="Obraz 1425">
          <a:extLst>
            <a:ext uri="{FF2B5EF4-FFF2-40B4-BE49-F238E27FC236}">
              <a16:creationId xmlns:a16="http://schemas.microsoft.com/office/drawing/2014/main" id="{3726881A-3D26-3D55-36A5-EAF225F6BE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496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722</xdr:row>
      <xdr:rowOff>760942</xdr:rowOff>
    </xdr:from>
    <xdr:to>
      <xdr:col>0</xdr:col>
      <xdr:colOff>871538</xdr:colOff>
      <xdr:row>723</xdr:row>
      <xdr:rowOff>760942</xdr:rowOff>
    </xdr:to>
    <xdr:pic>
      <xdr:nvPicPr>
        <xdr:cNvPr id="1428" name="Obraz 1427">
          <a:extLst>
            <a:ext uri="{FF2B5EF4-FFF2-40B4-BE49-F238E27FC236}">
              <a16:creationId xmlns:a16="http://schemas.microsoft.com/office/drawing/2014/main" id="{3057B9FD-ED85-D9A6-F2AE-6098F58B3B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04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723</xdr:row>
      <xdr:rowOff>760942</xdr:rowOff>
    </xdr:from>
    <xdr:to>
      <xdr:col>0</xdr:col>
      <xdr:colOff>871538</xdr:colOff>
      <xdr:row>724</xdr:row>
      <xdr:rowOff>760942</xdr:rowOff>
    </xdr:to>
    <xdr:pic>
      <xdr:nvPicPr>
        <xdr:cNvPr id="1430" name="Obraz 1429">
          <a:extLst>
            <a:ext uri="{FF2B5EF4-FFF2-40B4-BE49-F238E27FC236}">
              <a16:creationId xmlns:a16="http://schemas.microsoft.com/office/drawing/2014/main" id="{1D1512FC-EC42-051C-FD08-08740972BC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12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724</xdr:row>
      <xdr:rowOff>760942</xdr:rowOff>
    </xdr:from>
    <xdr:to>
      <xdr:col>0</xdr:col>
      <xdr:colOff>871538</xdr:colOff>
      <xdr:row>725</xdr:row>
      <xdr:rowOff>760942</xdr:rowOff>
    </xdr:to>
    <xdr:pic>
      <xdr:nvPicPr>
        <xdr:cNvPr id="1432" name="Obraz 1431">
          <a:extLst>
            <a:ext uri="{FF2B5EF4-FFF2-40B4-BE49-F238E27FC236}">
              <a16:creationId xmlns:a16="http://schemas.microsoft.com/office/drawing/2014/main" id="{BC287E39-BBBE-356F-4A34-8450DA0C55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19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725</xdr:row>
      <xdr:rowOff>760942</xdr:rowOff>
    </xdr:from>
    <xdr:to>
      <xdr:col>0</xdr:col>
      <xdr:colOff>871538</xdr:colOff>
      <xdr:row>726</xdr:row>
      <xdr:rowOff>760942</xdr:rowOff>
    </xdr:to>
    <xdr:pic>
      <xdr:nvPicPr>
        <xdr:cNvPr id="1434" name="Obraz 1433">
          <a:extLst>
            <a:ext uri="{FF2B5EF4-FFF2-40B4-BE49-F238E27FC236}">
              <a16:creationId xmlns:a16="http://schemas.microsoft.com/office/drawing/2014/main" id="{A26B9616-1B34-82A5-3E3F-2A4EBA3DC8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27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726</xdr:row>
      <xdr:rowOff>760942</xdr:rowOff>
    </xdr:from>
    <xdr:to>
      <xdr:col>0</xdr:col>
      <xdr:colOff>871538</xdr:colOff>
      <xdr:row>727</xdr:row>
      <xdr:rowOff>760942</xdr:rowOff>
    </xdr:to>
    <xdr:pic>
      <xdr:nvPicPr>
        <xdr:cNvPr id="1436" name="Obraz 1435">
          <a:extLst>
            <a:ext uri="{FF2B5EF4-FFF2-40B4-BE49-F238E27FC236}">
              <a16:creationId xmlns:a16="http://schemas.microsoft.com/office/drawing/2014/main" id="{8B84B8F1-82CD-8E1D-8969-0BEDEA7A41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35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727</xdr:row>
      <xdr:rowOff>760942</xdr:rowOff>
    </xdr:from>
    <xdr:to>
      <xdr:col>0</xdr:col>
      <xdr:colOff>871538</xdr:colOff>
      <xdr:row>728</xdr:row>
      <xdr:rowOff>760942</xdr:rowOff>
    </xdr:to>
    <xdr:pic>
      <xdr:nvPicPr>
        <xdr:cNvPr id="1438" name="Obraz 1437">
          <a:extLst>
            <a:ext uri="{FF2B5EF4-FFF2-40B4-BE49-F238E27FC236}">
              <a16:creationId xmlns:a16="http://schemas.microsoft.com/office/drawing/2014/main" id="{42F904CF-C612-2DCD-805F-0C8B1E78E6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42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728</xdr:row>
      <xdr:rowOff>760942</xdr:rowOff>
    </xdr:from>
    <xdr:to>
      <xdr:col>0</xdr:col>
      <xdr:colOff>871538</xdr:colOff>
      <xdr:row>729</xdr:row>
      <xdr:rowOff>760942</xdr:rowOff>
    </xdr:to>
    <xdr:pic>
      <xdr:nvPicPr>
        <xdr:cNvPr id="1440" name="Obraz 1439">
          <a:extLst>
            <a:ext uri="{FF2B5EF4-FFF2-40B4-BE49-F238E27FC236}">
              <a16:creationId xmlns:a16="http://schemas.microsoft.com/office/drawing/2014/main" id="{5530E0A3-2604-ABEC-3748-52FDD16E18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50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729</xdr:row>
      <xdr:rowOff>760942</xdr:rowOff>
    </xdr:from>
    <xdr:to>
      <xdr:col>0</xdr:col>
      <xdr:colOff>871538</xdr:colOff>
      <xdr:row>730</xdr:row>
      <xdr:rowOff>760942</xdr:rowOff>
    </xdr:to>
    <xdr:pic>
      <xdr:nvPicPr>
        <xdr:cNvPr id="1442" name="Obraz 1441">
          <a:extLst>
            <a:ext uri="{FF2B5EF4-FFF2-40B4-BE49-F238E27FC236}">
              <a16:creationId xmlns:a16="http://schemas.microsoft.com/office/drawing/2014/main" id="{D9A6AFA2-46F8-F94E-D50A-121BA5896D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57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730</xdr:row>
      <xdr:rowOff>760942</xdr:rowOff>
    </xdr:from>
    <xdr:to>
      <xdr:col>0</xdr:col>
      <xdr:colOff>871538</xdr:colOff>
      <xdr:row>731</xdr:row>
      <xdr:rowOff>760942</xdr:rowOff>
    </xdr:to>
    <xdr:pic>
      <xdr:nvPicPr>
        <xdr:cNvPr id="1444" name="Obraz 1443">
          <a:extLst>
            <a:ext uri="{FF2B5EF4-FFF2-40B4-BE49-F238E27FC236}">
              <a16:creationId xmlns:a16="http://schemas.microsoft.com/office/drawing/2014/main" id="{A3E55FDA-E972-5801-869D-079636664E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65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731</xdr:row>
      <xdr:rowOff>760942</xdr:rowOff>
    </xdr:from>
    <xdr:to>
      <xdr:col>0</xdr:col>
      <xdr:colOff>871538</xdr:colOff>
      <xdr:row>732</xdr:row>
      <xdr:rowOff>760942</xdr:rowOff>
    </xdr:to>
    <xdr:pic>
      <xdr:nvPicPr>
        <xdr:cNvPr id="1446" name="Obraz 1445">
          <a:extLst>
            <a:ext uri="{FF2B5EF4-FFF2-40B4-BE49-F238E27FC236}">
              <a16:creationId xmlns:a16="http://schemas.microsoft.com/office/drawing/2014/main" id="{79D7B2D5-074A-6E47-3C18-C3128F77FA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73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732</xdr:row>
      <xdr:rowOff>760942</xdr:rowOff>
    </xdr:from>
    <xdr:to>
      <xdr:col>0</xdr:col>
      <xdr:colOff>871538</xdr:colOff>
      <xdr:row>733</xdr:row>
      <xdr:rowOff>760942</xdr:rowOff>
    </xdr:to>
    <xdr:pic>
      <xdr:nvPicPr>
        <xdr:cNvPr id="1448" name="Obraz 1447">
          <a:extLst>
            <a:ext uri="{FF2B5EF4-FFF2-40B4-BE49-F238E27FC236}">
              <a16:creationId xmlns:a16="http://schemas.microsoft.com/office/drawing/2014/main" id="{B79779DC-78A2-2CA9-8D05-76D15EC4DC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80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733</xdr:row>
      <xdr:rowOff>760942</xdr:rowOff>
    </xdr:from>
    <xdr:to>
      <xdr:col>0</xdr:col>
      <xdr:colOff>871538</xdr:colOff>
      <xdr:row>734</xdr:row>
      <xdr:rowOff>760942</xdr:rowOff>
    </xdr:to>
    <xdr:pic>
      <xdr:nvPicPr>
        <xdr:cNvPr id="1450" name="Obraz 1449">
          <a:extLst>
            <a:ext uri="{FF2B5EF4-FFF2-40B4-BE49-F238E27FC236}">
              <a16:creationId xmlns:a16="http://schemas.microsoft.com/office/drawing/2014/main" id="{D718F5F8-6E1D-DDDD-5B4E-2B42D49FB1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88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734</xdr:row>
      <xdr:rowOff>760942</xdr:rowOff>
    </xdr:from>
    <xdr:to>
      <xdr:col>0</xdr:col>
      <xdr:colOff>871538</xdr:colOff>
      <xdr:row>735</xdr:row>
      <xdr:rowOff>760942</xdr:rowOff>
    </xdr:to>
    <xdr:pic>
      <xdr:nvPicPr>
        <xdr:cNvPr id="1452" name="Obraz 1451">
          <a:extLst>
            <a:ext uri="{FF2B5EF4-FFF2-40B4-BE49-F238E27FC236}">
              <a16:creationId xmlns:a16="http://schemas.microsoft.com/office/drawing/2014/main" id="{2917089F-A8BB-6001-4049-D616B2C9BC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96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735</xdr:row>
      <xdr:rowOff>760942</xdr:rowOff>
    </xdr:from>
    <xdr:to>
      <xdr:col>0</xdr:col>
      <xdr:colOff>871538</xdr:colOff>
      <xdr:row>736</xdr:row>
      <xdr:rowOff>760942</xdr:rowOff>
    </xdr:to>
    <xdr:pic>
      <xdr:nvPicPr>
        <xdr:cNvPr id="1454" name="Obraz 1453">
          <a:extLst>
            <a:ext uri="{FF2B5EF4-FFF2-40B4-BE49-F238E27FC236}">
              <a16:creationId xmlns:a16="http://schemas.microsoft.com/office/drawing/2014/main" id="{D8D640FD-E3AA-51A7-02A4-80E408532A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603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736</xdr:row>
      <xdr:rowOff>760942</xdr:rowOff>
    </xdr:from>
    <xdr:to>
      <xdr:col>0</xdr:col>
      <xdr:colOff>871538</xdr:colOff>
      <xdr:row>737</xdr:row>
      <xdr:rowOff>760942</xdr:rowOff>
    </xdr:to>
    <xdr:pic>
      <xdr:nvPicPr>
        <xdr:cNvPr id="1456" name="Obraz 1455">
          <a:extLst>
            <a:ext uri="{FF2B5EF4-FFF2-40B4-BE49-F238E27FC236}">
              <a16:creationId xmlns:a16="http://schemas.microsoft.com/office/drawing/2014/main" id="{8F4272F6-1530-D60F-58C1-EC7FF3AEF8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611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737</xdr:row>
      <xdr:rowOff>760942</xdr:rowOff>
    </xdr:from>
    <xdr:to>
      <xdr:col>0</xdr:col>
      <xdr:colOff>871538</xdr:colOff>
      <xdr:row>738</xdr:row>
      <xdr:rowOff>760942</xdr:rowOff>
    </xdr:to>
    <xdr:pic>
      <xdr:nvPicPr>
        <xdr:cNvPr id="1458" name="Obraz 1457">
          <a:extLst>
            <a:ext uri="{FF2B5EF4-FFF2-40B4-BE49-F238E27FC236}">
              <a16:creationId xmlns:a16="http://schemas.microsoft.com/office/drawing/2014/main" id="{209D44B8-FCF5-64EF-0405-D677645429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618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738</xdr:row>
      <xdr:rowOff>760942</xdr:rowOff>
    </xdr:from>
    <xdr:to>
      <xdr:col>0</xdr:col>
      <xdr:colOff>871538</xdr:colOff>
      <xdr:row>739</xdr:row>
      <xdr:rowOff>760942</xdr:rowOff>
    </xdr:to>
    <xdr:pic>
      <xdr:nvPicPr>
        <xdr:cNvPr id="1460" name="Obraz 1459">
          <a:extLst>
            <a:ext uri="{FF2B5EF4-FFF2-40B4-BE49-F238E27FC236}">
              <a16:creationId xmlns:a16="http://schemas.microsoft.com/office/drawing/2014/main" id="{361F5B4A-2F1E-9284-47B6-175D5CEFB1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626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739</xdr:row>
      <xdr:rowOff>760942</xdr:rowOff>
    </xdr:from>
    <xdr:to>
      <xdr:col>0</xdr:col>
      <xdr:colOff>871538</xdr:colOff>
      <xdr:row>740</xdr:row>
      <xdr:rowOff>760942</xdr:rowOff>
    </xdr:to>
    <xdr:pic>
      <xdr:nvPicPr>
        <xdr:cNvPr id="1462" name="Obraz 1461">
          <a:extLst>
            <a:ext uri="{FF2B5EF4-FFF2-40B4-BE49-F238E27FC236}">
              <a16:creationId xmlns:a16="http://schemas.microsoft.com/office/drawing/2014/main" id="{4FFE41FA-BCB1-C869-64F0-BB821E20F6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634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740</xdr:row>
      <xdr:rowOff>760942</xdr:rowOff>
    </xdr:from>
    <xdr:to>
      <xdr:col>0</xdr:col>
      <xdr:colOff>871538</xdr:colOff>
      <xdr:row>741</xdr:row>
      <xdr:rowOff>760942</xdr:rowOff>
    </xdr:to>
    <xdr:pic>
      <xdr:nvPicPr>
        <xdr:cNvPr id="1464" name="Obraz 1463">
          <a:extLst>
            <a:ext uri="{FF2B5EF4-FFF2-40B4-BE49-F238E27FC236}">
              <a16:creationId xmlns:a16="http://schemas.microsoft.com/office/drawing/2014/main" id="{F9F30A58-6331-862A-F2A3-FBC46ACF93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641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741</xdr:row>
      <xdr:rowOff>760942</xdr:rowOff>
    </xdr:from>
    <xdr:to>
      <xdr:col>0</xdr:col>
      <xdr:colOff>871538</xdr:colOff>
      <xdr:row>742</xdr:row>
      <xdr:rowOff>760942</xdr:rowOff>
    </xdr:to>
    <xdr:pic>
      <xdr:nvPicPr>
        <xdr:cNvPr id="1466" name="Obraz 1465">
          <a:extLst>
            <a:ext uri="{FF2B5EF4-FFF2-40B4-BE49-F238E27FC236}">
              <a16:creationId xmlns:a16="http://schemas.microsoft.com/office/drawing/2014/main" id="{2D6FC086-F0F3-4372-3BCF-62EE7A74BD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649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742</xdr:row>
      <xdr:rowOff>760942</xdr:rowOff>
    </xdr:from>
    <xdr:to>
      <xdr:col>0</xdr:col>
      <xdr:colOff>871538</xdr:colOff>
      <xdr:row>743</xdr:row>
      <xdr:rowOff>760942</xdr:rowOff>
    </xdr:to>
    <xdr:pic>
      <xdr:nvPicPr>
        <xdr:cNvPr id="1468" name="Obraz 1467">
          <a:extLst>
            <a:ext uri="{FF2B5EF4-FFF2-40B4-BE49-F238E27FC236}">
              <a16:creationId xmlns:a16="http://schemas.microsoft.com/office/drawing/2014/main" id="{5B9E9927-C489-9155-5C8F-BFEAFEE650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656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743</xdr:row>
      <xdr:rowOff>760942</xdr:rowOff>
    </xdr:from>
    <xdr:to>
      <xdr:col>0</xdr:col>
      <xdr:colOff>871538</xdr:colOff>
      <xdr:row>744</xdr:row>
      <xdr:rowOff>760942</xdr:rowOff>
    </xdr:to>
    <xdr:pic>
      <xdr:nvPicPr>
        <xdr:cNvPr id="1470" name="Obraz 1469">
          <a:extLst>
            <a:ext uri="{FF2B5EF4-FFF2-40B4-BE49-F238E27FC236}">
              <a16:creationId xmlns:a16="http://schemas.microsoft.com/office/drawing/2014/main" id="{3BD5CDB4-9554-60B8-14C0-B198CC1E9A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664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744</xdr:row>
      <xdr:rowOff>760942</xdr:rowOff>
    </xdr:from>
    <xdr:to>
      <xdr:col>0</xdr:col>
      <xdr:colOff>871538</xdr:colOff>
      <xdr:row>745</xdr:row>
      <xdr:rowOff>760942</xdr:rowOff>
    </xdr:to>
    <xdr:pic>
      <xdr:nvPicPr>
        <xdr:cNvPr id="1472" name="Obraz 1471">
          <a:extLst>
            <a:ext uri="{FF2B5EF4-FFF2-40B4-BE49-F238E27FC236}">
              <a16:creationId xmlns:a16="http://schemas.microsoft.com/office/drawing/2014/main" id="{F1B6A9BB-13CF-4CF2-C59C-E3AB81D134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672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745</xdr:row>
      <xdr:rowOff>760942</xdr:rowOff>
    </xdr:from>
    <xdr:to>
      <xdr:col>0</xdr:col>
      <xdr:colOff>871538</xdr:colOff>
      <xdr:row>746</xdr:row>
      <xdr:rowOff>760942</xdr:rowOff>
    </xdr:to>
    <xdr:pic>
      <xdr:nvPicPr>
        <xdr:cNvPr id="1474" name="Obraz 1473">
          <a:extLst>
            <a:ext uri="{FF2B5EF4-FFF2-40B4-BE49-F238E27FC236}">
              <a16:creationId xmlns:a16="http://schemas.microsoft.com/office/drawing/2014/main" id="{DE6676FA-EED7-7DE5-6D7C-427E34E7D3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679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746</xdr:row>
      <xdr:rowOff>760942</xdr:rowOff>
    </xdr:from>
    <xdr:to>
      <xdr:col>0</xdr:col>
      <xdr:colOff>871538</xdr:colOff>
      <xdr:row>747</xdr:row>
      <xdr:rowOff>760942</xdr:rowOff>
    </xdr:to>
    <xdr:pic>
      <xdr:nvPicPr>
        <xdr:cNvPr id="1476" name="Obraz 1475">
          <a:extLst>
            <a:ext uri="{FF2B5EF4-FFF2-40B4-BE49-F238E27FC236}">
              <a16:creationId xmlns:a16="http://schemas.microsoft.com/office/drawing/2014/main" id="{CB5391D3-2ACB-6E2E-50B9-08BCD07915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687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747</xdr:row>
      <xdr:rowOff>760942</xdr:rowOff>
    </xdr:from>
    <xdr:to>
      <xdr:col>0</xdr:col>
      <xdr:colOff>871538</xdr:colOff>
      <xdr:row>748</xdr:row>
      <xdr:rowOff>760942</xdr:rowOff>
    </xdr:to>
    <xdr:pic>
      <xdr:nvPicPr>
        <xdr:cNvPr id="1478" name="Obraz 1477">
          <a:extLst>
            <a:ext uri="{FF2B5EF4-FFF2-40B4-BE49-F238E27FC236}">
              <a16:creationId xmlns:a16="http://schemas.microsoft.com/office/drawing/2014/main" id="{1C498BD3-16BD-A273-7FAC-D2AF0C9C3E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695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748</xdr:row>
      <xdr:rowOff>760942</xdr:rowOff>
    </xdr:from>
    <xdr:to>
      <xdr:col>0</xdr:col>
      <xdr:colOff>871538</xdr:colOff>
      <xdr:row>749</xdr:row>
      <xdr:rowOff>760942</xdr:rowOff>
    </xdr:to>
    <xdr:pic>
      <xdr:nvPicPr>
        <xdr:cNvPr id="1480" name="Obraz 1479">
          <a:extLst>
            <a:ext uri="{FF2B5EF4-FFF2-40B4-BE49-F238E27FC236}">
              <a16:creationId xmlns:a16="http://schemas.microsoft.com/office/drawing/2014/main" id="{87E80F77-97DE-D760-D608-8FC951EF0C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702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749</xdr:row>
      <xdr:rowOff>760942</xdr:rowOff>
    </xdr:from>
    <xdr:to>
      <xdr:col>0</xdr:col>
      <xdr:colOff>871538</xdr:colOff>
      <xdr:row>750</xdr:row>
      <xdr:rowOff>760942</xdr:rowOff>
    </xdr:to>
    <xdr:pic>
      <xdr:nvPicPr>
        <xdr:cNvPr id="1482" name="Obraz 1481">
          <a:extLst>
            <a:ext uri="{FF2B5EF4-FFF2-40B4-BE49-F238E27FC236}">
              <a16:creationId xmlns:a16="http://schemas.microsoft.com/office/drawing/2014/main" id="{D2270120-EE5C-C31D-2995-15C2748847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710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750</xdr:row>
      <xdr:rowOff>760942</xdr:rowOff>
    </xdr:from>
    <xdr:to>
      <xdr:col>0</xdr:col>
      <xdr:colOff>871538</xdr:colOff>
      <xdr:row>751</xdr:row>
      <xdr:rowOff>760942</xdr:rowOff>
    </xdr:to>
    <xdr:pic>
      <xdr:nvPicPr>
        <xdr:cNvPr id="1484" name="Obraz 1483">
          <a:extLst>
            <a:ext uri="{FF2B5EF4-FFF2-40B4-BE49-F238E27FC236}">
              <a16:creationId xmlns:a16="http://schemas.microsoft.com/office/drawing/2014/main" id="{706CFF6B-3DE1-3357-3FF4-0E75561615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717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751</xdr:row>
      <xdr:rowOff>760942</xdr:rowOff>
    </xdr:from>
    <xdr:to>
      <xdr:col>0</xdr:col>
      <xdr:colOff>871538</xdr:colOff>
      <xdr:row>752</xdr:row>
      <xdr:rowOff>760942</xdr:rowOff>
    </xdr:to>
    <xdr:pic>
      <xdr:nvPicPr>
        <xdr:cNvPr id="1486" name="Obraz 1485">
          <a:extLst>
            <a:ext uri="{FF2B5EF4-FFF2-40B4-BE49-F238E27FC236}">
              <a16:creationId xmlns:a16="http://schemas.microsoft.com/office/drawing/2014/main" id="{70EA299B-49A0-D5EE-A196-C8172C95E2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725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752</xdr:row>
      <xdr:rowOff>760942</xdr:rowOff>
    </xdr:from>
    <xdr:to>
      <xdr:col>0</xdr:col>
      <xdr:colOff>871538</xdr:colOff>
      <xdr:row>753</xdr:row>
      <xdr:rowOff>760942</xdr:rowOff>
    </xdr:to>
    <xdr:pic>
      <xdr:nvPicPr>
        <xdr:cNvPr id="1488" name="Obraz 1487">
          <a:extLst>
            <a:ext uri="{FF2B5EF4-FFF2-40B4-BE49-F238E27FC236}">
              <a16:creationId xmlns:a16="http://schemas.microsoft.com/office/drawing/2014/main" id="{92464A88-4B33-4447-8FB6-BF41874835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733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753</xdr:row>
      <xdr:rowOff>760942</xdr:rowOff>
    </xdr:from>
    <xdr:to>
      <xdr:col>0</xdr:col>
      <xdr:colOff>871538</xdr:colOff>
      <xdr:row>754</xdr:row>
      <xdr:rowOff>760942</xdr:rowOff>
    </xdr:to>
    <xdr:pic>
      <xdr:nvPicPr>
        <xdr:cNvPr id="1490" name="Obraz 1489">
          <a:extLst>
            <a:ext uri="{FF2B5EF4-FFF2-40B4-BE49-F238E27FC236}">
              <a16:creationId xmlns:a16="http://schemas.microsoft.com/office/drawing/2014/main" id="{3AF758ED-98FB-CF10-D9DB-D5F575E694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740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754</xdr:row>
      <xdr:rowOff>760942</xdr:rowOff>
    </xdr:from>
    <xdr:to>
      <xdr:col>0</xdr:col>
      <xdr:colOff>871538</xdr:colOff>
      <xdr:row>755</xdr:row>
      <xdr:rowOff>760942</xdr:rowOff>
    </xdr:to>
    <xdr:pic>
      <xdr:nvPicPr>
        <xdr:cNvPr id="1492" name="Obraz 1491">
          <a:extLst>
            <a:ext uri="{FF2B5EF4-FFF2-40B4-BE49-F238E27FC236}">
              <a16:creationId xmlns:a16="http://schemas.microsoft.com/office/drawing/2014/main" id="{AF86BF30-99CB-B269-FEF3-F82C4AC90B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748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755</xdr:row>
      <xdr:rowOff>760942</xdr:rowOff>
    </xdr:from>
    <xdr:to>
      <xdr:col>0</xdr:col>
      <xdr:colOff>871538</xdr:colOff>
      <xdr:row>756</xdr:row>
      <xdr:rowOff>760942</xdr:rowOff>
    </xdr:to>
    <xdr:pic>
      <xdr:nvPicPr>
        <xdr:cNvPr id="1494" name="Obraz 1493">
          <a:extLst>
            <a:ext uri="{FF2B5EF4-FFF2-40B4-BE49-F238E27FC236}">
              <a16:creationId xmlns:a16="http://schemas.microsoft.com/office/drawing/2014/main" id="{3268ABD4-915F-55CE-F744-1BE4D88B8B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756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756</xdr:row>
      <xdr:rowOff>760942</xdr:rowOff>
    </xdr:from>
    <xdr:to>
      <xdr:col>0</xdr:col>
      <xdr:colOff>871538</xdr:colOff>
      <xdr:row>757</xdr:row>
      <xdr:rowOff>760942</xdr:rowOff>
    </xdr:to>
    <xdr:pic>
      <xdr:nvPicPr>
        <xdr:cNvPr id="1496" name="Obraz 1495">
          <a:extLst>
            <a:ext uri="{FF2B5EF4-FFF2-40B4-BE49-F238E27FC236}">
              <a16:creationId xmlns:a16="http://schemas.microsoft.com/office/drawing/2014/main" id="{0C25AD36-D917-F976-6B16-D668F23D5F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763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757</xdr:row>
      <xdr:rowOff>760942</xdr:rowOff>
    </xdr:from>
    <xdr:to>
      <xdr:col>0</xdr:col>
      <xdr:colOff>871538</xdr:colOff>
      <xdr:row>758</xdr:row>
      <xdr:rowOff>760942</xdr:rowOff>
    </xdr:to>
    <xdr:pic>
      <xdr:nvPicPr>
        <xdr:cNvPr id="1498" name="Obraz 1497">
          <a:extLst>
            <a:ext uri="{FF2B5EF4-FFF2-40B4-BE49-F238E27FC236}">
              <a16:creationId xmlns:a16="http://schemas.microsoft.com/office/drawing/2014/main" id="{3CE46C0F-4815-1690-1626-9858134CD7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771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758</xdr:row>
      <xdr:rowOff>760942</xdr:rowOff>
    </xdr:from>
    <xdr:to>
      <xdr:col>0</xdr:col>
      <xdr:colOff>871538</xdr:colOff>
      <xdr:row>759</xdr:row>
      <xdr:rowOff>760942</xdr:rowOff>
    </xdr:to>
    <xdr:pic>
      <xdr:nvPicPr>
        <xdr:cNvPr id="1500" name="Obraz 1499">
          <a:extLst>
            <a:ext uri="{FF2B5EF4-FFF2-40B4-BE49-F238E27FC236}">
              <a16:creationId xmlns:a16="http://schemas.microsoft.com/office/drawing/2014/main" id="{AE51BABC-29F2-C3D2-07CD-93955995F4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778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759</xdr:row>
      <xdr:rowOff>760942</xdr:rowOff>
    </xdr:from>
    <xdr:to>
      <xdr:col>0</xdr:col>
      <xdr:colOff>871538</xdr:colOff>
      <xdr:row>760</xdr:row>
      <xdr:rowOff>760942</xdr:rowOff>
    </xdr:to>
    <xdr:pic>
      <xdr:nvPicPr>
        <xdr:cNvPr id="1502" name="Obraz 1501">
          <a:extLst>
            <a:ext uri="{FF2B5EF4-FFF2-40B4-BE49-F238E27FC236}">
              <a16:creationId xmlns:a16="http://schemas.microsoft.com/office/drawing/2014/main" id="{01785C6B-BAE9-CEDC-C4E8-DDA8207308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786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760</xdr:row>
      <xdr:rowOff>760942</xdr:rowOff>
    </xdr:from>
    <xdr:to>
      <xdr:col>0</xdr:col>
      <xdr:colOff>871538</xdr:colOff>
      <xdr:row>761</xdr:row>
      <xdr:rowOff>760942</xdr:rowOff>
    </xdr:to>
    <xdr:pic>
      <xdr:nvPicPr>
        <xdr:cNvPr id="1504" name="Obraz 1503">
          <a:extLst>
            <a:ext uri="{FF2B5EF4-FFF2-40B4-BE49-F238E27FC236}">
              <a16:creationId xmlns:a16="http://schemas.microsoft.com/office/drawing/2014/main" id="{B82D5144-16E0-2B9C-7F51-DF50362C3C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794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761</xdr:row>
      <xdr:rowOff>760942</xdr:rowOff>
    </xdr:from>
    <xdr:to>
      <xdr:col>0</xdr:col>
      <xdr:colOff>871538</xdr:colOff>
      <xdr:row>762</xdr:row>
      <xdr:rowOff>760942</xdr:rowOff>
    </xdr:to>
    <xdr:pic>
      <xdr:nvPicPr>
        <xdr:cNvPr id="1506" name="Obraz 1505">
          <a:extLst>
            <a:ext uri="{FF2B5EF4-FFF2-40B4-BE49-F238E27FC236}">
              <a16:creationId xmlns:a16="http://schemas.microsoft.com/office/drawing/2014/main" id="{5CD8D107-F69D-38D0-7044-12652E29D9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01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762</xdr:row>
      <xdr:rowOff>760942</xdr:rowOff>
    </xdr:from>
    <xdr:to>
      <xdr:col>0</xdr:col>
      <xdr:colOff>871538</xdr:colOff>
      <xdr:row>763</xdr:row>
      <xdr:rowOff>760942</xdr:rowOff>
    </xdr:to>
    <xdr:pic>
      <xdr:nvPicPr>
        <xdr:cNvPr id="1508" name="Obraz 1507">
          <a:extLst>
            <a:ext uri="{FF2B5EF4-FFF2-40B4-BE49-F238E27FC236}">
              <a16:creationId xmlns:a16="http://schemas.microsoft.com/office/drawing/2014/main" id="{8EADFFAF-843A-2FBD-CD9E-9BA5EE1F05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09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763</xdr:row>
      <xdr:rowOff>760942</xdr:rowOff>
    </xdr:from>
    <xdr:to>
      <xdr:col>0</xdr:col>
      <xdr:colOff>871538</xdr:colOff>
      <xdr:row>764</xdr:row>
      <xdr:rowOff>760942</xdr:rowOff>
    </xdr:to>
    <xdr:pic>
      <xdr:nvPicPr>
        <xdr:cNvPr id="1510" name="Obraz 1509">
          <a:extLst>
            <a:ext uri="{FF2B5EF4-FFF2-40B4-BE49-F238E27FC236}">
              <a16:creationId xmlns:a16="http://schemas.microsoft.com/office/drawing/2014/main" id="{2513D8AB-4D6D-5FAD-EEEB-56D2B6EC10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17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764</xdr:row>
      <xdr:rowOff>760942</xdr:rowOff>
    </xdr:from>
    <xdr:to>
      <xdr:col>0</xdr:col>
      <xdr:colOff>871538</xdr:colOff>
      <xdr:row>765</xdr:row>
      <xdr:rowOff>760942</xdr:rowOff>
    </xdr:to>
    <xdr:pic>
      <xdr:nvPicPr>
        <xdr:cNvPr id="1512" name="Obraz 1511">
          <a:extLst>
            <a:ext uri="{FF2B5EF4-FFF2-40B4-BE49-F238E27FC236}">
              <a16:creationId xmlns:a16="http://schemas.microsoft.com/office/drawing/2014/main" id="{D91DB6AC-B717-4496-BBD7-A8363908C5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24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765</xdr:row>
      <xdr:rowOff>760942</xdr:rowOff>
    </xdr:from>
    <xdr:to>
      <xdr:col>0</xdr:col>
      <xdr:colOff>871538</xdr:colOff>
      <xdr:row>766</xdr:row>
      <xdr:rowOff>760942</xdr:rowOff>
    </xdr:to>
    <xdr:pic>
      <xdr:nvPicPr>
        <xdr:cNvPr id="1514" name="Obraz 1513">
          <a:extLst>
            <a:ext uri="{FF2B5EF4-FFF2-40B4-BE49-F238E27FC236}">
              <a16:creationId xmlns:a16="http://schemas.microsoft.com/office/drawing/2014/main" id="{4BD020F1-465B-8BE9-5BC6-F2F963CF12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32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766</xdr:row>
      <xdr:rowOff>760942</xdr:rowOff>
    </xdr:from>
    <xdr:to>
      <xdr:col>0</xdr:col>
      <xdr:colOff>871538</xdr:colOff>
      <xdr:row>767</xdr:row>
      <xdr:rowOff>760942</xdr:rowOff>
    </xdr:to>
    <xdr:pic>
      <xdr:nvPicPr>
        <xdr:cNvPr id="1516" name="Obraz 1515">
          <a:extLst>
            <a:ext uri="{FF2B5EF4-FFF2-40B4-BE49-F238E27FC236}">
              <a16:creationId xmlns:a16="http://schemas.microsoft.com/office/drawing/2014/main" id="{8A07593E-94A4-558E-A91F-8ADEF470C7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39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767</xdr:row>
      <xdr:rowOff>760942</xdr:rowOff>
    </xdr:from>
    <xdr:to>
      <xdr:col>0</xdr:col>
      <xdr:colOff>871538</xdr:colOff>
      <xdr:row>768</xdr:row>
      <xdr:rowOff>760942</xdr:rowOff>
    </xdr:to>
    <xdr:pic>
      <xdr:nvPicPr>
        <xdr:cNvPr id="1518" name="Obraz 1517">
          <a:extLst>
            <a:ext uri="{FF2B5EF4-FFF2-40B4-BE49-F238E27FC236}">
              <a16:creationId xmlns:a16="http://schemas.microsoft.com/office/drawing/2014/main" id="{428EC01A-4DDD-85F6-0221-97075CF615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47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768</xdr:row>
      <xdr:rowOff>760942</xdr:rowOff>
    </xdr:from>
    <xdr:to>
      <xdr:col>0</xdr:col>
      <xdr:colOff>871538</xdr:colOff>
      <xdr:row>769</xdr:row>
      <xdr:rowOff>760942</xdr:rowOff>
    </xdr:to>
    <xdr:pic>
      <xdr:nvPicPr>
        <xdr:cNvPr id="1520" name="Obraz 1519">
          <a:extLst>
            <a:ext uri="{FF2B5EF4-FFF2-40B4-BE49-F238E27FC236}">
              <a16:creationId xmlns:a16="http://schemas.microsoft.com/office/drawing/2014/main" id="{6D5BB7B0-C040-841A-27AA-5C02C258AE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55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769</xdr:row>
      <xdr:rowOff>760942</xdr:rowOff>
    </xdr:from>
    <xdr:to>
      <xdr:col>0</xdr:col>
      <xdr:colOff>871538</xdr:colOff>
      <xdr:row>770</xdr:row>
      <xdr:rowOff>760942</xdr:rowOff>
    </xdr:to>
    <xdr:pic>
      <xdr:nvPicPr>
        <xdr:cNvPr id="1522" name="Obraz 1521">
          <a:extLst>
            <a:ext uri="{FF2B5EF4-FFF2-40B4-BE49-F238E27FC236}">
              <a16:creationId xmlns:a16="http://schemas.microsoft.com/office/drawing/2014/main" id="{3C01B769-D2D2-45C3-3C4B-B2B1991B7F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62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770</xdr:row>
      <xdr:rowOff>760942</xdr:rowOff>
    </xdr:from>
    <xdr:to>
      <xdr:col>0</xdr:col>
      <xdr:colOff>871538</xdr:colOff>
      <xdr:row>771</xdr:row>
      <xdr:rowOff>760942</xdr:rowOff>
    </xdr:to>
    <xdr:pic>
      <xdr:nvPicPr>
        <xdr:cNvPr id="1524" name="Obraz 1523">
          <a:extLst>
            <a:ext uri="{FF2B5EF4-FFF2-40B4-BE49-F238E27FC236}">
              <a16:creationId xmlns:a16="http://schemas.microsoft.com/office/drawing/2014/main" id="{9B26D524-080A-D677-C592-29438B6EAB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70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771</xdr:row>
      <xdr:rowOff>760942</xdr:rowOff>
    </xdr:from>
    <xdr:to>
      <xdr:col>0</xdr:col>
      <xdr:colOff>871538</xdr:colOff>
      <xdr:row>772</xdr:row>
      <xdr:rowOff>760942</xdr:rowOff>
    </xdr:to>
    <xdr:pic>
      <xdr:nvPicPr>
        <xdr:cNvPr id="1526" name="Obraz 1525">
          <a:extLst>
            <a:ext uri="{FF2B5EF4-FFF2-40B4-BE49-F238E27FC236}">
              <a16:creationId xmlns:a16="http://schemas.microsoft.com/office/drawing/2014/main" id="{F4D5596F-F5CD-F804-E229-AF5E311A9A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77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772</xdr:row>
      <xdr:rowOff>760942</xdr:rowOff>
    </xdr:from>
    <xdr:to>
      <xdr:col>0</xdr:col>
      <xdr:colOff>871538</xdr:colOff>
      <xdr:row>773</xdr:row>
      <xdr:rowOff>760942</xdr:rowOff>
    </xdr:to>
    <xdr:pic>
      <xdr:nvPicPr>
        <xdr:cNvPr id="1528" name="Obraz 1527">
          <a:extLst>
            <a:ext uri="{FF2B5EF4-FFF2-40B4-BE49-F238E27FC236}">
              <a16:creationId xmlns:a16="http://schemas.microsoft.com/office/drawing/2014/main" id="{BAA2C632-C997-64DF-97BA-22D9F931AD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85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773</xdr:row>
      <xdr:rowOff>760942</xdr:rowOff>
    </xdr:from>
    <xdr:to>
      <xdr:col>0</xdr:col>
      <xdr:colOff>871538</xdr:colOff>
      <xdr:row>774</xdr:row>
      <xdr:rowOff>760942</xdr:rowOff>
    </xdr:to>
    <xdr:pic>
      <xdr:nvPicPr>
        <xdr:cNvPr id="1530" name="Obraz 1529">
          <a:extLst>
            <a:ext uri="{FF2B5EF4-FFF2-40B4-BE49-F238E27FC236}">
              <a16:creationId xmlns:a16="http://schemas.microsoft.com/office/drawing/2014/main" id="{D295644F-E094-912E-CF6D-8F9A234A85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93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774</xdr:row>
      <xdr:rowOff>760942</xdr:rowOff>
    </xdr:from>
    <xdr:to>
      <xdr:col>0</xdr:col>
      <xdr:colOff>871538</xdr:colOff>
      <xdr:row>775</xdr:row>
      <xdr:rowOff>760942</xdr:rowOff>
    </xdr:to>
    <xdr:pic>
      <xdr:nvPicPr>
        <xdr:cNvPr id="1532" name="Obraz 1531">
          <a:extLst>
            <a:ext uri="{FF2B5EF4-FFF2-40B4-BE49-F238E27FC236}">
              <a16:creationId xmlns:a16="http://schemas.microsoft.com/office/drawing/2014/main" id="{24DE11D4-12BB-B996-70CD-884ECD9603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00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775</xdr:row>
      <xdr:rowOff>760942</xdr:rowOff>
    </xdr:from>
    <xdr:to>
      <xdr:col>0</xdr:col>
      <xdr:colOff>871538</xdr:colOff>
      <xdr:row>776</xdr:row>
      <xdr:rowOff>760942</xdr:rowOff>
    </xdr:to>
    <xdr:pic>
      <xdr:nvPicPr>
        <xdr:cNvPr id="1534" name="Obraz 1533">
          <a:extLst>
            <a:ext uri="{FF2B5EF4-FFF2-40B4-BE49-F238E27FC236}">
              <a16:creationId xmlns:a16="http://schemas.microsoft.com/office/drawing/2014/main" id="{9110D3F3-C0F4-C42C-63B5-952E81CFE6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08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776</xdr:row>
      <xdr:rowOff>760942</xdr:rowOff>
    </xdr:from>
    <xdr:to>
      <xdr:col>0</xdr:col>
      <xdr:colOff>871538</xdr:colOff>
      <xdr:row>777</xdr:row>
      <xdr:rowOff>760942</xdr:rowOff>
    </xdr:to>
    <xdr:pic>
      <xdr:nvPicPr>
        <xdr:cNvPr id="1536" name="Obraz 1535">
          <a:extLst>
            <a:ext uri="{FF2B5EF4-FFF2-40B4-BE49-F238E27FC236}">
              <a16:creationId xmlns:a16="http://schemas.microsoft.com/office/drawing/2014/main" id="{858C8A44-7EB3-6292-521C-E2BC03666E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16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777</xdr:row>
      <xdr:rowOff>760942</xdr:rowOff>
    </xdr:from>
    <xdr:to>
      <xdr:col>0</xdr:col>
      <xdr:colOff>871538</xdr:colOff>
      <xdr:row>778</xdr:row>
      <xdr:rowOff>760942</xdr:rowOff>
    </xdr:to>
    <xdr:pic>
      <xdr:nvPicPr>
        <xdr:cNvPr id="1538" name="Obraz 1537">
          <a:extLst>
            <a:ext uri="{FF2B5EF4-FFF2-40B4-BE49-F238E27FC236}">
              <a16:creationId xmlns:a16="http://schemas.microsoft.com/office/drawing/2014/main" id="{34D9453C-B08C-BB3F-AF8C-800183ED5A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23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778</xdr:row>
      <xdr:rowOff>760942</xdr:rowOff>
    </xdr:from>
    <xdr:to>
      <xdr:col>0</xdr:col>
      <xdr:colOff>871538</xdr:colOff>
      <xdr:row>779</xdr:row>
      <xdr:rowOff>760942</xdr:rowOff>
    </xdr:to>
    <xdr:pic>
      <xdr:nvPicPr>
        <xdr:cNvPr id="1540" name="Obraz 1539">
          <a:extLst>
            <a:ext uri="{FF2B5EF4-FFF2-40B4-BE49-F238E27FC236}">
              <a16:creationId xmlns:a16="http://schemas.microsoft.com/office/drawing/2014/main" id="{B61CE58F-83D4-D6C1-6F2D-ED51992233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31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779</xdr:row>
      <xdr:rowOff>760942</xdr:rowOff>
    </xdr:from>
    <xdr:to>
      <xdr:col>0</xdr:col>
      <xdr:colOff>871538</xdr:colOff>
      <xdr:row>780</xdr:row>
      <xdr:rowOff>760942</xdr:rowOff>
    </xdr:to>
    <xdr:pic>
      <xdr:nvPicPr>
        <xdr:cNvPr id="1542" name="Obraz 1541">
          <a:extLst>
            <a:ext uri="{FF2B5EF4-FFF2-40B4-BE49-F238E27FC236}">
              <a16:creationId xmlns:a16="http://schemas.microsoft.com/office/drawing/2014/main" id="{087DECFE-7D6F-8FC8-B6E1-A4FDCEF507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38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780</xdr:row>
      <xdr:rowOff>760942</xdr:rowOff>
    </xdr:from>
    <xdr:to>
      <xdr:col>0</xdr:col>
      <xdr:colOff>871538</xdr:colOff>
      <xdr:row>781</xdr:row>
      <xdr:rowOff>760942</xdr:rowOff>
    </xdr:to>
    <xdr:pic>
      <xdr:nvPicPr>
        <xdr:cNvPr id="1544" name="Obraz 1543">
          <a:extLst>
            <a:ext uri="{FF2B5EF4-FFF2-40B4-BE49-F238E27FC236}">
              <a16:creationId xmlns:a16="http://schemas.microsoft.com/office/drawing/2014/main" id="{A5F067F1-6989-11C9-6774-C9DE6B8C1F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46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781</xdr:row>
      <xdr:rowOff>760942</xdr:rowOff>
    </xdr:from>
    <xdr:to>
      <xdr:col>0</xdr:col>
      <xdr:colOff>871538</xdr:colOff>
      <xdr:row>782</xdr:row>
      <xdr:rowOff>760942</xdr:rowOff>
    </xdr:to>
    <xdr:pic>
      <xdr:nvPicPr>
        <xdr:cNvPr id="1546" name="Obraz 1545">
          <a:extLst>
            <a:ext uri="{FF2B5EF4-FFF2-40B4-BE49-F238E27FC236}">
              <a16:creationId xmlns:a16="http://schemas.microsoft.com/office/drawing/2014/main" id="{4A8399B5-ABBD-F36C-D547-66F5AF7FDE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54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782</xdr:row>
      <xdr:rowOff>760942</xdr:rowOff>
    </xdr:from>
    <xdr:to>
      <xdr:col>0</xdr:col>
      <xdr:colOff>871538</xdr:colOff>
      <xdr:row>783</xdr:row>
      <xdr:rowOff>760942</xdr:rowOff>
    </xdr:to>
    <xdr:pic>
      <xdr:nvPicPr>
        <xdr:cNvPr id="1548" name="Obraz 1547">
          <a:extLst>
            <a:ext uri="{FF2B5EF4-FFF2-40B4-BE49-F238E27FC236}">
              <a16:creationId xmlns:a16="http://schemas.microsoft.com/office/drawing/2014/main" id="{DB793887-C0C7-11FD-EF18-AD7892DC40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61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783</xdr:row>
      <xdr:rowOff>760942</xdr:rowOff>
    </xdr:from>
    <xdr:to>
      <xdr:col>0</xdr:col>
      <xdr:colOff>871538</xdr:colOff>
      <xdr:row>784</xdr:row>
      <xdr:rowOff>760942</xdr:rowOff>
    </xdr:to>
    <xdr:pic>
      <xdr:nvPicPr>
        <xdr:cNvPr id="1550" name="Obraz 1549">
          <a:extLst>
            <a:ext uri="{FF2B5EF4-FFF2-40B4-BE49-F238E27FC236}">
              <a16:creationId xmlns:a16="http://schemas.microsoft.com/office/drawing/2014/main" id="{3F5A381F-A534-4925-C6D8-0F17755B50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69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784</xdr:row>
      <xdr:rowOff>760942</xdr:rowOff>
    </xdr:from>
    <xdr:to>
      <xdr:col>0</xdr:col>
      <xdr:colOff>871538</xdr:colOff>
      <xdr:row>785</xdr:row>
      <xdr:rowOff>760942</xdr:rowOff>
    </xdr:to>
    <xdr:pic>
      <xdr:nvPicPr>
        <xdr:cNvPr id="1552" name="Obraz 1551">
          <a:extLst>
            <a:ext uri="{FF2B5EF4-FFF2-40B4-BE49-F238E27FC236}">
              <a16:creationId xmlns:a16="http://schemas.microsoft.com/office/drawing/2014/main" id="{8CCC84FE-10B0-8DE7-2120-1D5A36035E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77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785</xdr:row>
      <xdr:rowOff>760942</xdr:rowOff>
    </xdr:from>
    <xdr:to>
      <xdr:col>0</xdr:col>
      <xdr:colOff>871538</xdr:colOff>
      <xdr:row>786</xdr:row>
      <xdr:rowOff>760942</xdr:rowOff>
    </xdr:to>
    <xdr:pic>
      <xdr:nvPicPr>
        <xdr:cNvPr id="1554" name="Obraz 1553">
          <a:extLst>
            <a:ext uri="{FF2B5EF4-FFF2-40B4-BE49-F238E27FC236}">
              <a16:creationId xmlns:a16="http://schemas.microsoft.com/office/drawing/2014/main" id="{64B45110-123A-47F2-2CDA-D787474776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84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786</xdr:row>
      <xdr:rowOff>760942</xdr:rowOff>
    </xdr:from>
    <xdr:to>
      <xdr:col>0</xdr:col>
      <xdr:colOff>871538</xdr:colOff>
      <xdr:row>787</xdr:row>
      <xdr:rowOff>760942</xdr:rowOff>
    </xdr:to>
    <xdr:pic>
      <xdr:nvPicPr>
        <xdr:cNvPr id="1556" name="Obraz 1555">
          <a:extLst>
            <a:ext uri="{FF2B5EF4-FFF2-40B4-BE49-F238E27FC236}">
              <a16:creationId xmlns:a16="http://schemas.microsoft.com/office/drawing/2014/main" id="{58853793-9A1D-FE16-1975-1E52E21A9E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92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787</xdr:row>
      <xdr:rowOff>760942</xdr:rowOff>
    </xdr:from>
    <xdr:to>
      <xdr:col>0</xdr:col>
      <xdr:colOff>871538</xdr:colOff>
      <xdr:row>788</xdr:row>
      <xdr:rowOff>760942</xdr:rowOff>
    </xdr:to>
    <xdr:pic>
      <xdr:nvPicPr>
        <xdr:cNvPr id="1558" name="Obraz 1557">
          <a:extLst>
            <a:ext uri="{FF2B5EF4-FFF2-40B4-BE49-F238E27FC236}">
              <a16:creationId xmlns:a16="http://schemas.microsoft.com/office/drawing/2014/main" id="{4BFF59FA-DC72-AA25-7116-0B2A845CCC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99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788</xdr:row>
      <xdr:rowOff>760942</xdr:rowOff>
    </xdr:from>
    <xdr:to>
      <xdr:col>0</xdr:col>
      <xdr:colOff>871538</xdr:colOff>
      <xdr:row>789</xdr:row>
      <xdr:rowOff>760942</xdr:rowOff>
    </xdr:to>
    <xdr:pic>
      <xdr:nvPicPr>
        <xdr:cNvPr id="1560" name="Obraz 1559">
          <a:extLst>
            <a:ext uri="{FF2B5EF4-FFF2-40B4-BE49-F238E27FC236}">
              <a16:creationId xmlns:a16="http://schemas.microsoft.com/office/drawing/2014/main" id="{122BD46E-9EF0-DD35-8E7B-F367D4C099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007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789</xdr:row>
      <xdr:rowOff>760942</xdr:rowOff>
    </xdr:from>
    <xdr:to>
      <xdr:col>0</xdr:col>
      <xdr:colOff>871538</xdr:colOff>
      <xdr:row>790</xdr:row>
      <xdr:rowOff>760942</xdr:rowOff>
    </xdr:to>
    <xdr:pic>
      <xdr:nvPicPr>
        <xdr:cNvPr id="1562" name="Obraz 1561">
          <a:extLst>
            <a:ext uri="{FF2B5EF4-FFF2-40B4-BE49-F238E27FC236}">
              <a16:creationId xmlns:a16="http://schemas.microsoft.com/office/drawing/2014/main" id="{06ED07AC-3EC2-DB24-33F7-26839955F5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015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790</xdr:row>
      <xdr:rowOff>760942</xdr:rowOff>
    </xdr:from>
    <xdr:to>
      <xdr:col>0</xdr:col>
      <xdr:colOff>871538</xdr:colOff>
      <xdr:row>791</xdr:row>
      <xdr:rowOff>760942</xdr:rowOff>
    </xdr:to>
    <xdr:pic>
      <xdr:nvPicPr>
        <xdr:cNvPr id="1564" name="Obraz 1563">
          <a:extLst>
            <a:ext uri="{FF2B5EF4-FFF2-40B4-BE49-F238E27FC236}">
              <a16:creationId xmlns:a16="http://schemas.microsoft.com/office/drawing/2014/main" id="{AA079815-FA69-2D45-F38D-993B06F0FF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022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791</xdr:row>
      <xdr:rowOff>760942</xdr:rowOff>
    </xdr:from>
    <xdr:to>
      <xdr:col>0</xdr:col>
      <xdr:colOff>871538</xdr:colOff>
      <xdr:row>792</xdr:row>
      <xdr:rowOff>760942</xdr:rowOff>
    </xdr:to>
    <xdr:pic>
      <xdr:nvPicPr>
        <xdr:cNvPr id="1566" name="Obraz 1565">
          <a:extLst>
            <a:ext uri="{FF2B5EF4-FFF2-40B4-BE49-F238E27FC236}">
              <a16:creationId xmlns:a16="http://schemas.microsoft.com/office/drawing/2014/main" id="{50DCECD1-CDFB-5B68-9DF8-3366F5B0F4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030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792</xdr:row>
      <xdr:rowOff>760942</xdr:rowOff>
    </xdr:from>
    <xdr:to>
      <xdr:col>0</xdr:col>
      <xdr:colOff>871538</xdr:colOff>
      <xdr:row>793</xdr:row>
      <xdr:rowOff>760942</xdr:rowOff>
    </xdr:to>
    <xdr:pic>
      <xdr:nvPicPr>
        <xdr:cNvPr id="1568" name="Obraz 1567">
          <a:extLst>
            <a:ext uri="{FF2B5EF4-FFF2-40B4-BE49-F238E27FC236}">
              <a16:creationId xmlns:a16="http://schemas.microsoft.com/office/drawing/2014/main" id="{A0A8FB88-2CA6-1D80-F1F7-9DC0ED41E3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037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793</xdr:row>
      <xdr:rowOff>760942</xdr:rowOff>
    </xdr:from>
    <xdr:to>
      <xdr:col>0</xdr:col>
      <xdr:colOff>871538</xdr:colOff>
      <xdr:row>794</xdr:row>
      <xdr:rowOff>760942</xdr:rowOff>
    </xdr:to>
    <xdr:pic>
      <xdr:nvPicPr>
        <xdr:cNvPr id="1570" name="Obraz 1569">
          <a:extLst>
            <a:ext uri="{FF2B5EF4-FFF2-40B4-BE49-F238E27FC236}">
              <a16:creationId xmlns:a16="http://schemas.microsoft.com/office/drawing/2014/main" id="{FFF03C87-56DE-2154-085C-B0A58EDD56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045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794</xdr:row>
      <xdr:rowOff>760942</xdr:rowOff>
    </xdr:from>
    <xdr:to>
      <xdr:col>0</xdr:col>
      <xdr:colOff>871538</xdr:colOff>
      <xdr:row>795</xdr:row>
      <xdr:rowOff>760942</xdr:rowOff>
    </xdr:to>
    <xdr:pic>
      <xdr:nvPicPr>
        <xdr:cNvPr id="1572" name="Obraz 1571">
          <a:extLst>
            <a:ext uri="{FF2B5EF4-FFF2-40B4-BE49-F238E27FC236}">
              <a16:creationId xmlns:a16="http://schemas.microsoft.com/office/drawing/2014/main" id="{9AC006C6-98AA-A2BD-B5A8-E255EA1C74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053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795</xdr:row>
      <xdr:rowOff>760942</xdr:rowOff>
    </xdr:from>
    <xdr:to>
      <xdr:col>0</xdr:col>
      <xdr:colOff>871538</xdr:colOff>
      <xdr:row>796</xdr:row>
      <xdr:rowOff>760942</xdr:rowOff>
    </xdr:to>
    <xdr:pic>
      <xdr:nvPicPr>
        <xdr:cNvPr id="1574" name="Obraz 1573">
          <a:extLst>
            <a:ext uri="{FF2B5EF4-FFF2-40B4-BE49-F238E27FC236}">
              <a16:creationId xmlns:a16="http://schemas.microsoft.com/office/drawing/2014/main" id="{99864F2B-114D-59B0-B584-18DDABF0C0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060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796</xdr:row>
      <xdr:rowOff>760942</xdr:rowOff>
    </xdr:from>
    <xdr:to>
      <xdr:col>0</xdr:col>
      <xdr:colOff>871538</xdr:colOff>
      <xdr:row>797</xdr:row>
      <xdr:rowOff>760942</xdr:rowOff>
    </xdr:to>
    <xdr:pic>
      <xdr:nvPicPr>
        <xdr:cNvPr id="1576" name="Obraz 1575">
          <a:extLst>
            <a:ext uri="{FF2B5EF4-FFF2-40B4-BE49-F238E27FC236}">
              <a16:creationId xmlns:a16="http://schemas.microsoft.com/office/drawing/2014/main" id="{3266D818-03A9-5B41-5605-F7C9548BF9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068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797</xdr:row>
      <xdr:rowOff>760942</xdr:rowOff>
    </xdr:from>
    <xdr:to>
      <xdr:col>0</xdr:col>
      <xdr:colOff>871538</xdr:colOff>
      <xdr:row>798</xdr:row>
      <xdr:rowOff>760942</xdr:rowOff>
    </xdr:to>
    <xdr:pic>
      <xdr:nvPicPr>
        <xdr:cNvPr id="1578" name="Obraz 1577">
          <a:extLst>
            <a:ext uri="{FF2B5EF4-FFF2-40B4-BE49-F238E27FC236}">
              <a16:creationId xmlns:a16="http://schemas.microsoft.com/office/drawing/2014/main" id="{FFA24DB6-352B-4B37-BDE0-9DD6B9A6AB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076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798</xdr:row>
      <xdr:rowOff>760942</xdr:rowOff>
    </xdr:from>
    <xdr:to>
      <xdr:col>0</xdr:col>
      <xdr:colOff>871538</xdr:colOff>
      <xdr:row>799</xdr:row>
      <xdr:rowOff>760942</xdr:rowOff>
    </xdr:to>
    <xdr:pic>
      <xdr:nvPicPr>
        <xdr:cNvPr id="1580" name="Obraz 1579">
          <a:extLst>
            <a:ext uri="{FF2B5EF4-FFF2-40B4-BE49-F238E27FC236}">
              <a16:creationId xmlns:a16="http://schemas.microsoft.com/office/drawing/2014/main" id="{2E02E89D-6703-F1FE-5698-379386B80A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083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799</xdr:row>
      <xdr:rowOff>760942</xdr:rowOff>
    </xdr:from>
    <xdr:to>
      <xdr:col>0</xdr:col>
      <xdr:colOff>871538</xdr:colOff>
      <xdr:row>800</xdr:row>
      <xdr:rowOff>760942</xdr:rowOff>
    </xdr:to>
    <xdr:pic>
      <xdr:nvPicPr>
        <xdr:cNvPr id="1582" name="Obraz 1581">
          <a:extLst>
            <a:ext uri="{FF2B5EF4-FFF2-40B4-BE49-F238E27FC236}">
              <a16:creationId xmlns:a16="http://schemas.microsoft.com/office/drawing/2014/main" id="{644D87A0-5DA2-B49A-A467-5A08265EE5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091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800</xdr:row>
      <xdr:rowOff>760942</xdr:rowOff>
    </xdr:from>
    <xdr:to>
      <xdr:col>0</xdr:col>
      <xdr:colOff>871538</xdr:colOff>
      <xdr:row>801</xdr:row>
      <xdr:rowOff>760942</xdr:rowOff>
    </xdr:to>
    <xdr:pic>
      <xdr:nvPicPr>
        <xdr:cNvPr id="1584" name="Obraz 1583">
          <a:extLst>
            <a:ext uri="{FF2B5EF4-FFF2-40B4-BE49-F238E27FC236}">
              <a16:creationId xmlns:a16="http://schemas.microsoft.com/office/drawing/2014/main" id="{FB52B408-FDE0-1BF2-4A8E-38FB31516A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098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801</xdr:row>
      <xdr:rowOff>760942</xdr:rowOff>
    </xdr:from>
    <xdr:to>
      <xdr:col>0</xdr:col>
      <xdr:colOff>871538</xdr:colOff>
      <xdr:row>802</xdr:row>
      <xdr:rowOff>760942</xdr:rowOff>
    </xdr:to>
    <xdr:pic>
      <xdr:nvPicPr>
        <xdr:cNvPr id="1586" name="Obraz 1585">
          <a:extLst>
            <a:ext uri="{FF2B5EF4-FFF2-40B4-BE49-F238E27FC236}">
              <a16:creationId xmlns:a16="http://schemas.microsoft.com/office/drawing/2014/main" id="{A20DD092-50D4-4D50-3C12-2EF1B6E09D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106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802</xdr:row>
      <xdr:rowOff>760942</xdr:rowOff>
    </xdr:from>
    <xdr:to>
      <xdr:col>0</xdr:col>
      <xdr:colOff>871538</xdr:colOff>
      <xdr:row>803</xdr:row>
      <xdr:rowOff>760942</xdr:rowOff>
    </xdr:to>
    <xdr:pic>
      <xdr:nvPicPr>
        <xdr:cNvPr id="1588" name="Obraz 1587">
          <a:extLst>
            <a:ext uri="{FF2B5EF4-FFF2-40B4-BE49-F238E27FC236}">
              <a16:creationId xmlns:a16="http://schemas.microsoft.com/office/drawing/2014/main" id="{44F4B81E-8402-265D-6045-E4F9DF3AFC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114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803</xdr:row>
      <xdr:rowOff>760942</xdr:rowOff>
    </xdr:from>
    <xdr:to>
      <xdr:col>0</xdr:col>
      <xdr:colOff>871538</xdr:colOff>
      <xdr:row>804</xdr:row>
      <xdr:rowOff>760942</xdr:rowOff>
    </xdr:to>
    <xdr:pic>
      <xdr:nvPicPr>
        <xdr:cNvPr id="1590" name="Obraz 1589">
          <a:extLst>
            <a:ext uri="{FF2B5EF4-FFF2-40B4-BE49-F238E27FC236}">
              <a16:creationId xmlns:a16="http://schemas.microsoft.com/office/drawing/2014/main" id="{B7242D7D-DF94-4C54-9540-707C225878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121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804</xdr:row>
      <xdr:rowOff>760942</xdr:rowOff>
    </xdr:from>
    <xdr:to>
      <xdr:col>0</xdr:col>
      <xdr:colOff>871538</xdr:colOff>
      <xdr:row>805</xdr:row>
      <xdr:rowOff>760942</xdr:rowOff>
    </xdr:to>
    <xdr:pic>
      <xdr:nvPicPr>
        <xdr:cNvPr id="1592" name="Obraz 1591">
          <a:extLst>
            <a:ext uri="{FF2B5EF4-FFF2-40B4-BE49-F238E27FC236}">
              <a16:creationId xmlns:a16="http://schemas.microsoft.com/office/drawing/2014/main" id="{30A7E646-DCCE-1AEF-367F-923C03AB31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129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805</xdr:row>
      <xdr:rowOff>760942</xdr:rowOff>
    </xdr:from>
    <xdr:to>
      <xdr:col>0</xdr:col>
      <xdr:colOff>871538</xdr:colOff>
      <xdr:row>806</xdr:row>
      <xdr:rowOff>760942</xdr:rowOff>
    </xdr:to>
    <xdr:pic>
      <xdr:nvPicPr>
        <xdr:cNvPr id="1594" name="Obraz 1593">
          <a:extLst>
            <a:ext uri="{FF2B5EF4-FFF2-40B4-BE49-F238E27FC236}">
              <a16:creationId xmlns:a16="http://schemas.microsoft.com/office/drawing/2014/main" id="{037A0C76-071C-9580-C3E7-F3700B2919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137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806</xdr:row>
      <xdr:rowOff>760942</xdr:rowOff>
    </xdr:from>
    <xdr:to>
      <xdr:col>0</xdr:col>
      <xdr:colOff>871538</xdr:colOff>
      <xdr:row>807</xdr:row>
      <xdr:rowOff>760942</xdr:rowOff>
    </xdr:to>
    <xdr:pic>
      <xdr:nvPicPr>
        <xdr:cNvPr id="1596" name="Obraz 1595">
          <a:extLst>
            <a:ext uri="{FF2B5EF4-FFF2-40B4-BE49-F238E27FC236}">
              <a16:creationId xmlns:a16="http://schemas.microsoft.com/office/drawing/2014/main" id="{359A19BA-42C5-7038-2B0C-9567E73066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144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807</xdr:row>
      <xdr:rowOff>760942</xdr:rowOff>
    </xdr:from>
    <xdr:to>
      <xdr:col>0</xdr:col>
      <xdr:colOff>871538</xdr:colOff>
      <xdr:row>808</xdr:row>
      <xdr:rowOff>760942</xdr:rowOff>
    </xdr:to>
    <xdr:pic>
      <xdr:nvPicPr>
        <xdr:cNvPr id="1598" name="Obraz 1597">
          <a:extLst>
            <a:ext uri="{FF2B5EF4-FFF2-40B4-BE49-F238E27FC236}">
              <a16:creationId xmlns:a16="http://schemas.microsoft.com/office/drawing/2014/main" id="{ADB6A98D-3277-F7A9-7334-100FEBBC07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152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808</xdr:row>
      <xdr:rowOff>760942</xdr:rowOff>
    </xdr:from>
    <xdr:to>
      <xdr:col>0</xdr:col>
      <xdr:colOff>871538</xdr:colOff>
      <xdr:row>809</xdr:row>
      <xdr:rowOff>760942</xdr:rowOff>
    </xdr:to>
    <xdr:pic>
      <xdr:nvPicPr>
        <xdr:cNvPr id="1600" name="Obraz 1599">
          <a:extLst>
            <a:ext uri="{FF2B5EF4-FFF2-40B4-BE49-F238E27FC236}">
              <a16:creationId xmlns:a16="http://schemas.microsoft.com/office/drawing/2014/main" id="{4983AACE-406A-7B8B-8BF8-BA147C4A9F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159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809</xdr:row>
      <xdr:rowOff>760942</xdr:rowOff>
    </xdr:from>
    <xdr:to>
      <xdr:col>0</xdr:col>
      <xdr:colOff>871538</xdr:colOff>
      <xdr:row>810</xdr:row>
      <xdr:rowOff>760942</xdr:rowOff>
    </xdr:to>
    <xdr:pic>
      <xdr:nvPicPr>
        <xdr:cNvPr id="1602" name="Obraz 1601">
          <a:extLst>
            <a:ext uri="{FF2B5EF4-FFF2-40B4-BE49-F238E27FC236}">
              <a16:creationId xmlns:a16="http://schemas.microsoft.com/office/drawing/2014/main" id="{D17E86C8-C59C-67F4-A7C1-A7DA846004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167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810</xdr:row>
      <xdr:rowOff>760942</xdr:rowOff>
    </xdr:from>
    <xdr:to>
      <xdr:col>0</xdr:col>
      <xdr:colOff>871538</xdr:colOff>
      <xdr:row>811</xdr:row>
      <xdr:rowOff>760942</xdr:rowOff>
    </xdr:to>
    <xdr:pic>
      <xdr:nvPicPr>
        <xdr:cNvPr id="1604" name="Obraz 1603">
          <a:extLst>
            <a:ext uri="{FF2B5EF4-FFF2-40B4-BE49-F238E27FC236}">
              <a16:creationId xmlns:a16="http://schemas.microsoft.com/office/drawing/2014/main" id="{5288F00E-1F4C-6D56-09E5-BA1C60099C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175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811</xdr:row>
      <xdr:rowOff>760942</xdr:rowOff>
    </xdr:from>
    <xdr:to>
      <xdr:col>0</xdr:col>
      <xdr:colOff>871538</xdr:colOff>
      <xdr:row>812</xdr:row>
      <xdr:rowOff>760942</xdr:rowOff>
    </xdr:to>
    <xdr:pic>
      <xdr:nvPicPr>
        <xdr:cNvPr id="1606" name="Obraz 1605">
          <a:extLst>
            <a:ext uri="{FF2B5EF4-FFF2-40B4-BE49-F238E27FC236}">
              <a16:creationId xmlns:a16="http://schemas.microsoft.com/office/drawing/2014/main" id="{0955157C-400E-0D18-0316-F6437E5843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182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812</xdr:row>
      <xdr:rowOff>760942</xdr:rowOff>
    </xdr:from>
    <xdr:to>
      <xdr:col>0</xdr:col>
      <xdr:colOff>871538</xdr:colOff>
      <xdr:row>813</xdr:row>
      <xdr:rowOff>760942</xdr:rowOff>
    </xdr:to>
    <xdr:pic>
      <xdr:nvPicPr>
        <xdr:cNvPr id="1608" name="Obraz 1607">
          <a:extLst>
            <a:ext uri="{FF2B5EF4-FFF2-40B4-BE49-F238E27FC236}">
              <a16:creationId xmlns:a16="http://schemas.microsoft.com/office/drawing/2014/main" id="{9470BA10-7EA6-E1FD-003F-751173FBC2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190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813</xdr:row>
      <xdr:rowOff>760942</xdr:rowOff>
    </xdr:from>
    <xdr:to>
      <xdr:col>0</xdr:col>
      <xdr:colOff>871538</xdr:colOff>
      <xdr:row>814</xdr:row>
      <xdr:rowOff>760942</xdr:rowOff>
    </xdr:to>
    <xdr:pic>
      <xdr:nvPicPr>
        <xdr:cNvPr id="1610" name="Obraz 1609">
          <a:extLst>
            <a:ext uri="{FF2B5EF4-FFF2-40B4-BE49-F238E27FC236}">
              <a16:creationId xmlns:a16="http://schemas.microsoft.com/office/drawing/2014/main" id="{037E3E26-4195-D135-D70F-A356F1320A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198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814</xdr:row>
      <xdr:rowOff>760942</xdr:rowOff>
    </xdr:from>
    <xdr:to>
      <xdr:col>0</xdr:col>
      <xdr:colOff>871538</xdr:colOff>
      <xdr:row>815</xdr:row>
      <xdr:rowOff>760942</xdr:rowOff>
    </xdr:to>
    <xdr:pic>
      <xdr:nvPicPr>
        <xdr:cNvPr id="1612" name="Obraz 1611">
          <a:extLst>
            <a:ext uri="{FF2B5EF4-FFF2-40B4-BE49-F238E27FC236}">
              <a16:creationId xmlns:a16="http://schemas.microsoft.com/office/drawing/2014/main" id="{9623BF48-7942-AAA7-09C0-F16ACCE999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05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815</xdr:row>
      <xdr:rowOff>760942</xdr:rowOff>
    </xdr:from>
    <xdr:to>
      <xdr:col>0</xdr:col>
      <xdr:colOff>871538</xdr:colOff>
      <xdr:row>816</xdr:row>
      <xdr:rowOff>760942</xdr:rowOff>
    </xdr:to>
    <xdr:pic>
      <xdr:nvPicPr>
        <xdr:cNvPr id="1614" name="Obraz 1613">
          <a:extLst>
            <a:ext uri="{FF2B5EF4-FFF2-40B4-BE49-F238E27FC236}">
              <a16:creationId xmlns:a16="http://schemas.microsoft.com/office/drawing/2014/main" id="{271E2242-7500-9FDB-0B5E-E3E3E52F76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13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816</xdr:row>
      <xdr:rowOff>760942</xdr:rowOff>
    </xdr:from>
    <xdr:to>
      <xdr:col>0</xdr:col>
      <xdr:colOff>871538</xdr:colOff>
      <xdr:row>817</xdr:row>
      <xdr:rowOff>760942</xdr:rowOff>
    </xdr:to>
    <xdr:pic>
      <xdr:nvPicPr>
        <xdr:cNvPr id="1616" name="Obraz 1615">
          <a:extLst>
            <a:ext uri="{FF2B5EF4-FFF2-40B4-BE49-F238E27FC236}">
              <a16:creationId xmlns:a16="http://schemas.microsoft.com/office/drawing/2014/main" id="{8A7DC163-4704-89EF-109F-C54B7D8AFB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20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817</xdr:row>
      <xdr:rowOff>760942</xdr:rowOff>
    </xdr:from>
    <xdr:to>
      <xdr:col>0</xdr:col>
      <xdr:colOff>871538</xdr:colOff>
      <xdr:row>818</xdr:row>
      <xdr:rowOff>760942</xdr:rowOff>
    </xdr:to>
    <xdr:pic>
      <xdr:nvPicPr>
        <xdr:cNvPr id="1618" name="Obraz 1617">
          <a:extLst>
            <a:ext uri="{FF2B5EF4-FFF2-40B4-BE49-F238E27FC236}">
              <a16:creationId xmlns:a16="http://schemas.microsoft.com/office/drawing/2014/main" id="{0A67F030-F174-E8DC-F4D2-344938BA54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28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818</xdr:row>
      <xdr:rowOff>760942</xdr:rowOff>
    </xdr:from>
    <xdr:to>
      <xdr:col>0</xdr:col>
      <xdr:colOff>871538</xdr:colOff>
      <xdr:row>819</xdr:row>
      <xdr:rowOff>760942</xdr:rowOff>
    </xdr:to>
    <xdr:pic>
      <xdr:nvPicPr>
        <xdr:cNvPr id="1620" name="Obraz 1619">
          <a:extLst>
            <a:ext uri="{FF2B5EF4-FFF2-40B4-BE49-F238E27FC236}">
              <a16:creationId xmlns:a16="http://schemas.microsoft.com/office/drawing/2014/main" id="{EC8514EF-6C31-0D4D-3E82-8158048823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36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819</xdr:row>
      <xdr:rowOff>760942</xdr:rowOff>
    </xdr:from>
    <xdr:to>
      <xdr:col>0</xdr:col>
      <xdr:colOff>871538</xdr:colOff>
      <xdr:row>820</xdr:row>
      <xdr:rowOff>760942</xdr:rowOff>
    </xdr:to>
    <xdr:pic>
      <xdr:nvPicPr>
        <xdr:cNvPr id="1622" name="Obraz 1621">
          <a:extLst>
            <a:ext uri="{FF2B5EF4-FFF2-40B4-BE49-F238E27FC236}">
              <a16:creationId xmlns:a16="http://schemas.microsoft.com/office/drawing/2014/main" id="{A159B17F-B478-A2BF-DB6E-E6454B0A71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43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820</xdr:row>
      <xdr:rowOff>760942</xdr:rowOff>
    </xdr:from>
    <xdr:to>
      <xdr:col>0</xdr:col>
      <xdr:colOff>871538</xdr:colOff>
      <xdr:row>821</xdr:row>
      <xdr:rowOff>760942</xdr:rowOff>
    </xdr:to>
    <xdr:pic>
      <xdr:nvPicPr>
        <xdr:cNvPr id="1624" name="Obraz 1623">
          <a:extLst>
            <a:ext uri="{FF2B5EF4-FFF2-40B4-BE49-F238E27FC236}">
              <a16:creationId xmlns:a16="http://schemas.microsoft.com/office/drawing/2014/main" id="{E8F84C9B-96D3-61E6-A055-182C6E2A12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51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821</xdr:row>
      <xdr:rowOff>760942</xdr:rowOff>
    </xdr:from>
    <xdr:to>
      <xdr:col>0</xdr:col>
      <xdr:colOff>871538</xdr:colOff>
      <xdr:row>822</xdr:row>
      <xdr:rowOff>760942</xdr:rowOff>
    </xdr:to>
    <xdr:pic>
      <xdr:nvPicPr>
        <xdr:cNvPr id="1626" name="Obraz 1625">
          <a:extLst>
            <a:ext uri="{FF2B5EF4-FFF2-40B4-BE49-F238E27FC236}">
              <a16:creationId xmlns:a16="http://schemas.microsoft.com/office/drawing/2014/main" id="{0724B013-0E42-BA9B-D4C8-B4342C929F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58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822</xdr:row>
      <xdr:rowOff>760942</xdr:rowOff>
    </xdr:from>
    <xdr:to>
      <xdr:col>0</xdr:col>
      <xdr:colOff>871538</xdr:colOff>
      <xdr:row>823</xdr:row>
      <xdr:rowOff>760942</xdr:rowOff>
    </xdr:to>
    <xdr:pic>
      <xdr:nvPicPr>
        <xdr:cNvPr id="1628" name="Obraz 1627">
          <a:extLst>
            <a:ext uri="{FF2B5EF4-FFF2-40B4-BE49-F238E27FC236}">
              <a16:creationId xmlns:a16="http://schemas.microsoft.com/office/drawing/2014/main" id="{B29D1099-E016-D48C-84E2-2C468A1CD6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66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823</xdr:row>
      <xdr:rowOff>760942</xdr:rowOff>
    </xdr:from>
    <xdr:to>
      <xdr:col>0</xdr:col>
      <xdr:colOff>871538</xdr:colOff>
      <xdr:row>824</xdr:row>
      <xdr:rowOff>760942</xdr:rowOff>
    </xdr:to>
    <xdr:pic>
      <xdr:nvPicPr>
        <xdr:cNvPr id="1630" name="Obraz 1629">
          <a:extLst>
            <a:ext uri="{FF2B5EF4-FFF2-40B4-BE49-F238E27FC236}">
              <a16:creationId xmlns:a16="http://schemas.microsoft.com/office/drawing/2014/main" id="{FF80DE50-1055-5165-9DCD-0A7C3F6D57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74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824</xdr:row>
      <xdr:rowOff>760942</xdr:rowOff>
    </xdr:from>
    <xdr:to>
      <xdr:col>0</xdr:col>
      <xdr:colOff>871538</xdr:colOff>
      <xdr:row>825</xdr:row>
      <xdr:rowOff>760942</xdr:rowOff>
    </xdr:to>
    <xdr:pic>
      <xdr:nvPicPr>
        <xdr:cNvPr id="1632" name="Obraz 1631">
          <a:extLst>
            <a:ext uri="{FF2B5EF4-FFF2-40B4-BE49-F238E27FC236}">
              <a16:creationId xmlns:a16="http://schemas.microsoft.com/office/drawing/2014/main" id="{EC4A2482-55FB-4B27-550C-875971365F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81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825</xdr:row>
      <xdr:rowOff>760942</xdr:rowOff>
    </xdr:from>
    <xdr:to>
      <xdr:col>0</xdr:col>
      <xdr:colOff>871538</xdr:colOff>
      <xdr:row>826</xdr:row>
      <xdr:rowOff>760942</xdr:rowOff>
    </xdr:to>
    <xdr:pic>
      <xdr:nvPicPr>
        <xdr:cNvPr id="1634" name="Obraz 1633">
          <a:extLst>
            <a:ext uri="{FF2B5EF4-FFF2-40B4-BE49-F238E27FC236}">
              <a16:creationId xmlns:a16="http://schemas.microsoft.com/office/drawing/2014/main" id="{16696046-882A-68FC-799D-A3071BAF5B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89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826</xdr:row>
      <xdr:rowOff>760942</xdr:rowOff>
    </xdr:from>
    <xdr:to>
      <xdr:col>0</xdr:col>
      <xdr:colOff>871538</xdr:colOff>
      <xdr:row>827</xdr:row>
      <xdr:rowOff>760942</xdr:rowOff>
    </xdr:to>
    <xdr:pic>
      <xdr:nvPicPr>
        <xdr:cNvPr id="1636" name="Obraz 1635">
          <a:extLst>
            <a:ext uri="{FF2B5EF4-FFF2-40B4-BE49-F238E27FC236}">
              <a16:creationId xmlns:a16="http://schemas.microsoft.com/office/drawing/2014/main" id="{DEC30713-B652-4062-1C57-9CC67F5597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97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827</xdr:row>
      <xdr:rowOff>760942</xdr:rowOff>
    </xdr:from>
    <xdr:to>
      <xdr:col>0</xdr:col>
      <xdr:colOff>871538</xdr:colOff>
      <xdr:row>828</xdr:row>
      <xdr:rowOff>760942</xdr:rowOff>
    </xdr:to>
    <xdr:pic>
      <xdr:nvPicPr>
        <xdr:cNvPr id="1638" name="Obraz 1637">
          <a:extLst>
            <a:ext uri="{FF2B5EF4-FFF2-40B4-BE49-F238E27FC236}">
              <a16:creationId xmlns:a16="http://schemas.microsoft.com/office/drawing/2014/main" id="{B9FE7AED-AAD2-C80A-796A-AE45F8FA95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04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828</xdr:row>
      <xdr:rowOff>760942</xdr:rowOff>
    </xdr:from>
    <xdr:to>
      <xdr:col>0</xdr:col>
      <xdr:colOff>871538</xdr:colOff>
      <xdr:row>829</xdr:row>
      <xdr:rowOff>760942</xdr:rowOff>
    </xdr:to>
    <xdr:pic>
      <xdr:nvPicPr>
        <xdr:cNvPr id="1640" name="Obraz 1639">
          <a:extLst>
            <a:ext uri="{FF2B5EF4-FFF2-40B4-BE49-F238E27FC236}">
              <a16:creationId xmlns:a16="http://schemas.microsoft.com/office/drawing/2014/main" id="{B65314C6-5DB2-17E2-2225-031DCF8161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12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829</xdr:row>
      <xdr:rowOff>760942</xdr:rowOff>
    </xdr:from>
    <xdr:to>
      <xdr:col>0</xdr:col>
      <xdr:colOff>871538</xdr:colOff>
      <xdr:row>830</xdr:row>
      <xdr:rowOff>760942</xdr:rowOff>
    </xdr:to>
    <xdr:pic>
      <xdr:nvPicPr>
        <xdr:cNvPr id="1642" name="Obraz 1641">
          <a:extLst>
            <a:ext uri="{FF2B5EF4-FFF2-40B4-BE49-F238E27FC236}">
              <a16:creationId xmlns:a16="http://schemas.microsoft.com/office/drawing/2014/main" id="{EBEE3B54-0BE2-58D1-AE80-0ADAD17E8A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19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830</xdr:row>
      <xdr:rowOff>760942</xdr:rowOff>
    </xdr:from>
    <xdr:to>
      <xdr:col>0</xdr:col>
      <xdr:colOff>871538</xdr:colOff>
      <xdr:row>831</xdr:row>
      <xdr:rowOff>760942</xdr:rowOff>
    </xdr:to>
    <xdr:pic>
      <xdr:nvPicPr>
        <xdr:cNvPr id="1644" name="Obraz 1643">
          <a:extLst>
            <a:ext uri="{FF2B5EF4-FFF2-40B4-BE49-F238E27FC236}">
              <a16:creationId xmlns:a16="http://schemas.microsoft.com/office/drawing/2014/main" id="{C502BB23-DD54-01CF-190F-BBC2FBE263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27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831</xdr:row>
      <xdr:rowOff>760942</xdr:rowOff>
    </xdr:from>
    <xdr:to>
      <xdr:col>0</xdr:col>
      <xdr:colOff>871538</xdr:colOff>
      <xdr:row>832</xdr:row>
      <xdr:rowOff>760942</xdr:rowOff>
    </xdr:to>
    <xdr:pic>
      <xdr:nvPicPr>
        <xdr:cNvPr id="1646" name="Obraz 1645">
          <a:extLst>
            <a:ext uri="{FF2B5EF4-FFF2-40B4-BE49-F238E27FC236}">
              <a16:creationId xmlns:a16="http://schemas.microsoft.com/office/drawing/2014/main" id="{E0E98DED-15D8-DA94-A7D3-DF8439BDF8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35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832</xdr:row>
      <xdr:rowOff>760942</xdr:rowOff>
    </xdr:from>
    <xdr:to>
      <xdr:col>0</xdr:col>
      <xdr:colOff>871538</xdr:colOff>
      <xdr:row>833</xdr:row>
      <xdr:rowOff>760942</xdr:rowOff>
    </xdr:to>
    <xdr:pic>
      <xdr:nvPicPr>
        <xdr:cNvPr id="1648" name="Obraz 1647">
          <a:extLst>
            <a:ext uri="{FF2B5EF4-FFF2-40B4-BE49-F238E27FC236}">
              <a16:creationId xmlns:a16="http://schemas.microsoft.com/office/drawing/2014/main" id="{E68E8996-2790-C344-9CFD-9BBAEEC8A1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42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833</xdr:row>
      <xdr:rowOff>760942</xdr:rowOff>
    </xdr:from>
    <xdr:to>
      <xdr:col>0</xdr:col>
      <xdr:colOff>871538</xdr:colOff>
      <xdr:row>834</xdr:row>
      <xdr:rowOff>760942</xdr:rowOff>
    </xdr:to>
    <xdr:pic>
      <xdr:nvPicPr>
        <xdr:cNvPr id="1650" name="Obraz 1649">
          <a:extLst>
            <a:ext uri="{FF2B5EF4-FFF2-40B4-BE49-F238E27FC236}">
              <a16:creationId xmlns:a16="http://schemas.microsoft.com/office/drawing/2014/main" id="{7B1414BF-538B-32C8-B9F2-080B488168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50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834</xdr:row>
      <xdr:rowOff>760942</xdr:rowOff>
    </xdr:from>
    <xdr:to>
      <xdr:col>0</xdr:col>
      <xdr:colOff>871538</xdr:colOff>
      <xdr:row>835</xdr:row>
      <xdr:rowOff>760942</xdr:rowOff>
    </xdr:to>
    <xdr:pic>
      <xdr:nvPicPr>
        <xdr:cNvPr id="1652" name="Obraz 1651">
          <a:extLst>
            <a:ext uri="{FF2B5EF4-FFF2-40B4-BE49-F238E27FC236}">
              <a16:creationId xmlns:a16="http://schemas.microsoft.com/office/drawing/2014/main" id="{EE28E1EF-3F92-B174-8CB6-E7A168DB95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58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835</xdr:row>
      <xdr:rowOff>760942</xdr:rowOff>
    </xdr:from>
    <xdr:to>
      <xdr:col>0</xdr:col>
      <xdr:colOff>871538</xdr:colOff>
      <xdr:row>836</xdr:row>
      <xdr:rowOff>760942</xdr:rowOff>
    </xdr:to>
    <xdr:pic>
      <xdr:nvPicPr>
        <xdr:cNvPr id="1654" name="Obraz 1653">
          <a:extLst>
            <a:ext uri="{FF2B5EF4-FFF2-40B4-BE49-F238E27FC236}">
              <a16:creationId xmlns:a16="http://schemas.microsoft.com/office/drawing/2014/main" id="{BE4342E6-9666-C0E8-8F4E-64A3634C7B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65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836</xdr:row>
      <xdr:rowOff>760942</xdr:rowOff>
    </xdr:from>
    <xdr:to>
      <xdr:col>0</xdr:col>
      <xdr:colOff>871538</xdr:colOff>
      <xdr:row>837</xdr:row>
      <xdr:rowOff>760942</xdr:rowOff>
    </xdr:to>
    <xdr:pic>
      <xdr:nvPicPr>
        <xdr:cNvPr id="1656" name="Obraz 1655">
          <a:extLst>
            <a:ext uri="{FF2B5EF4-FFF2-40B4-BE49-F238E27FC236}">
              <a16:creationId xmlns:a16="http://schemas.microsoft.com/office/drawing/2014/main" id="{A540C161-F9AB-1F9D-B9D4-BC51A446C8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73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837</xdr:row>
      <xdr:rowOff>760942</xdr:rowOff>
    </xdr:from>
    <xdr:to>
      <xdr:col>0</xdr:col>
      <xdr:colOff>871538</xdr:colOff>
      <xdr:row>838</xdr:row>
      <xdr:rowOff>760942</xdr:rowOff>
    </xdr:to>
    <xdr:pic>
      <xdr:nvPicPr>
        <xdr:cNvPr id="1658" name="Obraz 1657">
          <a:extLst>
            <a:ext uri="{FF2B5EF4-FFF2-40B4-BE49-F238E27FC236}">
              <a16:creationId xmlns:a16="http://schemas.microsoft.com/office/drawing/2014/main" id="{00ADD194-2837-EEB4-2458-318E48B142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80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838</xdr:row>
      <xdr:rowOff>760942</xdr:rowOff>
    </xdr:from>
    <xdr:to>
      <xdr:col>0</xdr:col>
      <xdr:colOff>871538</xdr:colOff>
      <xdr:row>839</xdr:row>
      <xdr:rowOff>760942</xdr:rowOff>
    </xdr:to>
    <xdr:pic>
      <xdr:nvPicPr>
        <xdr:cNvPr id="1660" name="Obraz 1659">
          <a:extLst>
            <a:ext uri="{FF2B5EF4-FFF2-40B4-BE49-F238E27FC236}">
              <a16:creationId xmlns:a16="http://schemas.microsoft.com/office/drawing/2014/main" id="{038B2B3D-5E40-3FEF-F83F-82D9261EEC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88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839</xdr:row>
      <xdr:rowOff>760942</xdr:rowOff>
    </xdr:from>
    <xdr:to>
      <xdr:col>0</xdr:col>
      <xdr:colOff>871538</xdr:colOff>
      <xdr:row>840</xdr:row>
      <xdr:rowOff>760942</xdr:rowOff>
    </xdr:to>
    <xdr:pic>
      <xdr:nvPicPr>
        <xdr:cNvPr id="1662" name="Obraz 1661">
          <a:extLst>
            <a:ext uri="{FF2B5EF4-FFF2-40B4-BE49-F238E27FC236}">
              <a16:creationId xmlns:a16="http://schemas.microsoft.com/office/drawing/2014/main" id="{3244480E-4F05-5B2A-E2A5-9DEC19246C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96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840</xdr:row>
      <xdr:rowOff>760942</xdr:rowOff>
    </xdr:from>
    <xdr:to>
      <xdr:col>0</xdr:col>
      <xdr:colOff>871538</xdr:colOff>
      <xdr:row>841</xdr:row>
      <xdr:rowOff>760942</xdr:rowOff>
    </xdr:to>
    <xdr:pic>
      <xdr:nvPicPr>
        <xdr:cNvPr id="1664" name="Obraz 1663">
          <a:extLst>
            <a:ext uri="{FF2B5EF4-FFF2-40B4-BE49-F238E27FC236}">
              <a16:creationId xmlns:a16="http://schemas.microsoft.com/office/drawing/2014/main" id="{4890592B-08C8-D44D-3C08-D2F243B314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403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841</xdr:row>
      <xdr:rowOff>760942</xdr:rowOff>
    </xdr:from>
    <xdr:to>
      <xdr:col>0</xdr:col>
      <xdr:colOff>871538</xdr:colOff>
      <xdr:row>842</xdr:row>
      <xdr:rowOff>760942</xdr:rowOff>
    </xdr:to>
    <xdr:pic>
      <xdr:nvPicPr>
        <xdr:cNvPr id="1666" name="Obraz 1665">
          <a:extLst>
            <a:ext uri="{FF2B5EF4-FFF2-40B4-BE49-F238E27FC236}">
              <a16:creationId xmlns:a16="http://schemas.microsoft.com/office/drawing/2014/main" id="{D25B1709-DDD5-E321-67FF-DA6856D0F0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411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842</xdr:row>
      <xdr:rowOff>760942</xdr:rowOff>
    </xdr:from>
    <xdr:to>
      <xdr:col>0</xdr:col>
      <xdr:colOff>871538</xdr:colOff>
      <xdr:row>843</xdr:row>
      <xdr:rowOff>760942</xdr:rowOff>
    </xdr:to>
    <xdr:pic>
      <xdr:nvPicPr>
        <xdr:cNvPr id="1668" name="Obraz 1667">
          <a:extLst>
            <a:ext uri="{FF2B5EF4-FFF2-40B4-BE49-F238E27FC236}">
              <a16:creationId xmlns:a16="http://schemas.microsoft.com/office/drawing/2014/main" id="{5FBC08DD-1AE6-CD91-AD87-B4BE912EB8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418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843</xdr:row>
      <xdr:rowOff>760942</xdr:rowOff>
    </xdr:from>
    <xdr:to>
      <xdr:col>0</xdr:col>
      <xdr:colOff>871538</xdr:colOff>
      <xdr:row>844</xdr:row>
      <xdr:rowOff>760942</xdr:rowOff>
    </xdr:to>
    <xdr:pic>
      <xdr:nvPicPr>
        <xdr:cNvPr id="1670" name="Obraz 1669">
          <a:extLst>
            <a:ext uri="{FF2B5EF4-FFF2-40B4-BE49-F238E27FC236}">
              <a16:creationId xmlns:a16="http://schemas.microsoft.com/office/drawing/2014/main" id="{FEADD164-F1D8-71C0-0186-7406A07F8A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426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844</xdr:row>
      <xdr:rowOff>760942</xdr:rowOff>
    </xdr:from>
    <xdr:to>
      <xdr:col>0</xdr:col>
      <xdr:colOff>871538</xdr:colOff>
      <xdr:row>845</xdr:row>
      <xdr:rowOff>760942</xdr:rowOff>
    </xdr:to>
    <xdr:pic>
      <xdr:nvPicPr>
        <xdr:cNvPr id="1672" name="Obraz 1671">
          <a:extLst>
            <a:ext uri="{FF2B5EF4-FFF2-40B4-BE49-F238E27FC236}">
              <a16:creationId xmlns:a16="http://schemas.microsoft.com/office/drawing/2014/main" id="{5FC1EDE1-07A3-6D9B-C856-131F831EC6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434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845</xdr:row>
      <xdr:rowOff>760942</xdr:rowOff>
    </xdr:from>
    <xdr:to>
      <xdr:col>0</xdr:col>
      <xdr:colOff>871538</xdr:colOff>
      <xdr:row>846</xdr:row>
      <xdr:rowOff>760942</xdr:rowOff>
    </xdr:to>
    <xdr:pic>
      <xdr:nvPicPr>
        <xdr:cNvPr id="1674" name="Obraz 1673">
          <a:extLst>
            <a:ext uri="{FF2B5EF4-FFF2-40B4-BE49-F238E27FC236}">
              <a16:creationId xmlns:a16="http://schemas.microsoft.com/office/drawing/2014/main" id="{B0D35082-B781-F6AC-0661-648228678A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441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846</xdr:row>
      <xdr:rowOff>760942</xdr:rowOff>
    </xdr:from>
    <xdr:to>
      <xdr:col>0</xdr:col>
      <xdr:colOff>871538</xdr:colOff>
      <xdr:row>847</xdr:row>
      <xdr:rowOff>760942</xdr:rowOff>
    </xdr:to>
    <xdr:pic>
      <xdr:nvPicPr>
        <xdr:cNvPr id="1676" name="Obraz 1675">
          <a:extLst>
            <a:ext uri="{FF2B5EF4-FFF2-40B4-BE49-F238E27FC236}">
              <a16:creationId xmlns:a16="http://schemas.microsoft.com/office/drawing/2014/main" id="{2836D8DC-9FFD-CF93-0712-D7CE603832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449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847</xdr:row>
      <xdr:rowOff>760942</xdr:rowOff>
    </xdr:from>
    <xdr:to>
      <xdr:col>0</xdr:col>
      <xdr:colOff>871538</xdr:colOff>
      <xdr:row>848</xdr:row>
      <xdr:rowOff>760942</xdr:rowOff>
    </xdr:to>
    <xdr:pic>
      <xdr:nvPicPr>
        <xdr:cNvPr id="1678" name="Obraz 1677">
          <a:extLst>
            <a:ext uri="{FF2B5EF4-FFF2-40B4-BE49-F238E27FC236}">
              <a16:creationId xmlns:a16="http://schemas.microsoft.com/office/drawing/2014/main" id="{E1925214-F10D-1315-9429-E47D2D2251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457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848</xdr:row>
      <xdr:rowOff>760942</xdr:rowOff>
    </xdr:from>
    <xdr:to>
      <xdr:col>0</xdr:col>
      <xdr:colOff>871538</xdr:colOff>
      <xdr:row>849</xdr:row>
      <xdr:rowOff>760942</xdr:rowOff>
    </xdr:to>
    <xdr:pic>
      <xdr:nvPicPr>
        <xdr:cNvPr id="1680" name="Obraz 1679">
          <a:extLst>
            <a:ext uri="{FF2B5EF4-FFF2-40B4-BE49-F238E27FC236}">
              <a16:creationId xmlns:a16="http://schemas.microsoft.com/office/drawing/2014/main" id="{7C667A1C-1D50-FB43-2363-D81BFE5891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464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849</xdr:row>
      <xdr:rowOff>760942</xdr:rowOff>
    </xdr:from>
    <xdr:to>
      <xdr:col>0</xdr:col>
      <xdr:colOff>871538</xdr:colOff>
      <xdr:row>850</xdr:row>
      <xdr:rowOff>760942</xdr:rowOff>
    </xdr:to>
    <xdr:pic>
      <xdr:nvPicPr>
        <xdr:cNvPr id="1682" name="Obraz 1681">
          <a:extLst>
            <a:ext uri="{FF2B5EF4-FFF2-40B4-BE49-F238E27FC236}">
              <a16:creationId xmlns:a16="http://schemas.microsoft.com/office/drawing/2014/main" id="{FE9F9B90-17E1-F96A-23EF-E7D8647830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472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850</xdr:row>
      <xdr:rowOff>760942</xdr:rowOff>
    </xdr:from>
    <xdr:to>
      <xdr:col>0</xdr:col>
      <xdr:colOff>871538</xdr:colOff>
      <xdr:row>851</xdr:row>
      <xdr:rowOff>760942</xdr:rowOff>
    </xdr:to>
    <xdr:pic>
      <xdr:nvPicPr>
        <xdr:cNvPr id="1684" name="Obraz 1683">
          <a:extLst>
            <a:ext uri="{FF2B5EF4-FFF2-40B4-BE49-F238E27FC236}">
              <a16:creationId xmlns:a16="http://schemas.microsoft.com/office/drawing/2014/main" id="{B7F23859-D844-0AFF-B02A-B6EB26C890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479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851</xdr:row>
      <xdr:rowOff>760942</xdr:rowOff>
    </xdr:from>
    <xdr:to>
      <xdr:col>0</xdr:col>
      <xdr:colOff>871538</xdr:colOff>
      <xdr:row>852</xdr:row>
      <xdr:rowOff>760942</xdr:rowOff>
    </xdr:to>
    <xdr:pic>
      <xdr:nvPicPr>
        <xdr:cNvPr id="1686" name="Obraz 1685">
          <a:extLst>
            <a:ext uri="{FF2B5EF4-FFF2-40B4-BE49-F238E27FC236}">
              <a16:creationId xmlns:a16="http://schemas.microsoft.com/office/drawing/2014/main" id="{711CA050-0BA6-1127-E2B3-F5357971A7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487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852</xdr:row>
      <xdr:rowOff>760942</xdr:rowOff>
    </xdr:from>
    <xdr:to>
      <xdr:col>0</xdr:col>
      <xdr:colOff>871538</xdr:colOff>
      <xdr:row>853</xdr:row>
      <xdr:rowOff>760942</xdr:rowOff>
    </xdr:to>
    <xdr:pic>
      <xdr:nvPicPr>
        <xdr:cNvPr id="1688" name="Obraz 1687">
          <a:extLst>
            <a:ext uri="{FF2B5EF4-FFF2-40B4-BE49-F238E27FC236}">
              <a16:creationId xmlns:a16="http://schemas.microsoft.com/office/drawing/2014/main" id="{BF0694FC-FE50-AF58-15A0-F8CA817DDD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495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853</xdr:row>
      <xdr:rowOff>760942</xdr:rowOff>
    </xdr:from>
    <xdr:to>
      <xdr:col>0</xdr:col>
      <xdr:colOff>871538</xdr:colOff>
      <xdr:row>854</xdr:row>
      <xdr:rowOff>760942</xdr:rowOff>
    </xdr:to>
    <xdr:pic>
      <xdr:nvPicPr>
        <xdr:cNvPr id="1690" name="Obraz 1689">
          <a:extLst>
            <a:ext uri="{FF2B5EF4-FFF2-40B4-BE49-F238E27FC236}">
              <a16:creationId xmlns:a16="http://schemas.microsoft.com/office/drawing/2014/main" id="{B772477D-9291-AF53-994C-9C0B51A7C6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02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854</xdr:row>
      <xdr:rowOff>760942</xdr:rowOff>
    </xdr:from>
    <xdr:to>
      <xdr:col>0</xdr:col>
      <xdr:colOff>871538</xdr:colOff>
      <xdr:row>855</xdr:row>
      <xdr:rowOff>760942</xdr:rowOff>
    </xdr:to>
    <xdr:pic>
      <xdr:nvPicPr>
        <xdr:cNvPr id="1692" name="Obraz 1691">
          <a:extLst>
            <a:ext uri="{FF2B5EF4-FFF2-40B4-BE49-F238E27FC236}">
              <a16:creationId xmlns:a16="http://schemas.microsoft.com/office/drawing/2014/main" id="{2CB1A7A6-B266-B20D-C059-4096824FA9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10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855</xdr:row>
      <xdr:rowOff>760942</xdr:rowOff>
    </xdr:from>
    <xdr:to>
      <xdr:col>0</xdr:col>
      <xdr:colOff>871538</xdr:colOff>
      <xdr:row>856</xdr:row>
      <xdr:rowOff>760942</xdr:rowOff>
    </xdr:to>
    <xdr:pic>
      <xdr:nvPicPr>
        <xdr:cNvPr id="1694" name="Obraz 1693">
          <a:extLst>
            <a:ext uri="{FF2B5EF4-FFF2-40B4-BE49-F238E27FC236}">
              <a16:creationId xmlns:a16="http://schemas.microsoft.com/office/drawing/2014/main" id="{54395AD4-5DDC-8167-7C5C-96894128EA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18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856</xdr:row>
      <xdr:rowOff>760942</xdr:rowOff>
    </xdr:from>
    <xdr:to>
      <xdr:col>0</xdr:col>
      <xdr:colOff>871538</xdr:colOff>
      <xdr:row>857</xdr:row>
      <xdr:rowOff>760942</xdr:rowOff>
    </xdr:to>
    <xdr:pic>
      <xdr:nvPicPr>
        <xdr:cNvPr id="1696" name="Obraz 1695">
          <a:extLst>
            <a:ext uri="{FF2B5EF4-FFF2-40B4-BE49-F238E27FC236}">
              <a16:creationId xmlns:a16="http://schemas.microsoft.com/office/drawing/2014/main" id="{FA0CC029-2B16-4BCD-08A7-8647C2BB62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25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857</xdr:row>
      <xdr:rowOff>760942</xdr:rowOff>
    </xdr:from>
    <xdr:to>
      <xdr:col>0</xdr:col>
      <xdr:colOff>871538</xdr:colOff>
      <xdr:row>858</xdr:row>
      <xdr:rowOff>760942</xdr:rowOff>
    </xdr:to>
    <xdr:pic>
      <xdr:nvPicPr>
        <xdr:cNvPr id="1698" name="Obraz 1697">
          <a:extLst>
            <a:ext uri="{FF2B5EF4-FFF2-40B4-BE49-F238E27FC236}">
              <a16:creationId xmlns:a16="http://schemas.microsoft.com/office/drawing/2014/main" id="{6CCC9229-D50D-14B1-2733-D9260D583E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33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858</xdr:row>
      <xdr:rowOff>760942</xdr:rowOff>
    </xdr:from>
    <xdr:to>
      <xdr:col>0</xdr:col>
      <xdr:colOff>871538</xdr:colOff>
      <xdr:row>859</xdr:row>
      <xdr:rowOff>760942</xdr:rowOff>
    </xdr:to>
    <xdr:pic>
      <xdr:nvPicPr>
        <xdr:cNvPr id="1700" name="Obraz 1699">
          <a:extLst>
            <a:ext uri="{FF2B5EF4-FFF2-40B4-BE49-F238E27FC236}">
              <a16:creationId xmlns:a16="http://schemas.microsoft.com/office/drawing/2014/main" id="{303D436C-35DC-51CF-637F-D76187876A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40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859</xdr:row>
      <xdr:rowOff>760942</xdr:rowOff>
    </xdr:from>
    <xdr:to>
      <xdr:col>0</xdr:col>
      <xdr:colOff>871538</xdr:colOff>
      <xdr:row>860</xdr:row>
      <xdr:rowOff>760942</xdr:rowOff>
    </xdr:to>
    <xdr:pic>
      <xdr:nvPicPr>
        <xdr:cNvPr id="1702" name="Obraz 1701">
          <a:extLst>
            <a:ext uri="{FF2B5EF4-FFF2-40B4-BE49-F238E27FC236}">
              <a16:creationId xmlns:a16="http://schemas.microsoft.com/office/drawing/2014/main" id="{46DDCAF3-5049-34A2-243E-9172F2A8A2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48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860</xdr:row>
      <xdr:rowOff>760942</xdr:rowOff>
    </xdr:from>
    <xdr:to>
      <xdr:col>0</xdr:col>
      <xdr:colOff>871538</xdr:colOff>
      <xdr:row>861</xdr:row>
      <xdr:rowOff>760942</xdr:rowOff>
    </xdr:to>
    <xdr:pic>
      <xdr:nvPicPr>
        <xdr:cNvPr id="1704" name="Obraz 1703">
          <a:extLst>
            <a:ext uri="{FF2B5EF4-FFF2-40B4-BE49-F238E27FC236}">
              <a16:creationId xmlns:a16="http://schemas.microsoft.com/office/drawing/2014/main" id="{CC75C036-7FCA-E591-22A7-E25BC5E197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56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861</xdr:row>
      <xdr:rowOff>760942</xdr:rowOff>
    </xdr:from>
    <xdr:to>
      <xdr:col>0</xdr:col>
      <xdr:colOff>871538</xdr:colOff>
      <xdr:row>862</xdr:row>
      <xdr:rowOff>760942</xdr:rowOff>
    </xdr:to>
    <xdr:pic>
      <xdr:nvPicPr>
        <xdr:cNvPr id="1706" name="Obraz 1705">
          <a:extLst>
            <a:ext uri="{FF2B5EF4-FFF2-40B4-BE49-F238E27FC236}">
              <a16:creationId xmlns:a16="http://schemas.microsoft.com/office/drawing/2014/main" id="{AAC78FA6-F41C-9352-DDB4-4583E322DD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63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862</xdr:row>
      <xdr:rowOff>760942</xdr:rowOff>
    </xdr:from>
    <xdr:to>
      <xdr:col>0</xdr:col>
      <xdr:colOff>871538</xdr:colOff>
      <xdr:row>863</xdr:row>
      <xdr:rowOff>760942</xdr:rowOff>
    </xdr:to>
    <xdr:pic>
      <xdr:nvPicPr>
        <xdr:cNvPr id="1708" name="Obraz 1707">
          <a:extLst>
            <a:ext uri="{FF2B5EF4-FFF2-40B4-BE49-F238E27FC236}">
              <a16:creationId xmlns:a16="http://schemas.microsoft.com/office/drawing/2014/main" id="{9B7EC478-64E8-8FA0-8D1F-ECA54F3C67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71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863</xdr:row>
      <xdr:rowOff>760942</xdr:rowOff>
    </xdr:from>
    <xdr:to>
      <xdr:col>0</xdr:col>
      <xdr:colOff>871538</xdr:colOff>
      <xdr:row>864</xdr:row>
      <xdr:rowOff>760942</xdr:rowOff>
    </xdr:to>
    <xdr:pic>
      <xdr:nvPicPr>
        <xdr:cNvPr id="1710" name="Obraz 1709">
          <a:extLst>
            <a:ext uri="{FF2B5EF4-FFF2-40B4-BE49-F238E27FC236}">
              <a16:creationId xmlns:a16="http://schemas.microsoft.com/office/drawing/2014/main" id="{A821F40E-E349-68C5-672C-2AAF6E62C2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79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864</xdr:row>
      <xdr:rowOff>760942</xdr:rowOff>
    </xdr:from>
    <xdr:to>
      <xdr:col>0</xdr:col>
      <xdr:colOff>871538</xdr:colOff>
      <xdr:row>865</xdr:row>
      <xdr:rowOff>760942</xdr:rowOff>
    </xdr:to>
    <xdr:pic>
      <xdr:nvPicPr>
        <xdr:cNvPr id="1712" name="Obraz 1711">
          <a:extLst>
            <a:ext uri="{FF2B5EF4-FFF2-40B4-BE49-F238E27FC236}">
              <a16:creationId xmlns:a16="http://schemas.microsoft.com/office/drawing/2014/main" id="{6775120F-76E5-6F82-71DF-D186D9453E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86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865</xdr:row>
      <xdr:rowOff>760942</xdr:rowOff>
    </xdr:from>
    <xdr:to>
      <xdr:col>0</xdr:col>
      <xdr:colOff>871538</xdr:colOff>
      <xdr:row>866</xdr:row>
      <xdr:rowOff>760942</xdr:rowOff>
    </xdr:to>
    <xdr:pic>
      <xdr:nvPicPr>
        <xdr:cNvPr id="1714" name="Obraz 1713">
          <a:extLst>
            <a:ext uri="{FF2B5EF4-FFF2-40B4-BE49-F238E27FC236}">
              <a16:creationId xmlns:a16="http://schemas.microsoft.com/office/drawing/2014/main" id="{D6C6505A-C637-B61C-4002-9D57982197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94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866</xdr:row>
      <xdr:rowOff>760942</xdr:rowOff>
    </xdr:from>
    <xdr:to>
      <xdr:col>0</xdr:col>
      <xdr:colOff>871538</xdr:colOff>
      <xdr:row>867</xdr:row>
      <xdr:rowOff>760942</xdr:rowOff>
    </xdr:to>
    <xdr:pic>
      <xdr:nvPicPr>
        <xdr:cNvPr id="1716" name="Obraz 1715">
          <a:extLst>
            <a:ext uri="{FF2B5EF4-FFF2-40B4-BE49-F238E27FC236}">
              <a16:creationId xmlns:a16="http://schemas.microsoft.com/office/drawing/2014/main" id="{895E2537-B560-0662-01E9-195D837D59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01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867</xdr:row>
      <xdr:rowOff>760942</xdr:rowOff>
    </xdr:from>
    <xdr:to>
      <xdr:col>0</xdr:col>
      <xdr:colOff>871538</xdr:colOff>
      <xdr:row>868</xdr:row>
      <xdr:rowOff>760942</xdr:rowOff>
    </xdr:to>
    <xdr:pic>
      <xdr:nvPicPr>
        <xdr:cNvPr id="1718" name="Obraz 1717">
          <a:extLst>
            <a:ext uri="{FF2B5EF4-FFF2-40B4-BE49-F238E27FC236}">
              <a16:creationId xmlns:a16="http://schemas.microsoft.com/office/drawing/2014/main" id="{91EFF6CE-2CAD-6749-EB61-DC0B476AC8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09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868</xdr:row>
      <xdr:rowOff>760942</xdr:rowOff>
    </xdr:from>
    <xdr:to>
      <xdr:col>0</xdr:col>
      <xdr:colOff>871538</xdr:colOff>
      <xdr:row>869</xdr:row>
      <xdr:rowOff>760942</xdr:rowOff>
    </xdr:to>
    <xdr:pic>
      <xdr:nvPicPr>
        <xdr:cNvPr id="1720" name="Obraz 1719">
          <a:extLst>
            <a:ext uri="{FF2B5EF4-FFF2-40B4-BE49-F238E27FC236}">
              <a16:creationId xmlns:a16="http://schemas.microsoft.com/office/drawing/2014/main" id="{487541DE-FEB9-74A4-6716-606F9AAB59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17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869</xdr:row>
      <xdr:rowOff>760942</xdr:rowOff>
    </xdr:from>
    <xdr:to>
      <xdr:col>0</xdr:col>
      <xdr:colOff>871538</xdr:colOff>
      <xdr:row>870</xdr:row>
      <xdr:rowOff>760942</xdr:rowOff>
    </xdr:to>
    <xdr:pic>
      <xdr:nvPicPr>
        <xdr:cNvPr id="1722" name="Obraz 1721">
          <a:extLst>
            <a:ext uri="{FF2B5EF4-FFF2-40B4-BE49-F238E27FC236}">
              <a16:creationId xmlns:a16="http://schemas.microsoft.com/office/drawing/2014/main" id="{A5E7E696-810F-139C-48D5-65CFF6A4E4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24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870</xdr:row>
      <xdr:rowOff>760942</xdr:rowOff>
    </xdr:from>
    <xdr:to>
      <xdr:col>0</xdr:col>
      <xdr:colOff>871538</xdr:colOff>
      <xdr:row>871</xdr:row>
      <xdr:rowOff>760942</xdr:rowOff>
    </xdr:to>
    <xdr:pic>
      <xdr:nvPicPr>
        <xdr:cNvPr id="1724" name="Obraz 1723">
          <a:extLst>
            <a:ext uri="{FF2B5EF4-FFF2-40B4-BE49-F238E27FC236}">
              <a16:creationId xmlns:a16="http://schemas.microsoft.com/office/drawing/2014/main" id="{0C494412-476D-3380-3766-87857696E2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32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871</xdr:row>
      <xdr:rowOff>760942</xdr:rowOff>
    </xdr:from>
    <xdr:to>
      <xdr:col>0</xdr:col>
      <xdr:colOff>871538</xdr:colOff>
      <xdr:row>872</xdr:row>
      <xdr:rowOff>760942</xdr:rowOff>
    </xdr:to>
    <xdr:pic>
      <xdr:nvPicPr>
        <xdr:cNvPr id="1726" name="Obraz 1725">
          <a:extLst>
            <a:ext uri="{FF2B5EF4-FFF2-40B4-BE49-F238E27FC236}">
              <a16:creationId xmlns:a16="http://schemas.microsoft.com/office/drawing/2014/main" id="{B75AEB7D-7CAD-8F24-8646-5BC54AFC5D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39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872</xdr:row>
      <xdr:rowOff>760942</xdr:rowOff>
    </xdr:from>
    <xdr:to>
      <xdr:col>0</xdr:col>
      <xdr:colOff>871538</xdr:colOff>
      <xdr:row>873</xdr:row>
      <xdr:rowOff>760942</xdr:rowOff>
    </xdr:to>
    <xdr:pic>
      <xdr:nvPicPr>
        <xdr:cNvPr id="1728" name="Obraz 1727">
          <a:extLst>
            <a:ext uri="{FF2B5EF4-FFF2-40B4-BE49-F238E27FC236}">
              <a16:creationId xmlns:a16="http://schemas.microsoft.com/office/drawing/2014/main" id="{5DCF6BAA-1C7A-0940-1552-D9A87FBC71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47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873</xdr:row>
      <xdr:rowOff>760942</xdr:rowOff>
    </xdr:from>
    <xdr:to>
      <xdr:col>0</xdr:col>
      <xdr:colOff>871538</xdr:colOff>
      <xdr:row>874</xdr:row>
      <xdr:rowOff>760942</xdr:rowOff>
    </xdr:to>
    <xdr:pic>
      <xdr:nvPicPr>
        <xdr:cNvPr id="1730" name="Obraz 1729">
          <a:extLst>
            <a:ext uri="{FF2B5EF4-FFF2-40B4-BE49-F238E27FC236}">
              <a16:creationId xmlns:a16="http://schemas.microsoft.com/office/drawing/2014/main" id="{C0244461-6B43-3C3B-E615-64666F8F5B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55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874</xdr:row>
      <xdr:rowOff>760942</xdr:rowOff>
    </xdr:from>
    <xdr:to>
      <xdr:col>0</xdr:col>
      <xdr:colOff>871538</xdr:colOff>
      <xdr:row>875</xdr:row>
      <xdr:rowOff>760942</xdr:rowOff>
    </xdr:to>
    <xdr:pic>
      <xdr:nvPicPr>
        <xdr:cNvPr id="1732" name="Obraz 1731">
          <a:extLst>
            <a:ext uri="{FF2B5EF4-FFF2-40B4-BE49-F238E27FC236}">
              <a16:creationId xmlns:a16="http://schemas.microsoft.com/office/drawing/2014/main" id="{E6D89967-7DE6-9947-DB48-F9FEE2DBA8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62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875</xdr:row>
      <xdr:rowOff>760942</xdr:rowOff>
    </xdr:from>
    <xdr:to>
      <xdr:col>0</xdr:col>
      <xdr:colOff>871538</xdr:colOff>
      <xdr:row>876</xdr:row>
      <xdr:rowOff>760942</xdr:rowOff>
    </xdr:to>
    <xdr:pic>
      <xdr:nvPicPr>
        <xdr:cNvPr id="1734" name="Obraz 1733">
          <a:extLst>
            <a:ext uri="{FF2B5EF4-FFF2-40B4-BE49-F238E27FC236}">
              <a16:creationId xmlns:a16="http://schemas.microsoft.com/office/drawing/2014/main" id="{A65216DD-D253-FA48-9E92-8F1AA54901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70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876</xdr:row>
      <xdr:rowOff>760942</xdr:rowOff>
    </xdr:from>
    <xdr:to>
      <xdr:col>0</xdr:col>
      <xdr:colOff>871538</xdr:colOff>
      <xdr:row>877</xdr:row>
      <xdr:rowOff>760942</xdr:rowOff>
    </xdr:to>
    <xdr:pic>
      <xdr:nvPicPr>
        <xdr:cNvPr id="1736" name="Obraz 1735">
          <a:extLst>
            <a:ext uri="{FF2B5EF4-FFF2-40B4-BE49-F238E27FC236}">
              <a16:creationId xmlns:a16="http://schemas.microsoft.com/office/drawing/2014/main" id="{7D1B27BC-E5F4-8C62-10CF-99A83BA0E2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78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877</xdr:row>
      <xdr:rowOff>760942</xdr:rowOff>
    </xdr:from>
    <xdr:to>
      <xdr:col>0</xdr:col>
      <xdr:colOff>871538</xdr:colOff>
      <xdr:row>878</xdr:row>
      <xdr:rowOff>760942</xdr:rowOff>
    </xdr:to>
    <xdr:pic>
      <xdr:nvPicPr>
        <xdr:cNvPr id="1738" name="Obraz 1737">
          <a:extLst>
            <a:ext uri="{FF2B5EF4-FFF2-40B4-BE49-F238E27FC236}">
              <a16:creationId xmlns:a16="http://schemas.microsoft.com/office/drawing/2014/main" id="{01315A57-0053-0F23-3135-8FBF7C3F59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85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878</xdr:row>
      <xdr:rowOff>760942</xdr:rowOff>
    </xdr:from>
    <xdr:to>
      <xdr:col>0</xdr:col>
      <xdr:colOff>871538</xdr:colOff>
      <xdr:row>879</xdr:row>
      <xdr:rowOff>760942</xdr:rowOff>
    </xdr:to>
    <xdr:pic>
      <xdr:nvPicPr>
        <xdr:cNvPr id="1740" name="Obraz 1739">
          <a:extLst>
            <a:ext uri="{FF2B5EF4-FFF2-40B4-BE49-F238E27FC236}">
              <a16:creationId xmlns:a16="http://schemas.microsoft.com/office/drawing/2014/main" id="{9957B63A-CAAA-EC4F-6C66-921A00B494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93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879</xdr:row>
      <xdr:rowOff>760942</xdr:rowOff>
    </xdr:from>
    <xdr:to>
      <xdr:col>0</xdr:col>
      <xdr:colOff>871538</xdr:colOff>
      <xdr:row>880</xdr:row>
      <xdr:rowOff>760942</xdr:rowOff>
    </xdr:to>
    <xdr:pic>
      <xdr:nvPicPr>
        <xdr:cNvPr id="1742" name="Obraz 1741">
          <a:extLst>
            <a:ext uri="{FF2B5EF4-FFF2-40B4-BE49-F238E27FC236}">
              <a16:creationId xmlns:a16="http://schemas.microsoft.com/office/drawing/2014/main" id="{9D7C49FF-4D0F-7776-6E36-C9059EB549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00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880</xdr:row>
      <xdr:rowOff>760942</xdr:rowOff>
    </xdr:from>
    <xdr:to>
      <xdr:col>0</xdr:col>
      <xdr:colOff>871538</xdr:colOff>
      <xdr:row>881</xdr:row>
      <xdr:rowOff>760942</xdr:rowOff>
    </xdr:to>
    <xdr:pic>
      <xdr:nvPicPr>
        <xdr:cNvPr id="1744" name="Obraz 1743">
          <a:extLst>
            <a:ext uri="{FF2B5EF4-FFF2-40B4-BE49-F238E27FC236}">
              <a16:creationId xmlns:a16="http://schemas.microsoft.com/office/drawing/2014/main" id="{E9A1E7C8-C518-E571-5353-A79CAA438E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08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881</xdr:row>
      <xdr:rowOff>760942</xdr:rowOff>
    </xdr:from>
    <xdr:to>
      <xdr:col>0</xdr:col>
      <xdr:colOff>871538</xdr:colOff>
      <xdr:row>882</xdr:row>
      <xdr:rowOff>760942</xdr:rowOff>
    </xdr:to>
    <xdr:pic>
      <xdr:nvPicPr>
        <xdr:cNvPr id="1746" name="Obraz 1745">
          <a:extLst>
            <a:ext uri="{FF2B5EF4-FFF2-40B4-BE49-F238E27FC236}">
              <a16:creationId xmlns:a16="http://schemas.microsoft.com/office/drawing/2014/main" id="{4AC13D70-2C52-09E4-7D2B-9BBE4889C1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16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882</xdr:row>
      <xdr:rowOff>760942</xdr:rowOff>
    </xdr:from>
    <xdr:to>
      <xdr:col>0</xdr:col>
      <xdr:colOff>871538</xdr:colOff>
      <xdr:row>883</xdr:row>
      <xdr:rowOff>760942</xdr:rowOff>
    </xdr:to>
    <xdr:pic>
      <xdr:nvPicPr>
        <xdr:cNvPr id="1748" name="Obraz 1747">
          <a:extLst>
            <a:ext uri="{FF2B5EF4-FFF2-40B4-BE49-F238E27FC236}">
              <a16:creationId xmlns:a16="http://schemas.microsoft.com/office/drawing/2014/main" id="{B98FC310-5974-A103-03BD-ED15A27FC3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23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883</xdr:row>
      <xdr:rowOff>760942</xdr:rowOff>
    </xdr:from>
    <xdr:to>
      <xdr:col>0</xdr:col>
      <xdr:colOff>871538</xdr:colOff>
      <xdr:row>884</xdr:row>
      <xdr:rowOff>760942</xdr:rowOff>
    </xdr:to>
    <xdr:pic>
      <xdr:nvPicPr>
        <xdr:cNvPr id="1750" name="Obraz 1749">
          <a:extLst>
            <a:ext uri="{FF2B5EF4-FFF2-40B4-BE49-F238E27FC236}">
              <a16:creationId xmlns:a16="http://schemas.microsoft.com/office/drawing/2014/main" id="{39BE8B83-FA79-BD23-CB8E-05DDF5882D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31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884</xdr:row>
      <xdr:rowOff>760942</xdr:rowOff>
    </xdr:from>
    <xdr:to>
      <xdr:col>0</xdr:col>
      <xdr:colOff>871538</xdr:colOff>
      <xdr:row>885</xdr:row>
      <xdr:rowOff>760942</xdr:rowOff>
    </xdr:to>
    <xdr:pic>
      <xdr:nvPicPr>
        <xdr:cNvPr id="1752" name="Obraz 1751">
          <a:extLst>
            <a:ext uri="{FF2B5EF4-FFF2-40B4-BE49-F238E27FC236}">
              <a16:creationId xmlns:a16="http://schemas.microsoft.com/office/drawing/2014/main" id="{B29CBE96-C5A4-2C43-315D-F2CCD16EAF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39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885</xdr:row>
      <xdr:rowOff>760942</xdr:rowOff>
    </xdr:from>
    <xdr:to>
      <xdr:col>0</xdr:col>
      <xdr:colOff>871538</xdr:colOff>
      <xdr:row>886</xdr:row>
      <xdr:rowOff>760942</xdr:rowOff>
    </xdr:to>
    <xdr:pic>
      <xdr:nvPicPr>
        <xdr:cNvPr id="1754" name="Obraz 1753">
          <a:extLst>
            <a:ext uri="{FF2B5EF4-FFF2-40B4-BE49-F238E27FC236}">
              <a16:creationId xmlns:a16="http://schemas.microsoft.com/office/drawing/2014/main" id="{20B4F866-68E5-5C8C-46B0-78713EEF33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46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887</xdr:row>
      <xdr:rowOff>760942</xdr:rowOff>
    </xdr:from>
    <xdr:to>
      <xdr:col>0</xdr:col>
      <xdr:colOff>871538</xdr:colOff>
      <xdr:row>888</xdr:row>
      <xdr:rowOff>760942</xdr:rowOff>
    </xdr:to>
    <xdr:pic>
      <xdr:nvPicPr>
        <xdr:cNvPr id="1756" name="Obraz 1755">
          <a:extLst>
            <a:ext uri="{FF2B5EF4-FFF2-40B4-BE49-F238E27FC236}">
              <a16:creationId xmlns:a16="http://schemas.microsoft.com/office/drawing/2014/main" id="{31212C2A-CD26-A4F5-2D61-E8A24162D3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61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888</xdr:row>
      <xdr:rowOff>760942</xdr:rowOff>
    </xdr:from>
    <xdr:to>
      <xdr:col>0</xdr:col>
      <xdr:colOff>871538</xdr:colOff>
      <xdr:row>889</xdr:row>
      <xdr:rowOff>760942</xdr:rowOff>
    </xdr:to>
    <xdr:pic>
      <xdr:nvPicPr>
        <xdr:cNvPr id="1758" name="Obraz 1757">
          <a:extLst>
            <a:ext uri="{FF2B5EF4-FFF2-40B4-BE49-F238E27FC236}">
              <a16:creationId xmlns:a16="http://schemas.microsoft.com/office/drawing/2014/main" id="{1C39D821-F558-E912-3425-2EA570BB20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69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889</xdr:row>
      <xdr:rowOff>760942</xdr:rowOff>
    </xdr:from>
    <xdr:to>
      <xdr:col>0</xdr:col>
      <xdr:colOff>871538</xdr:colOff>
      <xdr:row>890</xdr:row>
      <xdr:rowOff>760942</xdr:rowOff>
    </xdr:to>
    <xdr:pic>
      <xdr:nvPicPr>
        <xdr:cNvPr id="1760" name="Obraz 1759">
          <a:extLst>
            <a:ext uri="{FF2B5EF4-FFF2-40B4-BE49-F238E27FC236}">
              <a16:creationId xmlns:a16="http://schemas.microsoft.com/office/drawing/2014/main" id="{AD121153-4B8E-FF10-C4BF-48B546C39A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77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890</xdr:row>
      <xdr:rowOff>760942</xdr:rowOff>
    </xdr:from>
    <xdr:to>
      <xdr:col>0</xdr:col>
      <xdr:colOff>871538</xdr:colOff>
      <xdr:row>891</xdr:row>
      <xdr:rowOff>760942</xdr:rowOff>
    </xdr:to>
    <xdr:pic>
      <xdr:nvPicPr>
        <xdr:cNvPr id="1762" name="Obraz 1761">
          <a:extLst>
            <a:ext uri="{FF2B5EF4-FFF2-40B4-BE49-F238E27FC236}">
              <a16:creationId xmlns:a16="http://schemas.microsoft.com/office/drawing/2014/main" id="{9E11257D-6640-6EF7-FE89-0CFB205064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84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891</xdr:row>
      <xdr:rowOff>760942</xdr:rowOff>
    </xdr:from>
    <xdr:to>
      <xdr:col>0</xdr:col>
      <xdr:colOff>871538</xdr:colOff>
      <xdr:row>892</xdr:row>
      <xdr:rowOff>760942</xdr:rowOff>
    </xdr:to>
    <xdr:pic>
      <xdr:nvPicPr>
        <xdr:cNvPr id="1764" name="Obraz 1763">
          <a:extLst>
            <a:ext uri="{FF2B5EF4-FFF2-40B4-BE49-F238E27FC236}">
              <a16:creationId xmlns:a16="http://schemas.microsoft.com/office/drawing/2014/main" id="{A6448614-D8CB-4690-B0FF-C02B64E9A9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92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892</xdr:row>
      <xdr:rowOff>760942</xdr:rowOff>
    </xdr:from>
    <xdr:to>
      <xdr:col>0</xdr:col>
      <xdr:colOff>871538</xdr:colOff>
      <xdr:row>893</xdr:row>
      <xdr:rowOff>760942</xdr:rowOff>
    </xdr:to>
    <xdr:pic>
      <xdr:nvPicPr>
        <xdr:cNvPr id="1766" name="Obraz 1765">
          <a:extLst>
            <a:ext uri="{FF2B5EF4-FFF2-40B4-BE49-F238E27FC236}">
              <a16:creationId xmlns:a16="http://schemas.microsoft.com/office/drawing/2014/main" id="{6DC5605C-87AA-F488-77FE-E9EE9BF8CE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99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893</xdr:row>
      <xdr:rowOff>760942</xdr:rowOff>
    </xdr:from>
    <xdr:to>
      <xdr:col>0</xdr:col>
      <xdr:colOff>871538</xdr:colOff>
      <xdr:row>894</xdr:row>
      <xdr:rowOff>760942</xdr:rowOff>
    </xdr:to>
    <xdr:pic>
      <xdr:nvPicPr>
        <xdr:cNvPr id="1768" name="Obraz 1767">
          <a:extLst>
            <a:ext uri="{FF2B5EF4-FFF2-40B4-BE49-F238E27FC236}">
              <a16:creationId xmlns:a16="http://schemas.microsoft.com/office/drawing/2014/main" id="{DE655D66-E1B9-7118-2F9B-B9471AD8A0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807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894</xdr:row>
      <xdr:rowOff>760942</xdr:rowOff>
    </xdr:from>
    <xdr:to>
      <xdr:col>0</xdr:col>
      <xdr:colOff>871538</xdr:colOff>
      <xdr:row>895</xdr:row>
      <xdr:rowOff>760942</xdr:rowOff>
    </xdr:to>
    <xdr:pic>
      <xdr:nvPicPr>
        <xdr:cNvPr id="1770" name="Obraz 1769">
          <a:extLst>
            <a:ext uri="{FF2B5EF4-FFF2-40B4-BE49-F238E27FC236}">
              <a16:creationId xmlns:a16="http://schemas.microsoft.com/office/drawing/2014/main" id="{4AF76617-9742-944A-6D72-3460102533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815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895</xdr:row>
      <xdr:rowOff>760942</xdr:rowOff>
    </xdr:from>
    <xdr:to>
      <xdr:col>0</xdr:col>
      <xdr:colOff>871538</xdr:colOff>
      <xdr:row>896</xdr:row>
      <xdr:rowOff>760942</xdr:rowOff>
    </xdr:to>
    <xdr:pic>
      <xdr:nvPicPr>
        <xdr:cNvPr id="1772" name="Obraz 1771">
          <a:extLst>
            <a:ext uri="{FF2B5EF4-FFF2-40B4-BE49-F238E27FC236}">
              <a16:creationId xmlns:a16="http://schemas.microsoft.com/office/drawing/2014/main" id="{CEC73303-463B-49A6-E5F6-A50CCA7862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822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896</xdr:row>
      <xdr:rowOff>760942</xdr:rowOff>
    </xdr:from>
    <xdr:to>
      <xdr:col>0</xdr:col>
      <xdr:colOff>871538</xdr:colOff>
      <xdr:row>897</xdr:row>
      <xdr:rowOff>760942</xdr:rowOff>
    </xdr:to>
    <xdr:pic>
      <xdr:nvPicPr>
        <xdr:cNvPr id="1774" name="Obraz 1773">
          <a:extLst>
            <a:ext uri="{FF2B5EF4-FFF2-40B4-BE49-F238E27FC236}">
              <a16:creationId xmlns:a16="http://schemas.microsoft.com/office/drawing/2014/main" id="{457D8C60-2DCA-0B41-6230-6A964AF895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830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897</xdr:row>
      <xdr:rowOff>760942</xdr:rowOff>
    </xdr:from>
    <xdr:to>
      <xdr:col>0</xdr:col>
      <xdr:colOff>871538</xdr:colOff>
      <xdr:row>898</xdr:row>
      <xdr:rowOff>760942</xdr:rowOff>
    </xdr:to>
    <xdr:pic>
      <xdr:nvPicPr>
        <xdr:cNvPr id="1776" name="Obraz 1775">
          <a:extLst>
            <a:ext uri="{FF2B5EF4-FFF2-40B4-BE49-F238E27FC236}">
              <a16:creationId xmlns:a16="http://schemas.microsoft.com/office/drawing/2014/main" id="{56106708-2E86-E0EF-075A-1F93A02342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838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898</xdr:row>
      <xdr:rowOff>760942</xdr:rowOff>
    </xdr:from>
    <xdr:to>
      <xdr:col>0</xdr:col>
      <xdr:colOff>871538</xdr:colOff>
      <xdr:row>899</xdr:row>
      <xdr:rowOff>760942</xdr:rowOff>
    </xdr:to>
    <xdr:pic>
      <xdr:nvPicPr>
        <xdr:cNvPr id="1778" name="Obraz 1777">
          <a:extLst>
            <a:ext uri="{FF2B5EF4-FFF2-40B4-BE49-F238E27FC236}">
              <a16:creationId xmlns:a16="http://schemas.microsoft.com/office/drawing/2014/main" id="{D5D6E82F-8F7C-8ADF-1E68-AFE3BA4E40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845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899</xdr:row>
      <xdr:rowOff>760942</xdr:rowOff>
    </xdr:from>
    <xdr:to>
      <xdr:col>0</xdr:col>
      <xdr:colOff>871538</xdr:colOff>
      <xdr:row>900</xdr:row>
      <xdr:rowOff>760942</xdr:rowOff>
    </xdr:to>
    <xdr:pic>
      <xdr:nvPicPr>
        <xdr:cNvPr id="1780" name="Obraz 1779">
          <a:extLst>
            <a:ext uri="{FF2B5EF4-FFF2-40B4-BE49-F238E27FC236}">
              <a16:creationId xmlns:a16="http://schemas.microsoft.com/office/drawing/2014/main" id="{25483F31-BCE1-C48C-6A3C-B4AB33491B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853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900</xdr:row>
      <xdr:rowOff>760942</xdr:rowOff>
    </xdr:from>
    <xdr:to>
      <xdr:col>0</xdr:col>
      <xdr:colOff>871538</xdr:colOff>
      <xdr:row>901</xdr:row>
      <xdr:rowOff>760942</xdr:rowOff>
    </xdr:to>
    <xdr:pic>
      <xdr:nvPicPr>
        <xdr:cNvPr id="1782" name="Obraz 1781">
          <a:extLst>
            <a:ext uri="{FF2B5EF4-FFF2-40B4-BE49-F238E27FC236}">
              <a16:creationId xmlns:a16="http://schemas.microsoft.com/office/drawing/2014/main" id="{CE75D5BD-3CAE-D142-9743-F6FA92E388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860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901</xdr:row>
      <xdr:rowOff>760942</xdr:rowOff>
    </xdr:from>
    <xdr:to>
      <xdr:col>0</xdr:col>
      <xdr:colOff>871538</xdr:colOff>
      <xdr:row>902</xdr:row>
      <xdr:rowOff>760942</xdr:rowOff>
    </xdr:to>
    <xdr:pic>
      <xdr:nvPicPr>
        <xdr:cNvPr id="1784" name="Obraz 1783">
          <a:extLst>
            <a:ext uri="{FF2B5EF4-FFF2-40B4-BE49-F238E27FC236}">
              <a16:creationId xmlns:a16="http://schemas.microsoft.com/office/drawing/2014/main" id="{1B00B4DF-9DB8-AD11-0471-88800CF3AE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868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902</xdr:row>
      <xdr:rowOff>760942</xdr:rowOff>
    </xdr:from>
    <xdr:to>
      <xdr:col>0</xdr:col>
      <xdr:colOff>871538</xdr:colOff>
      <xdr:row>903</xdr:row>
      <xdr:rowOff>760942</xdr:rowOff>
    </xdr:to>
    <xdr:pic>
      <xdr:nvPicPr>
        <xdr:cNvPr id="1786" name="Obraz 1785">
          <a:extLst>
            <a:ext uri="{FF2B5EF4-FFF2-40B4-BE49-F238E27FC236}">
              <a16:creationId xmlns:a16="http://schemas.microsoft.com/office/drawing/2014/main" id="{944A9AAB-1E30-EF23-E5AE-7BE7BE31CB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876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903</xdr:row>
      <xdr:rowOff>760942</xdr:rowOff>
    </xdr:from>
    <xdr:to>
      <xdr:col>0</xdr:col>
      <xdr:colOff>871538</xdr:colOff>
      <xdr:row>904</xdr:row>
      <xdr:rowOff>760942</xdr:rowOff>
    </xdr:to>
    <xdr:pic>
      <xdr:nvPicPr>
        <xdr:cNvPr id="1788" name="Obraz 1787">
          <a:extLst>
            <a:ext uri="{FF2B5EF4-FFF2-40B4-BE49-F238E27FC236}">
              <a16:creationId xmlns:a16="http://schemas.microsoft.com/office/drawing/2014/main" id="{938B7F9E-EBA1-A9F8-EDCD-90092A79B1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883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904</xdr:row>
      <xdr:rowOff>760942</xdr:rowOff>
    </xdr:from>
    <xdr:to>
      <xdr:col>0</xdr:col>
      <xdr:colOff>871538</xdr:colOff>
      <xdr:row>905</xdr:row>
      <xdr:rowOff>760942</xdr:rowOff>
    </xdr:to>
    <xdr:pic>
      <xdr:nvPicPr>
        <xdr:cNvPr id="1790" name="Obraz 1789">
          <a:extLst>
            <a:ext uri="{FF2B5EF4-FFF2-40B4-BE49-F238E27FC236}">
              <a16:creationId xmlns:a16="http://schemas.microsoft.com/office/drawing/2014/main" id="{298BBFE9-B1E3-517A-EDE9-9E34D10D7A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891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905</xdr:row>
      <xdr:rowOff>760942</xdr:rowOff>
    </xdr:from>
    <xdr:to>
      <xdr:col>0</xdr:col>
      <xdr:colOff>871538</xdr:colOff>
      <xdr:row>906</xdr:row>
      <xdr:rowOff>760942</xdr:rowOff>
    </xdr:to>
    <xdr:pic>
      <xdr:nvPicPr>
        <xdr:cNvPr id="1792" name="Obraz 1791">
          <a:extLst>
            <a:ext uri="{FF2B5EF4-FFF2-40B4-BE49-F238E27FC236}">
              <a16:creationId xmlns:a16="http://schemas.microsoft.com/office/drawing/2014/main" id="{62CAEA9E-893C-5E59-96B2-E0BD0CC039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899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906</xdr:row>
      <xdr:rowOff>760942</xdr:rowOff>
    </xdr:from>
    <xdr:to>
      <xdr:col>0</xdr:col>
      <xdr:colOff>871538</xdr:colOff>
      <xdr:row>907</xdr:row>
      <xdr:rowOff>760942</xdr:rowOff>
    </xdr:to>
    <xdr:pic>
      <xdr:nvPicPr>
        <xdr:cNvPr id="1794" name="Obraz 1793">
          <a:extLst>
            <a:ext uri="{FF2B5EF4-FFF2-40B4-BE49-F238E27FC236}">
              <a16:creationId xmlns:a16="http://schemas.microsoft.com/office/drawing/2014/main" id="{91A382BD-5FA3-C7BD-C32F-3C07C88F8F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06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907</xdr:row>
      <xdr:rowOff>760942</xdr:rowOff>
    </xdr:from>
    <xdr:to>
      <xdr:col>0</xdr:col>
      <xdr:colOff>871538</xdr:colOff>
      <xdr:row>908</xdr:row>
      <xdr:rowOff>760942</xdr:rowOff>
    </xdr:to>
    <xdr:pic>
      <xdr:nvPicPr>
        <xdr:cNvPr id="1796" name="Obraz 1795">
          <a:extLst>
            <a:ext uri="{FF2B5EF4-FFF2-40B4-BE49-F238E27FC236}">
              <a16:creationId xmlns:a16="http://schemas.microsoft.com/office/drawing/2014/main" id="{79701280-A6BB-D144-1973-3D92CCFE7F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14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908</xdr:row>
      <xdr:rowOff>760942</xdr:rowOff>
    </xdr:from>
    <xdr:to>
      <xdr:col>0</xdr:col>
      <xdr:colOff>871538</xdr:colOff>
      <xdr:row>909</xdr:row>
      <xdr:rowOff>760942</xdr:rowOff>
    </xdr:to>
    <xdr:pic>
      <xdr:nvPicPr>
        <xdr:cNvPr id="1798" name="Obraz 1797">
          <a:extLst>
            <a:ext uri="{FF2B5EF4-FFF2-40B4-BE49-F238E27FC236}">
              <a16:creationId xmlns:a16="http://schemas.microsoft.com/office/drawing/2014/main" id="{4076FCCE-E1E1-BBBD-977C-98AA022DBD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21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909</xdr:row>
      <xdr:rowOff>760942</xdr:rowOff>
    </xdr:from>
    <xdr:to>
      <xdr:col>0</xdr:col>
      <xdr:colOff>871538</xdr:colOff>
      <xdr:row>910</xdr:row>
      <xdr:rowOff>760942</xdr:rowOff>
    </xdr:to>
    <xdr:pic>
      <xdr:nvPicPr>
        <xdr:cNvPr id="1800" name="Obraz 1799">
          <a:extLst>
            <a:ext uri="{FF2B5EF4-FFF2-40B4-BE49-F238E27FC236}">
              <a16:creationId xmlns:a16="http://schemas.microsoft.com/office/drawing/2014/main" id="{25A55456-3818-6900-1C69-A6E228607B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29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910</xdr:row>
      <xdr:rowOff>760942</xdr:rowOff>
    </xdr:from>
    <xdr:to>
      <xdr:col>0</xdr:col>
      <xdr:colOff>871538</xdr:colOff>
      <xdr:row>911</xdr:row>
      <xdr:rowOff>760942</xdr:rowOff>
    </xdr:to>
    <xdr:pic>
      <xdr:nvPicPr>
        <xdr:cNvPr id="1802" name="Obraz 1801">
          <a:extLst>
            <a:ext uri="{FF2B5EF4-FFF2-40B4-BE49-F238E27FC236}">
              <a16:creationId xmlns:a16="http://schemas.microsoft.com/office/drawing/2014/main" id="{CA475AE5-3253-549E-6D9C-ED5B7FFFE6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37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911</xdr:row>
      <xdr:rowOff>760942</xdr:rowOff>
    </xdr:from>
    <xdr:to>
      <xdr:col>0</xdr:col>
      <xdr:colOff>871538</xdr:colOff>
      <xdr:row>912</xdr:row>
      <xdr:rowOff>760942</xdr:rowOff>
    </xdr:to>
    <xdr:pic>
      <xdr:nvPicPr>
        <xdr:cNvPr id="1804" name="Obraz 1803">
          <a:extLst>
            <a:ext uri="{FF2B5EF4-FFF2-40B4-BE49-F238E27FC236}">
              <a16:creationId xmlns:a16="http://schemas.microsoft.com/office/drawing/2014/main" id="{C110719C-450D-F127-9CDF-81635E2832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44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912</xdr:row>
      <xdr:rowOff>760942</xdr:rowOff>
    </xdr:from>
    <xdr:to>
      <xdr:col>0</xdr:col>
      <xdr:colOff>871538</xdr:colOff>
      <xdr:row>913</xdr:row>
      <xdr:rowOff>760942</xdr:rowOff>
    </xdr:to>
    <xdr:pic>
      <xdr:nvPicPr>
        <xdr:cNvPr id="1806" name="Obraz 1805">
          <a:extLst>
            <a:ext uri="{FF2B5EF4-FFF2-40B4-BE49-F238E27FC236}">
              <a16:creationId xmlns:a16="http://schemas.microsoft.com/office/drawing/2014/main" id="{496FCB5A-A11E-EBD5-81DA-CD9B917462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52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913</xdr:row>
      <xdr:rowOff>760942</xdr:rowOff>
    </xdr:from>
    <xdr:to>
      <xdr:col>0</xdr:col>
      <xdr:colOff>871538</xdr:colOff>
      <xdr:row>914</xdr:row>
      <xdr:rowOff>760942</xdr:rowOff>
    </xdr:to>
    <xdr:pic>
      <xdr:nvPicPr>
        <xdr:cNvPr id="1808" name="Obraz 1807">
          <a:extLst>
            <a:ext uri="{FF2B5EF4-FFF2-40B4-BE49-F238E27FC236}">
              <a16:creationId xmlns:a16="http://schemas.microsoft.com/office/drawing/2014/main" id="{8D85AAEC-584B-0840-467B-BD48A79118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60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914</xdr:row>
      <xdr:rowOff>760942</xdr:rowOff>
    </xdr:from>
    <xdr:to>
      <xdr:col>0</xdr:col>
      <xdr:colOff>871538</xdr:colOff>
      <xdr:row>915</xdr:row>
      <xdr:rowOff>760942</xdr:rowOff>
    </xdr:to>
    <xdr:pic>
      <xdr:nvPicPr>
        <xdr:cNvPr id="1810" name="Obraz 1809">
          <a:extLst>
            <a:ext uri="{FF2B5EF4-FFF2-40B4-BE49-F238E27FC236}">
              <a16:creationId xmlns:a16="http://schemas.microsoft.com/office/drawing/2014/main" id="{DCB71750-4B10-601E-F273-20832F3B6C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67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915</xdr:row>
      <xdr:rowOff>760942</xdr:rowOff>
    </xdr:from>
    <xdr:to>
      <xdr:col>0</xdr:col>
      <xdr:colOff>871538</xdr:colOff>
      <xdr:row>916</xdr:row>
      <xdr:rowOff>760942</xdr:rowOff>
    </xdr:to>
    <xdr:pic>
      <xdr:nvPicPr>
        <xdr:cNvPr id="1812" name="Obraz 1811">
          <a:extLst>
            <a:ext uri="{FF2B5EF4-FFF2-40B4-BE49-F238E27FC236}">
              <a16:creationId xmlns:a16="http://schemas.microsoft.com/office/drawing/2014/main" id="{84A91130-68AD-7119-B2A8-C32A0AFF4D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75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916</xdr:row>
      <xdr:rowOff>760942</xdr:rowOff>
    </xdr:from>
    <xdr:to>
      <xdr:col>0</xdr:col>
      <xdr:colOff>871538</xdr:colOff>
      <xdr:row>917</xdr:row>
      <xdr:rowOff>760942</xdr:rowOff>
    </xdr:to>
    <xdr:pic>
      <xdr:nvPicPr>
        <xdr:cNvPr id="1814" name="Obraz 1813">
          <a:extLst>
            <a:ext uri="{FF2B5EF4-FFF2-40B4-BE49-F238E27FC236}">
              <a16:creationId xmlns:a16="http://schemas.microsoft.com/office/drawing/2014/main" id="{C8073783-C11C-E260-1888-732BA868F0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82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917</xdr:row>
      <xdr:rowOff>760942</xdr:rowOff>
    </xdr:from>
    <xdr:to>
      <xdr:col>0</xdr:col>
      <xdr:colOff>871538</xdr:colOff>
      <xdr:row>918</xdr:row>
      <xdr:rowOff>760942</xdr:rowOff>
    </xdr:to>
    <xdr:pic>
      <xdr:nvPicPr>
        <xdr:cNvPr id="1816" name="Obraz 1815">
          <a:extLst>
            <a:ext uri="{FF2B5EF4-FFF2-40B4-BE49-F238E27FC236}">
              <a16:creationId xmlns:a16="http://schemas.microsoft.com/office/drawing/2014/main" id="{8361FA95-F980-00E4-C11F-E067400424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90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918</xdr:row>
      <xdr:rowOff>760942</xdr:rowOff>
    </xdr:from>
    <xdr:to>
      <xdr:col>0</xdr:col>
      <xdr:colOff>871538</xdr:colOff>
      <xdr:row>919</xdr:row>
      <xdr:rowOff>760942</xdr:rowOff>
    </xdr:to>
    <xdr:pic>
      <xdr:nvPicPr>
        <xdr:cNvPr id="1818" name="Obraz 1817">
          <a:extLst>
            <a:ext uri="{FF2B5EF4-FFF2-40B4-BE49-F238E27FC236}">
              <a16:creationId xmlns:a16="http://schemas.microsoft.com/office/drawing/2014/main" id="{47A5DBE9-7E5F-FE17-223F-DE3A1203C9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98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919</xdr:row>
      <xdr:rowOff>760942</xdr:rowOff>
    </xdr:from>
    <xdr:to>
      <xdr:col>0</xdr:col>
      <xdr:colOff>871538</xdr:colOff>
      <xdr:row>920</xdr:row>
      <xdr:rowOff>760942</xdr:rowOff>
    </xdr:to>
    <xdr:pic>
      <xdr:nvPicPr>
        <xdr:cNvPr id="1820" name="Obraz 1819">
          <a:extLst>
            <a:ext uri="{FF2B5EF4-FFF2-40B4-BE49-F238E27FC236}">
              <a16:creationId xmlns:a16="http://schemas.microsoft.com/office/drawing/2014/main" id="{D7829F16-9D66-DE70-8DA1-8D8CF24842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005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920</xdr:row>
      <xdr:rowOff>760942</xdr:rowOff>
    </xdr:from>
    <xdr:to>
      <xdr:col>0</xdr:col>
      <xdr:colOff>871538</xdr:colOff>
      <xdr:row>921</xdr:row>
      <xdr:rowOff>760942</xdr:rowOff>
    </xdr:to>
    <xdr:pic>
      <xdr:nvPicPr>
        <xdr:cNvPr id="1822" name="Obraz 1821">
          <a:extLst>
            <a:ext uri="{FF2B5EF4-FFF2-40B4-BE49-F238E27FC236}">
              <a16:creationId xmlns:a16="http://schemas.microsoft.com/office/drawing/2014/main" id="{7A8914DB-6D82-46D7-460F-932EF0F89E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013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921</xdr:row>
      <xdr:rowOff>760942</xdr:rowOff>
    </xdr:from>
    <xdr:to>
      <xdr:col>0</xdr:col>
      <xdr:colOff>871538</xdr:colOff>
      <xdr:row>922</xdr:row>
      <xdr:rowOff>760942</xdr:rowOff>
    </xdr:to>
    <xdr:pic>
      <xdr:nvPicPr>
        <xdr:cNvPr id="1824" name="Obraz 1823">
          <a:extLst>
            <a:ext uri="{FF2B5EF4-FFF2-40B4-BE49-F238E27FC236}">
              <a16:creationId xmlns:a16="http://schemas.microsoft.com/office/drawing/2014/main" id="{F17B32C5-BC8D-188F-A6B5-4B99CC63C9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020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922</xdr:row>
      <xdr:rowOff>760942</xdr:rowOff>
    </xdr:from>
    <xdr:to>
      <xdr:col>0</xdr:col>
      <xdr:colOff>871538</xdr:colOff>
      <xdr:row>923</xdr:row>
      <xdr:rowOff>760942</xdr:rowOff>
    </xdr:to>
    <xdr:pic>
      <xdr:nvPicPr>
        <xdr:cNvPr id="1826" name="Obraz 1825">
          <a:extLst>
            <a:ext uri="{FF2B5EF4-FFF2-40B4-BE49-F238E27FC236}">
              <a16:creationId xmlns:a16="http://schemas.microsoft.com/office/drawing/2014/main" id="{B57D3C05-B193-695F-6A4B-E6BD84F3B1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028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923</xdr:row>
      <xdr:rowOff>760942</xdr:rowOff>
    </xdr:from>
    <xdr:to>
      <xdr:col>0</xdr:col>
      <xdr:colOff>871538</xdr:colOff>
      <xdr:row>924</xdr:row>
      <xdr:rowOff>760942</xdr:rowOff>
    </xdr:to>
    <xdr:pic>
      <xdr:nvPicPr>
        <xdr:cNvPr id="1828" name="Obraz 1827">
          <a:extLst>
            <a:ext uri="{FF2B5EF4-FFF2-40B4-BE49-F238E27FC236}">
              <a16:creationId xmlns:a16="http://schemas.microsoft.com/office/drawing/2014/main" id="{FA0EDD88-190B-853E-C5AA-200CAF5506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036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924</xdr:row>
      <xdr:rowOff>760942</xdr:rowOff>
    </xdr:from>
    <xdr:to>
      <xdr:col>0</xdr:col>
      <xdr:colOff>871538</xdr:colOff>
      <xdr:row>925</xdr:row>
      <xdr:rowOff>760942</xdr:rowOff>
    </xdr:to>
    <xdr:pic>
      <xdr:nvPicPr>
        <xdr:cNvPr id="1830" name="Obraz 1829">
          <a:extLst>
            <a:ext uri="{FF2B5EF4-FFF2-40B4-BE49-F238E27FC236}">
              <a16:creationId xmlns:a16="http://schemas.microsoft.com/office/drawing/2014/main" id="{69A885A7-EB4C-57A9-C3D9-B680813DE6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043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925</xdr:row>
      <xdr:rowOff>760942</xdr:rowOff>
    </xdr:from>
    <xdr:to>
      <xdr:col>0</xdr:col>
      <xdr:colOff>871538</xdr:colOff>
      <xdr:row>926</xdr:row>
      <xdr:rowOff>760942</xdr:rowOff>
    </xdr:to>
    <xdr:pic>
      <xdr:nvPicPr>
        <xdr:cNvPr id="1832" name="Obraz 1831">
          <a:extLst>
            <a:ext uri="{FF2B5EF4-FFF2-40B4-BE49-F238E27FC236}">
              <a16:creationId xmlns:a16="http://schemas.microsoft.com/office/drawing/2014/main" id="{D49F2877-CEF6-C925-D2DC-3546792694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051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926</xdr:row>
      <xdr:rowOff>760942</xdr:rowOff>
    </xdr:from>
    <xdr:to>
      <xdr:col>0</xdr:col>
      <xdr:colOff>871538</xdr:colOff>
      <xdr:row>927</xdr:row>
      <xdr:rowOff>760942</xdr:rowOff>
    </xdr:to>
    <xdr:pic>
      <xdr:nvPicPr>
        <xdr:cNvPr id="1834" name="Obraz 1833">
          <a:extLst>
            <a:ext uri="{FF2B5EF4-FFF2-40B4-BE49-F238E27FC236}">
              <a16:creationId xmlns:a16="http://schemas.microsoft.com/office/drawing/2014/main" id="{AC1EA9BD-6E80-6A9A-C8BE-FD06EF5BCB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059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927</xdr:row>
      <xdr:rowOff>760942</xdr:rowOff>
    </xdr:from>
    <xdr:to>
      <xdr:col>0</xdr:col>
      <xdr:colOff>871538</xdr:colOff>
      <xdr:row>928</xdr:row>
      <xdr:rowOff>760942</xdr:rowOff>
    </xdr:to>
    <xdr:pic>
      <xdr:nvPicPr>
        <xdr:cNvPr id="1836" name="Obraz 1835">
          <a:extLst>
            <a:ext uri="{FF2B5EF4-FFF2-40B4-BE49-F238E27FC236}">
              <a16:creationId xmlns:a16="http://schemas.microsoft.com/office/drawing/2014/main" id="{8EE40170-0454-3CC8-D3EA-4B13DA13AC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066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928</xdr:row>
      <xdr:rowOff>760942</xdr:rowOff>
    </xdr:from>
    <xdr:to>
      <xdr:col>0</xdr:col>
      <xdr:colOff>871538</xdr:colOff>
      <xdr:row>929</xdr:row>
      <xdr:rowOff>760942</xdr:rowOff>
    </xdr:to>
    <xdr:pic>
      <xdr:nvPicPr>
        <xdr:cNvPr id="1838" name="Obraz 1837">
          <a:extLst>
            <a:ext uri="{FF2B5EF4-FFF2-40B4-BE49-F238E27FC236}">
              <a16:creationId xmlns:a16="http://schemas.microsoft.com/office/drawing/2014/main" id="{5F66D704-5295-940F-FECB-48DA2D1598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074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929</xdr:row>
      <xdr:rowOff>760942</xdr:rowOff>
    </xdr:from>
    <xdr:to>
      <xdr:col>0</xdr:col>
      <xdr:colOff>871538</xdr:colOff>
      <xdr:row>930</xdr:row>
      <xdr:rowOff>760942</xdr:rowOff>
    </xdr:to>
    <xdr:pic>
      <xdr:nvPicPr>
        <xdr:cNvPr id="1840" name="Obraz 1839">
          <a:extLst>
            <a:ext uri="{FF2B5EF4-FFF2-40B4-BE49-F238E27FC236}">
              <a16:creationId xmlns:a16="http://schemas.microsoft.com/office/drawing/2014/main" id="{E4D71578-B2CE-0BE5-EA0B-CBD51804C4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081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930</xdr:row>
      <xdr:rowOff>760942</xdr:rowOff>
    </xdr:from>
    <xdr:to>
      <xdr:col>0</xdr:col>
      <xdr:colOff>871538</xdr:colOff>
      <xdr:row>931</xdr:row>
      <xdr:rowOff>760942</xdr:rowOff>
    </xdr:to>
    <xdr:pic>
      <xdr:nvPicPr>
        <xdr:cNvPr id="1842" name="Obraz 1841">
          <a:extLst>
            <a:ext uri="{FF2B5EF4-FFF2-40B4-BE49-F238E27FC236}">
              <a16:creationId xmlns:a16="http://schemas.microsoft.com/office/drawing/2014/main" id="{D7929906-0103-DAAE-32EF-0989CC3F5E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089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931</xdr:row>
      <xdr:rowOff>760942</xdr:rowOff>
    </xdr:from>
    <xdr:to>
      <xdr:col>0</xdr:col>
      <xdr:colOff>871538</xdr:colOff>
      <xdr:row>932</xdr:row>
      <xdr:rowOff>760942</xdr:rowOff>
    </xdr:to>
    <xdr:pic>
      <xdr:nvPicPr>
        <xdr:cNvPr id="1844" name="Obraz 1843">
          <a:extLst>
            <a:ext uri="{FF2B5EF4-FFF2-40B4-BE49-F238E27FC236}">
              <a16:creationId xmlns:a16="http://schemas.microsoft.com/office/drawing/2014/main" id="{E5A99338-474F-4F12-00DE-A36CA4441A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097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932</xdr:row>
      <xdr:rowOff>760942</xdr:rowOff>
    </xdr:from>
    <xdr:to>
      <xdr:col>0</xdr:col>
      <xdr:colOff>871538</xdr:colOff>
      <xdr:row>933</xdr:row>
      <xdr:rowOff>760942</xdr:rowOff>
    </xdr:to>
    <xdr:pic>
      <xdr:nvPicPr>
        <xdr:cNvPr id="1846" name="Obraz 1845">
          <a:extLst>
            <a:ext uri="{FF2B5EF4-FFF2-40B4-BE49-F238E27FC236}">
              <a16:creationId xmlns:a16="http://schemas.microsoft.com/office/drawing/2014/main" id="{4D0261E5-5210-E6E8-6AE9-9B6FF91109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04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933</xdr:row>
      <xdr:rowOff>760942</xdr:rowOff>
    </xdr:from>
    <xdr:to>
      <xdr:col>0</xdr:col>
      <xdr:colOff>871538</xdr:colOff>
      <xdr:row>934</xdr:row>
      <xdr:rowOff>760942</xdr:rowOff>
    </xdr:to>
    <xdr:pic>
      <xdr:nvPicPr>
        <xdr:cNvPr id="1848" name="Obraz 1847">
          <a:extLst>
            <a:ext uri="{FF2B5EF4-FFF2-40B4-BE49-F238E27FC236}">
              <a16:creationId xmlns:a16="http://schemas.microsoft.com/office/drawing/2014/main" id="{4191DAD9-B036-9399-82EB-9000C04A07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12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934</xdr:row>
      <xdr:rowOff>760942</xdr:rowOff>
    </xdr:from>
    <xdr:to>
      <xdr:col>0</xdr:col>
      <xdr:colOff>871538</xdr:colOff>
      <xdr:row>935</xdr:row>
      <xdr:rowOff>760942</xdr:rowOff>
    </xdr:to>
    <xdr:pic>
      <xdr:nvPicPr>
        <xdr:cNvPr id="1850" name="Obraz 1849">
          <a:extLst>
            <a:ext uri="{FF2B5EF4-FFF2-40B4-BE49-F238E27FC236}">
              <a16:creationId xmlns:a16="http://schemas.microsoft.com/office/drawing/2014/main" id="{03EE0255-513C-4D9C-33E3-5BC3770BC4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20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935</xdr:row>
      <xdr:rowOff>760942</xdr:rowOff>
    </xdr:from>
    <xdr:to>
      <xdr:col>0</xdr:col>
      <xdr:colOff>871538</xdr:colOff>
      <xdr:row>936</xdr:row>
      <xdr:rowOff>760942</xdr:rowOff>
    </xdr:to>
    <xdr:pic>
      <xdr:nvPicPr>
        <xdr:cNvPr id="1852" name="Obraz 1851">
          <a:extLst>
            <a:ext uri="{FF2B5EF4-FFF2-40B4-BE49-F238E27FC236}">
              <a16:creationId xmlns:a16="http://schemas.microsoft.com/office/drawing/2014/main" id="{0E917552-3B2A-B9DF-BB96-ABA5CDF5A9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27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936</xdr:row>
      <xdr:rowOff>760942</xdr:rowOff>
    </xdr:from>
    <xdr:to>
      <xdr:col>0</xdr:col>
      <xdr:colOff>871538</xdr:colOff>
      <xdr:row>937</xdr:row>
      <xdr:rowOff>760942</xdr:rowOff>
    </xdr:to>
    <xdr:pic>
      <xdr:nvPicPr>
        <xdr:cNvPr id="1854" name="Obraz 1853">
          <a:extLst>
            <a:ext uri="{FF2B5EF4-FFF2-40B4-BE49-F238E27FC236}">
              <a16:creationId xmlns:a16="http://schemas.microsoft.com/office/drawing/2014/main" id="{87B30CE9-9BCD-6CDF-6A8F-254EA9274C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35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937</xdr:row>
      <xdr:rowOff>760942</xdr:rowOff>
    </xdr:from>
    <xdr:to>
      <xdr:col>0</xdr:col>
      <xdr:colOff>871538</xdr:colOff>
      <xdr:row>938</xdr:row>
      <xdr:rowOff>760942</xdr:rowOff>
    </xdr:to>
    <xdr:pic>
      <xdr:nvPicPr>
        <xdr:cNvPr id="1856" name="Obraz 1855">
          <a:extLst>
            <a:ext uri="{FF2B5EF4-FFF2-40B4-BE49-F238E27FC236}">
              <a16:creationId xmlns:a16="http://schemas.microsoft.com/office/drawing/2014/main" id="{6B18FE48-F1B2-C492-2F33-CEA71A8C75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42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938</xdr:row>
      <xdr:rowOff>760942</xdr:rowOff>
    </xdr:from>
    <xdr:to>
      <xdr:col>0</xdr:col>
      <xdr:colOff>871538</xdr:colOff>
      <xdr:row>939</xdr:row>
      <xdr:rowOff>760942</xdr:rowOff>
    </xdr:to>
    <xdr:pic>
      <xdr:nvPicPr>
        <xdr:cNvPr id="1858" name="Obraz 1857">
          <a:extLst>
            <a:ext uri="{FF2B5EF4-FFF2-40B4-BE49-F238E27FC236}">
              <a16:creationId xmlns:a16="http://schemas.microsoft.com/office/drawing/2014/main" id="{FD97340B-29C6-909E-8BD0-A76B68B684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50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939</xdr:row>
      <xdr:rowOff>760942</xdr:rowOff>
    </xdr:from>
    <xdr:to>
      <xdr:col>0</xdr:col>
      <xdr:colOff>871538</xdr:colOff>
      <xdr:row>940</xdr:row>
      <xdr:rowOff>760942</xdr:rowOff>
    </xdr:to>
    <xdr:pic>
      <xdr:nvPicPr>
        <xdr:cNvPr id="1860" name="Obraz 1859">
          <a:extLst>
            <a:ext uri="{FF2B5EF4-FFF2-40B4-BE49-F238E27FC236}">
              <a16:creationId xmlns:a16="http://schemas.microsoft.com/office/drawing/2014/main" id="{7C78984A-D4DC-E385-8543-BD6DF114B5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58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940</xdr:row>
      <xdr:rowOff>760942</xdr:rowOff>
    </xdr:from>
    <xdr:to>
      <xdr:col>0</xdr:col>
      <xdr:colOff>871538</xdr:colOff>
      <xdr:row>941</xdr:row>
      <xdr:rowOff>760942</xdr:rowOff>
    </xdr:to>
    <xdr:pic>
      <xdr:nvPicPr>
        <xdr:cNvPr id="1862" name="Obraz 1861">
          <a:extLst>
            <a:ext uri="{FF2B5EF4-FFF2-40B4-BE49-F238E27FC236}">
              <a16:creationId xmlns:a16="http://schemas.microsoft.com/office/drawing/2014/main" id="{1BAA998F-83EB-678B-FB86-BBBE65D746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65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941</xdr:row>
      <xdr:rowOff>760942</xdr:rowOff>
    </xdr:from>
    <xdr:to>
      <xdr:col>0</xdr:col>
      <xdr:colOff>871538</xdr:colOff>
      <xdr:row>942</xdr:row>
      <xdr:rowOff>760942</xdr:rowOff>
    </xdr:to>
    <xdr:pic>
      <xdr:nvPicPr>
        <xdr:cNvPr id="1864" name="Obraz 1863">
          <a:extLst>
            <a:ext uri="{FF2B5EF4-FFF2-40B4-BE49-F238E27FC236}">
              <a16:creationId xmlns:a16="http://schemas.microsoft.com/office/drawing/2014/main" id="{59FFBC92-3B0C-B5F2-D276-543D14E1FD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73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942</xdr:row>
      <xdr:rowOff>760942</xdr:rowOff>
    </xdr:from>
    <xdr:to>
      <xdr:col>0</xdr:col>
      <xdr:colOff>871538</xdr:colOff>
      <xdr:row>943</xdr:row>
      <xdr:rowOff>760942</xdr:rowOff>
    </xdr:to>
    <xdr:pic>
      <xdr:nvPicPr>
        <xdr:cNvPr id="1866" name="Obraz 1865">
          <a:extLst>
            <a:ext uri="{FF2B5EF4-FFF2-40B4-BE49-F238E27FC236}">
              <a16:creationId xmlns:a16="http://schemas.microsoft.com/office/drawing/2014/main" id="{D4A000E2-A8D3-F1F2-B2D0-DBB147CE0F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80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943</xdr:row>
      <xdr:rowOff>760942</xdr:rowOff>
    </xdr:from>
    <xdr:to>
      <xdr:col>0</xdr:col>
      <xdr:colOff>871538</xdr:colOff>
      <xdr:row>944</xdr:row>
      <xdr:rowOff>760942</xdr:rowOff>
    </xdr:to>
    <xdr:pic>
      <xdr:nvPicPr>
        <xdr:cNvPr id="1868" name="Obraz 1867">
          <a:extLst>
            <a:ext uri="{FF2B5EF4-FFF2-40B4-BE49-F238E27FC236}">
              <a16:creationId xmlns:a16="http://schemas.microsoft.com/office/drawing/2014/main" id="{01AD46C0-A322-75EC-5D38-814795FB29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88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944</xdr:row>
      <xdr:rowOff>760942</xdr:rowOff>
    </xdr:from>
    <xdr:to>
      <xdr:col>0</xdr:col>
      <xdr:colOff>871538</xdr:colOff>
      <xdr:row>945</xdr:row>
      <xdr:rowOff>760942</xdr:rowOff>
    </xdr:to>
    <xdr:pic>
      <xdr:nvPicPr>
        <xdr:cNvPr id="1870" name="Obraz 1869">
          <a:extLst>
            <a:ext uri="{FF2B5EF4-FFF2-40B4-BE49-F238E27FC236}">
              <a16:creationId xmlns:a16="http://schemas.microsoft.com/office/drawing/2014/main" id="{8412225E-BD2C-8F3C-A27D-03749173F2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96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945</xdr:row>
      <xdr:rowOff>760942</xdr:rowOff>
    </xdr:from>
    <xdr:to>
      <xdr:col>0</xdr:col>
      <xdr:colOff>871538</xdr:colOff>
      <xdr:row>946</xdr:row>
      <xdr:rowOff>760942</xdr:rowOff>
    </xdr:to>
    <xdr:pic>
      <xdr:nvPicPr>
        <xdr:cNvPr id="1872" name="Obraz 1871">
          <a:extLst>
            <a:ext uri="{FF2B5EF4-FFF2-40B4-BE49-F238E27FC236}">
              <a16:creationId xmlns:a16="http://schemas.microsoft.com/office/drawing/2014/main" id="{FB36F966-A087-00B9-F3A6-5AA04BEA80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03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946</xdr:row>
      <xdr:rowOff>760942</xdr:rowOff>
    </xdr:from>
    <xdr:to>
      <xdr:col>0</xdr:col>
      <xdr:colOff>871538</xdr:colOff>
      <xdr:row>947</xdr:row>
      <xdr:rowOff>760942</xdr:rowOff>
    </xdr:to>
    <xdr:pic>
      <xdr:nvPicPr>
        <xdr:cNvPr id="1874" name="Obraz 1873">
          <a:extLst>
            <a:ext uri="{FF2B5EF4-FFF2-40B4-BE49-F238E27FC236}">
              <a16:creationId xmlns:a16="http://schemas.microsoft.com/office/drawing/2014/main" id="{FD352D49-C029-3B40-C227-B89644FB2F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11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947</xdr:row>
      <xdr:rowOff>760942</xdr:rowOff>
    </xdr:from>
    <xdr:to>
      <xdr:col>0</xdr:col>
      <xdr:colOff>871538</xdr:colOff>
      <xdr:row>948</xdr:row>
      <xdr:rowOff>760942</xdr:rowOff>
    </xdr:to>
    <xdr:pic>
      <xdr:nvPicPr>
        <xdr:cNvPr id="1876" name="Obraz 1875">
          <a:extLst>
            <a:ext uri="{FF2B5EF4-FFF2-40B4-BE49-F238E27FC236}">
              <a16:creationId xmlns:a16="http://schemas.microsoft.com/office/drawing/2014/main" id="{DFF94136-C205-B616-4459-7B11164634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19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948</xdr:row>
      <xdr:rowOff>760942</xdr:rowOff>
    </xdr:from>
    <xdr:to>
      <xdr:col>0</xdr:col>
      <xdr:colOff>871538</xdr:colOff>
      <xdr:row>949</xdr:row>
      <xdr:rowOff>760942</xdr:rowOff>
    </xdr:to>
    <xdr:pic>
      <xdr:nvPicPr>
        <xdr:cNvPr id="1878" name="Obraz 1877">
          <a:extLst>
            <a:ext uri="{FF2B5EF4-FFF2-40B4-BE49-F238E27FC236}">
              <a16:creationId xmlns:a16="http://schemas.microsoft.com/office/drawing/2014/main" id="{602B12F5-7465-3A8D-DC9B-2D72F5C822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26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949</xdr:row>
      <xdr:rowOff>760942</xdr:rowOff>
    </xdr:from>
    <xdr:to>
      <xdr:col>0</xdr:col>
      <xdr:colOff>871538</xdr:colOff>
      <xdr:row>950</xdr:row>
      <xdr:rowOff>760942</xdr:rowOff>
    </xdr:to>
    <xdr:pic>
      <xdr:nvPicPr>
        <xdr:cNvPr id="1880" name="Obraz 1879">
          <a:extLst>
            <a:ext uri="{FF2B5EF4-FFF2-40B4-BE49-F238E27FC236}">
              <a16:creationId xmlns:a16="http://schemas.microsoft.com/office/drawing/2014/main" id="{C57AC225-957E-E056-A2F9-83CD88D6E5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34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950</xdr:row>
      <xdr:rowOff>760942</xdr:rowOff>
    </xdr:from>
    <xdr:to>
      <xdr:col>0</xdr:col>
      <xdr:colOff>871538</xdr:colOff>
      <xdr:row>951</xdr:row>
      <xdr:rowOff>760942</xdr:rowOff>
    </xdr:to>
    <xdr:pic>
      <xdr:nvPicPr>
        <xdr:cNvPr id="1882" name="Obraz 1881">
          <a:extLst>
            <a:ext uri="{FF2B5EF4-FFF2-40B4-BE49-F238E27FC236}">
              <a16:creationId xmlns:a16="http://schemas.microsoft.com/office/drawing/2014/main" id="{5D738648-EBD2-BC8E-92FA-BBD623CA00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41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951</xdr:row>
      <xdr:rowOff>760942</xdr:rowOff>
    </xdr:from>
    <xdr:to>
      <xdr:col>0</xdr:col>
      <xdr:colOff>871538</xdr:colOff>
      <xdr:row>952</xdr:row>
      <xdr:rowOff>760942</xdr:rowOff>
    </xdr:to>
    <xdr:pic>
      <xdr:nvPicPr>
        <xdr:cNvPr id="1884" name="Obraz 1883">
          <a:extLst>
            <a:ext uri="{FF2B5EF4-FFF2-40B4-BE49-F238E27FC236}">
              <a16:creationId xmlns:a16="http://schemas.microsoft.com/office/drawing/2014/main" id="{9EDCDD60-8CE9-58B9-2AA1-A5464C239C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49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952</xdr:row>
      <xdr:rowOff>760942</xdr:rowOff>
    </xdr:from>
    <xdr:to>
      <xdr:col>0</xdr:col>
      <xdr:colOff>871538</xdr:colOff>
      <xdr:row>953</xdr:row>
      <xdr:rowOff>760942</xdr:rowOff>
    </xdr:to>
    <xdr:pic>
      <xdr:nvPicPr>
        <xdr:cNvPr id="1886" name="Obraz 1885">
          <a:extLst>
            <a:ext uri="{FF2B5EF4-FFF2-40B4-BE49-F238E27FC236}">
              <a16:creationId xmlns:a16="http://schemas.microsoft.com/office/drawing/2014/main" id="{18D875B0-B42B-F1BE-19A1-F8BC7AA569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57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953</xdr:row>
      <xdr:rowOff>760942</xdr:rowOff>
    </xdr:from>
    <xdr:to>
      <xdr:col>0</xdr:col>
      <xdr:colOff>871538</xdr:colOff>
      <xdr:row>954</xdr:row>
      <xdr:rowOff>760942</xdr:rowOff>
    </xdr:to>
    <xdr:pic>
      <xdr:nvPicPr>
        <xdr:cNvPr id="1888" name="Obraz 1887">
          <a:extLst>
            <a:ext uri="{FF2B5EF4-FFF2-40B4-BE49-F238E27FC236}">
              <a16:creationId xmlns:a16="http://schemas.microsoft.com/office/drawing/2014/main" id="{3CC795F0-C907-379A-DE1F-546FAECA78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64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954</xdr:row>
      <xdr:rowOff>760942</xdr:rowOff>
    </xdr:from>
    <xdr:to>
      <xdr:col>0</xdr:col>
      <xdr:colOff>871538</xdr:colOff>
      <xdr:row>955</xdr:row>
      <xdr:rowOff>760942</xdr:rowOff>
    </xdr:to>
    <xdr:pic>
      <xdr:nvPicPr>
        <xdr:cNvPr id="1890" name="Obraz 1889">
          <a:extLst>
            <a:ext uri="{FF2B5EF4-FFF2-40B4-BE49-F238E27FC236}">
              <a16:creationId xmlns:a16="http://schemas.microsoft.com/office/drawing/2014/main" id="{B0A95D08-2FEE-1267-326E-1B4CA3EEA1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72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955</xdr:row>
      <xdr:rowOff>760942</xdr:rowOff>
    </xdr:from>
    <xdr:to>
      <xdr:col>0</xdr:col>
      <xdr:colOff>871538</xdr:colOff>
      <xdr:row>956</xdr:row>
      <xdr:rowOff>760942</xdr:rowOff>
    </xdr:to>
    <xdr:pic>
      <xdr:nvPicPr>
        <xdr:cNvPr id="1892" name="Obraz 1891">
          <a:extLst>
            <a:ext uri="{FF2B5EF4-FFF2-40B4-BE49-F238E27FC236}">
              <a16:creationId xmlns:a16="http://schemas.microsoft.com/office/drawing/2014/main" id="{DB82C3B7-F50D-58A9-1802-6C80824A7A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80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956</xdr:row>
      <xdr:rowOff>760942</xdr:rowOff>
    </xdr:from>
    <xdr:to>
      <xdr:col>0</xdr:col>
      <xdr:colOff>871538</xdr:colOff>
      <xdr:row>957</xdr:row>
      <xdr:rowOff>760942</xdr:rowOff>
    </xdr:to>
    <xdr:pic>
      <xdr:nvPicPr>
        <xdr:cNvPr id="1894" name="Obraz 1893">
          <a:extLst>
            <a:ext uri="{FF2B5EF4-FFF2-40B4-BE49-F238E27FC236}">
              <a16:creationId xmlns:a16="http://schemas.microsoft.com/office/drawing/2014/main" id="{B6B168A0-0C9F-37C2-D57E-C3CC218769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87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957</xdr:row>
      <xdr:rowOff>760942</xdr:rowOff>
    </xdr:from>
    <xdr:to>
      <xdr:col>0</xdr:col>
      <xdr:colOff>871538</xdr:colOff>
      <xdr:row>958</xdr:row>
      <xdr:rowOff>760942</xdr:rowOff>
    </xdr:to>
    <xdr:pic>
      <xdr:nvPicPr>
        <xdr:cNvPr id="1896" name="Obraz 1895">
          <a:extLst>
            <a:ext uri="{FF2B5EF4-FFF2-40B4-BE49-F238E27FC236}">
              <a16:creationId xmlns:a16="http://schemas.microsoft.com/office/drawing/2014/main" id="{8767F288-D4FF-D93B-51C3-FBC1C39EEA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95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958</xdr:row>
      <xdr:rowOff>760942</xdr:rowOff>
    </xdr:from>
    <xdr:to>
      <xdr:col>0</xdr:col>
      <xdr:colOff>871538</xdr:colOff>
      <xdr:row>959</xdr:row>
      <xdr:rowOff>760942</xdr:rowOff>
    </xdr:to>
    <xdr:pic>
      <xdr:nvPicPr>
        <xdr:cNvPr id="1898" name="Obraz 1897">
          <a:extLst>
            <a:ext uri="{FF2B5EF4-FFF2-40B4-BE49-F238E27FC236}">
              <a16:creationId xmlns:a16="http://schemas.microsoft.com/office/drawing/2014/main" id="{241F18E5-894C-9DEB-7E3B-ADBC5CF45C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02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959</xdr:row>
      <xdr:rowOff>760942</xdr:rowOff>
    </xdr:from>
    <xdr:to>
      <xdr:col>0</xdr:col>
      <xdr:colOff>871538</xdr:colOff>
      <xdr:row>960</xdr:row>
      <xdr:rowOff>760942</xdr:rowOff>
    </xdr:to>
    <xdr:pic>
      <xdr:nvPicPr>
        <xdr:cNvPr id="1900" name="Obraz 1899">
          <a:extLst>
            <a:ext uri="{FF2B5EF4-FFF2-40B4-BE49-F238E27FC236}">
              <a16:creationId xmlns:a16="http://schemas.microsoft.com/office/drawing/2014/main" id="{755756EB-B253-CB9A-FB7A-37B2105746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10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960</xdr:row>
      <xdr:rowOff>760942</xdr:rowOff>
    </xdr:from>
    <xdr:to>
      <xdr:col>0</xdr:col>
      <xdr:colOff>871538</xdr:colOff>
      <xdr:row>961</xdr:row>
      <xdr:rowOff>760942</xdr:rowOff>
    </xdr:to>
    <xdr:pic>
      <xdr:nvPicPr>
        <xdr:cNvPr id="1902" name="Obraz 1901">
          <a:extLst>
            <a:ext uri="{FF2B5EF4-FFF2-40B4-BE49-F238E27FC236}">
              <a16:creationId xmlns:a16="http://schemas.microsoft.com/office/drawing/2014/main" id="{2BFBEEF0-F28E-DEBA-A09C-A230AD5F1D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18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961</xdr:row>
      <xdr:rowOff>760942</xdr:rowOff>
    </xdr:from>
    <xdr:to>
      <xdr:col>0</xdr:col>
      <xdr:colOff>871538</xdr:colOff>
      <xdr:row>962</xdr:row>
      <xdr:rowOff>760942</xdr:rowOff>
    </xdr:to>
    <xdr:pic>
      <xdr:nvPicPr>
        <xdr:cNvPr id="1904" name="Obraz 1903">
          <a:extLst>
            <a:ext uri="{FF2B5EF4-FFF2-40B4-BE49-F238E27FC236}">
              <a16:creationId xmlns:a16="http://schemas.microsoft.com/office/drawing/2014/main" id="{93F0B906-FA71-D8AE-0AE6-65EF3D86F2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25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962</xdr:row>
      <xdr:rowOff>760942</xdr:rowOff>
    </xdr:from>
    <xdr:to>
      <xdr:col>0</xdr:col>
      <xdr:colOff>871538</xdr:colOff>
      <xdr:row>963</xdr:row>
      <xdr:rowOff>760942</xdr:rowOff>
    </xdr:to>
    <xdr:pic>
      <xdr:nvPicPr>
        <xdr:cNvPr id="1906" name="Obraz 1905">
          <a:extLst>
            <a:ext uri="{FF2B5EF4-FFF2-40B4-BE49-F238E27FC236}">
              <a16:creationId xmlns:a16="http://schemas.microsoft.com/office/drawing/2014/main" id="{3A5C474A-94C3-8AB0-2596-A1EA77C06A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33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963</xdr:row>
      <xdr:rowOff>760942</xdr:rowOff>
    </xdr:from>
    <xdr:to>
      <xdr:col>0</xdr:col>
      <xdr:colOff>871538</xdr:colOff>
      <xdr:row>964</xdr:row>
      <xdr:rowOff>760942</xdr:rowOff>
    </xdr:to>
    <xdr:pic>
      <xdr:nvPicPr>
        <xdr:cNvPr id="1908" name="Obraz 1907">
          <a:extLst>
            <a:ext uri="{FF2B5EF4-FFF2-40B4-BE49-F238E27FC236}">
              <a16:creationId xmlns:a16="http://schemas.microsoft.com/office/drawing/2014/main" id="{ADEE2230-CFE1-BC25-5F9A-011C200001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41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964</xdr:row>
      <xdr:rowOff>760942</xdr:rowOff>
    </xdr:from>
    <xdr:to>
      <xdr:col>0</xdr:col>
      <xdr:colOff>871538</xdr:colOff>
      <xdr:row>965</xdr:row>
      <xdr:rowOff>760942</xdr:rowOff>
    </xdr:to>
    <xdr:pic>
      <xdr:nvPicPr>
        <xdr:cNvPr id="1910" name="Obraz 1909">
          <a:extLst>
            <a:ext uri="{FF2B5EF4-FFF2-40B4-BE49-F238E27FC236}">
              <a16:creationId xmlns:a16="http://schemas.microsoft.com/office/drawing/2014/main" id="{DB58FD88-174A-7C5C-4F41-1DB4B8C80C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48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965</xdr:row>
      <xdr:rowOff>760942</xdr:rowOff>
    </xdr:from>
    <xdr:to>
      <xdr:col>0</xdr:col>
      <xdr:colOff>871538</xdr:colOff>
      <xdr:row>966</xdr:row>
      <xdr:rowOff>760942</xdr:rowOff>
    </xdr:to>
    <xdr:pic>
      <xdr:nvPicPr>
        <xdr:cNvPr id="1912" name="Obraz 1911">
          <a:extLst>
            <a:ext uri="{FF2B5EF4-FFF2-40B4-BE49-F238E27FC236}">
              <a16:creationId xmlns:a16="http://schemas.microsoft.com/office/drawing/2014/main" id="{D258F18D-2801-37F9-0D69-600F3A81F8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56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966</xdr:row>
      <xdr:rowOff>760942</xdr:rowOff>
    </xdr:from>
    <xdr:to>
      <xdr:col>0</xdr:col>
      <xdr:colOff>871538</xdr:colOff>
      <xdr:row>967</xdr:row>
      <xdr:rowOff>760942</xdr:rowOff>
    </xdr:to>
    <xdr:pic>
      <xdr:nvPicPr>
        <xdr:cNvPr id="1914" name="Obraz 1913">
          <a:extLst>
            <a:ext uri="{FF2B5EF4-FFF2-40B4-BE49-F238E27FC236}">
              <a16:creationId xmlns:a16="http://schemas.microsoft.com/office/drawing/2014/main" id="{EB6549F2-E1F9-5EEC-D8D3-A436AFB033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63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967</xdr:row>
      <xdr:rowOff>760942</xdr:rowOff>
    </xdr:from>
    <xdr:to>
      <xdr:col>0</xdr:col>
      <xdr:colOff>871538</xdr:colOff>
      <xdr:row>968</xdr:row>
      <xdr:rowOff>760942</xdr:rowOff>
    </xdr:to>
    <xdr:pic>
      <xdr:nvPicPr>
        <xdr:cNvPr id="1916" name="Obraz 1915">
          <a:extLst>
            <a:ext uri="{FF2B5EF4-FFF2-40B4-BE49-F238E27FC236}">
              <a16:creationId xmlns:a16="http://schemas.microsoft.com/office/drawing/2014/main" id="{2EDF263C-D1B7-ECE7-5D47-17DBADF97A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71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968</xdr:row>
      <xdr:rowOff>760942</xdr:rowOff>
    </xdr:from>
    <xdr:to>
      <xdr:col>0</xdr:col>
      <xdr:colOff>871538</xdr:colOff>
      <xdr:row>969</xdr:row>
      <xdr:rowOff>760942</xdr:rowOff>
    </xdr:to>
    <xdr:pic>
      <xdr:nvPicPr>
        <xdr:cNvPr id="1918" name="Obraz 1917">
          <a:extLst>
            <a:ext uri="{FF2B5EF4-FFF2-40B4-BE49-F238E27FC236}">
              <a16:creationId xmlns:a16="http://schemas.microsoft.com/office/drawing/2014/main" id="{79A8D9C8-19DB-EFC7-5C66-CA5C7FA0B4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79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969</xdr:row>
      <xdr:rowOff>760942</xdr:rowOff>
    </xdr:from>
    <xdr:to>
      <xdr:col>0</xdr:col>
      <xdr:colOff>871538</xdr:colOff>
      <xdr:row>970</xdr:row>
      <xdr:rowOff>760942</xdr:rowOff>
    </xdr:to>
    <xdr:pic>
      <xdr:nvPicPr>
        <xdr:cNvPr id="1920" name="Obraz 1919">
          <a:extLst>
            <a:ext uri="{FF2B5EF4-FFF2-40B4-BE49-F238E27FC236}">
              <a16:creationId xmlns:a16="http://schemas.microsoft.com/office/drawing/2014/main" id="{80A7D118-57AC-77A6-3A85-553AC8D1E0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86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970</xdr:row>
      <xdr:rowOff>760942</xdr:rowOff>
    </xdr:from>
    <xdr:to>
      <xdr:col>0</xdr:col>
      <xdr:colOff>871538</xdr:colOff>
      <xdr:row>971</xdr:row>
      <xdr:rowOff>760942</xdr:rowOff>
    </xdr:to>
    <xdr:pic>
      <xdr:nvPicPr>
        <xdr:cNvPr id="1922" name="Obraz 1921">
          <a:extLst>
            <a:ext uri="{FF2B5EF4-FFF2-40B4-BE49-F238E27FC236}">
              <a16:creationId xmlns:a16="http://schemas.microsoft.com/office/drawing/2014/main" id="{1C478012-AA58-F50F-531F-84278CF39A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94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971</xdr:row>
      <xdr:rowOff>760942</xdr:rowOff>
    </xdr:from>
    <xdr:to>
      <xdr:col>0</xdr:col>
      <xdr:colOff>871538</xdr:colOff>
      <xdr:row>972</xdr:row>
      <xdr:rowOff>760942</xdr:rowOff>
    </xdr:to>
    <xdr:pic>
      <xdr:nvPicPr>
        <xdr:cNvPr id="1924" name="Obraz 1923">
          <a:extLst>
            <a:ext uri="{FF2B5EF4-FFF2-40B4-BE49-F238E27FC236}">
              <a16:creationId xmlns:a16="http://schemas.microsoft.com/office/drawing/2014/main" id="{A866C88B-7542-E7F6-20CE-1B52BA4B7F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01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972</xdr:row>
      <xdr:rowOff>760942</xdr:rowOff>
    </xdr:from>
    <xdr:to>
      <xdr:col>0</xdr:col>
      <xdr:colOff>871538</xdr:colOff>
      <xdr:row>973</xdr:row>
      <xdr:rowOff>760942</xdr:rowOff>
    </xdr:to>
    <xdr:pic>
      <xdr:nvPicPr>
        <xdr:cNvPr id="1926" name="Obraz 1925">
          <a:extLst>
            <a:ext uri="{FF2B5EF4-FFF2-40B4-BE49-F238E27FC236}">
              <a16:creationId xmlns:a16="http://schemas.microsoft.com/office/drawing/2014/main" id="{34B0AA78-B60D-87D3-8E7A-A861E2FDC5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09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973</xdr:row>
      <xdr:rowOff>760942</xdr:rowOff>
    </xdr:from>
    <xdr:to>
      <xdr:col>0</xdr:col>
      <xdr:colOff>871538</xdr:colOff>
      <xdr:row>974</xdr:row>
      <xdr:rowOff>760942</xdr:rowOff>
    </xdr:to>
    <xdr:pic>
      <xdr:nvPicPr>
        <xdr:cNvPr id="1928" name="Obraz 1927">
          <a:extLst>
            <a:ext uri="{FF2B5EF4-FFF2-40B4-BE49-F238E27FC236}">
              <a16:creationId xmlns:a16="http://schemas.microsoft.com/office/drawing/2014/main" id="{01A2285C-4907-D383-1202-2A34FDA0E8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17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974</xdr:row>
      <xdr:rowOff>760942</xdr:rowOff>
    </xdr:from>
    <xdr:to>
      <xdr:col>0</xdr:col>
      <xdr:colOff>871538</xdr:colOff>
      <xdr:row>975</xdr:row>
      <xdr:rowOff>760942</xdr:rowOff>
    </xdr:to>
    <xdr:pic>
      <xdr:nvPicPr>
        <xdr:cNvPr id="1930" name="Obraz 1929">
          <a:extLst>
            <a:ext uri="{FF2B5EF4-FFF2-40B4-BE49-F238E27FC236}">
              <a16:creationId xmlns:a16="http://schemas.microsoft.com/office/drawing/2014/main" id="{DF274889-91BD-11D9-D509-865E0A1B3B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24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975</xdr:row>
      <xdr:rowOff>760942</xdr:rowOff>
    </xdr:from>
    <xdr:to>
      <xdr:col>0</xdr:col>
      <xdr:colOff>871538</xdr:colOff>
      <xdr:row>976</xdr:row>
      <xdr:rowOff>760942</xdr:rowOff>
    </xdr:to>
    <xdr:pic>
      <xdr:nvPicPr>
        <xdr:cNvPr id="1932" name="Obraz 1931">
          <a:extLst>
            <a:ext uri="{FF2B5EF4-FFF2-40B4-BE49-F238E27FC236}">
              <a16:creationId xmlns:a16="http://schemas.microsoft.com/office/drawing/2014/main" id="{92862F34-5B8B-4B77-FE24-51EDE435B8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32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976</xdr:row>
      <xdr:rowOff>760942</xdr:rowOff>
    </xdr:from>
    <xdr:to>
      <xdr:col>0</xdr:col>
      <xdr:colOff>871538</xdr:colOff>
      <xdr:row>977</xdr:row>
      <xdr:rowOff>760942</xdr:rowOff>
    </xdr:to>
    <xdr:pic>
      <xdr:nvPicPr>
        <xdr:cNvPr id="1934" name="Obraz 1933">
          <a:extLst>
            <a:ext uri="{FF2B5EF4-FFF2-40B4-BE49-F238E27FC236}">
              <a16:creationId xmlns:a16="http://schemas.microsoft.com/office/drawing/2014/main" id="{FDFF8209-145D-3B91-30EA-EF84A2976E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40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977</xdr:row>
      <xdr:rowOff>760942</xdr:rowOff>
    </xdr:from>
    <xdr:to>
      <xdr:col>0</xdr:col>
      <xdr:colOff>871538</xdr:colOff>
      <xdr:row>978</xdr:row>
      <xdr:rowOff>760942</xdr:rowOff>
    </xdr:to>
    <xdr:pic>
      <xdr:nvPicPr>
        <xdr:cNvPr id="1936" name="Obraz 1935">
          <a:extLst>
            <a:ext uri="{FF2B5EF4-FFF2-40B4-BE49-F238E27FC236}">
              <a16:creationId xmlns:a16="http://schemas.microsoft.com/office/drawing/2014/main" id="{BD320A43-6DCA-B1A5-B638-4E8F578849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47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978</xdr:row>
      <xdr:rowOff>760942</xdr:rowOff>
    </xdr:from>
    <xdr:to>
      <xdr:col>0</xdr:col>
      <xdr:colOff>871538</xdr:colOff>
      <xdr:row>979</xdr:row>
      <xdr:rowOff>760942</xdr:rowOff>
    </xdr:to>
    <xdr:pic>
      <xdr:nvPicPr>
        <xdr:cNvPr id="1938" name="Obraz 1937">
          <a:extLst>
            <a:ext uri="{FF2B5EF4-FFF2-40B4-BE49-F238E27FC236}">
              <a16:creationId xmlns:a16="http://schemas.microsoft.com/office/drawing/2014/main" id="{4F1AF6AD-1474-8848-50C0-52854144E5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55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979</xdr:row>
      <xdr:rowOff>760942</xdr:rowOff>
    </xdr:from>
    <xdr:to>
      <xdr:col>0</xdr:col>
      <xdr:colOff>871538</xdr:colOff>
      <xdr:row>980</xdr:row>
      <xdr:rowOff>760942</xdr:rowOff>
    </xdr:to>
    <xdr:pic>
      <xdr:nvPicPr>
        <xdr:cNvPr id="1940" name="Obraz 1939">
          <a:extLst>
            <a:ext uri="{FF2B5EF4-FFF2-40B4-BE49-F238E27FC236}">
              <a16:creationId xmlns:a16="http://schemas.microsoft.com/office/drawing/2014/main" id="{B4615C2B-52D8-F803-BB89-4D6E41BF60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62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980</xdr:row>
      <xdr:rowOff>760942</xdr:rowOff>
    </xdr:from>
    <xdr:to>
      <xdr:col>0</xdr:col>
      <xdr:colOff>871538</xdr:colOff>
      <xdr:row>981</xdr:row>
      <xdr:rowOff>760942</xdr:rowOff>
    </xdr:to>
    <xdr:pic>
      <xdr:nvPicPr>
        <xdr:cNvPr id="1942" name="Obraz 1941">
          <a:extLst>
            <a:ext uri="{FF2B5EF4-FFF2-40B4-BE49-F238E27FC236}">
              <a16:creationId xmlns:a16="http://schemas.microsoft.com/office/drawing/2014/main" id="{C0AA2EF4-4458-0139-842C-01F6B18028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70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981</xdr:row>
      <xdr:rowOff>760942</xdr:rowOff>
    </xdr:from>
    <xdr:to>
      <xdr:col>0</xdr:col>
      <xdr:colOff>871538</xdr:colOff>
      <xdr:row>982</xdr:row>
      <xdr:rowOff>760942</xdr:rowOff>
    </xdr:to>
    <xdr:pic>
      <xdr:nvPicPr>
        <xdr:cNvPr id="1944" name="Obraz 1943">
          <a:extLst>
            <a:ext uri="{FF2B5EF4-FFF2-40B4-BE49-F238E27FC236}">
              <a16:creationId xmlns:a16="http://schemas.microsoft.com/office/drawing/2014/main" id="{A347D364-6DE1-F612-4DAF-79B3E342E2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78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982</xdr:row>
      <xdr:rowOff>760942</xdr:rowOff>
    </xdr:from>
    <xdr:to>
      <xdr:col>0</xdr:col>
      <xdr:colOff>871538</xdr:colOff>
      <xdr:row>983</xdr:row>
      <xdr:rowOff>760942</xdr:rowOff>
    </xdr:to>
    <xdr:pic>
      <xdr:nvPicPr>
        <xdr:cNvPr id="1946" name="Obraz 1945">
          <a:extLst>
            <a:ext uri="{FF2B5EF4-FFF2-40B4-BE49-F238E27FC236}">
              <a16:creationId xmlns:a16="http://schemas.microsoft.com/office/drawing/2014/main" id="{BF2E8DC7-D5DD-DC12-8801-79BA633BDA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85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983</xdr:row>
      <xdr:rowOff>760942</xdr:rowOff>
    </xdr:from>
    <xdr:to>
      <xdr:col>0</xdr:col>
      <xdr:colOff>871538</xdr:colOff>
      <xdr:row>984</xdr:row>
      <xdr:rowOff>760942</xdr:rowOff>
    </xdr:to>
    <xdr:pic>
      <xdr:nvPicPr>
        <xdr:cNvPr id="1948" name="Obraz 1947">
          <a:extLst>
            <a:ext uri="{FF2B5EF4-FFF2-40B4-BE49-F238E27FC236}">
              <a16:creationId xmlns:a16="http://schemas.microsoft.com/office/drawing/2014/main" id="{E8DD4D0F-8104-2A68-7370-49DAD1FA6D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93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984</xdr:row>
      <xdr:rowOff>760942</xdr:rowOff>
    </xdr:from>
    <xdr:to>
      <xdr:col>0</xdr:col>
      <xdr:colOff>871538</xdr:colOff>
      <xdr:row>985</xdr:row>
      <xdr:rowOff>760942</xdr:rowOff>
    </xdr:to>
    <xdr:pic>
      <xdr:nvPicPr>
        <xdr:cNvPr id="1950" name="Obraz 1949">
          <a:extLst>
            <a:ext uri="{FF2B5EF4-FFF2-40B4-BE49-F238E27FC236}">
              <a16:creationId xmlns:a16="http://schemas.microsoft.com/office/drawing/2014/main" id="{7895ACF8-78C9-0AFA-299E-16A42C253A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01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985</xdr:row>
      <xdr:rowOff>760942</xdr:rowOff>
    </xdr:from>
    <xdr:to>
      <xdr:col>0</xdr:col>
      <xdr:colOff>871538</xdr:colOff>
      <xdr:row>986</xdr:row>
      <xdr:rowOff>760942</xdr:rowOff>
    </xdr:to>
    <xdr:pic>
      <xdr:nvPicPr>
        <xdr:cNvPr id="1952" name="Obraz 1951">
          <a:extLst>
            <a:ext uri="{FF2B5EF4-FFF2-40B4-BE49-F238E27FC236}">
              <a16:creationId xmlns:a16="http://schemas.microsoft.com/office/drawing/2014/main" id="{C3C46515-6F4B-D39D-9972-F67173D547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08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986</xdr:row>
      <xdr:rowOff>760942</xdr:rowOff>
    </xdr:from>
    <xdr:to>
      <xdr:col>0</xdr:col>
      <xdr:colOff>871538</xdr:colOff>
      <xdr:row>987</xdr:row>
      <xdr:rowOff>760942</xdr:rowOff>
    </xdr:to>
    <xdr:pic>
      <xdr:nvPicPr>
        <xdr:cNvPr id="1954" name="Obraz 1953">
          <a:extLst>
            <a:ext uri="{FF2B5EF4-FFF2-40B4-BE49-F238E27FC236}">
              <a16:creationId xmlns:a16="http://schemas.microsoft.com/office/drawing/2014/main" id="{8A2DB03C-7FAA-FA21-4130-4B39B1677F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16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987</xdr:row>
      <xdr:rowOff>760942</xdr:rowOff>
    </xdr:from>
    <xdr:to>
      <xdr:col>0</xdr:col>
      <xdr:colOff>871538</xdr:colOff>
      <xdr:row>988</xdr:row>
      <xdr:rowOff>760942</xdr:rowOff>
    </xdr:to>
    <xdr:pic>
      <xdr:nvPicPr>
        <xdr:cNvPr id="1956" name="Obraz 1955">
          <a:extLst>
            <a:ext uri="{FF2B5EF4-FFF2-40B4-BE49-F238E27FC236}">
              <a16:creationId xmlns:a16="http://schemas.microsoft.com/office/drawing/2014/main" id="{A327537E-FFDA-71A0-BF72-72E54B30AC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23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988</xdr:row>
      <xdr:rowOff>760942</xdr:rowOff>
    </xdr:from>
    <xdr:to>
      <xdr:col>0</xdr:col>
      <xdr:colOff>871538</xdr:colOff>
      <xdr:row>989</xdr:row>
      <xdr:rowOff>760942</xdr:rowOff>
    </xdr:to>
    <xdr:pic>
      <xdr:nvPicPr>
        <xdr:cNvPr id="1958" name="Obraz 1957">
          <a:extLst>
            <a:ext uri="{FF2B5EF4-FFF2-40B4-BE49-F238E27FC236}">
              <a16:creationId xmlns:a16="http://schemas.microsoft.com/office/drawing/2014/main" id="{1F20B7A2-3380-BA16-2844-0E3426E8B4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31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989</xdr:row>
      <xdr:rowOff>760942</xdr:rowOff>
    </xdr:from>
    <xdr:to>
      <xdr:col>0</xdr:col>
      <xdr:colOff>871538</xdr:colOff>
      <xdr:row>990</xdr:row>
      <xdr:rowOff>760942</xdr:rowOff>
    </xdr:to>
    <xdr:pic>
      <xdr:nvPicPr>
        <xdr:cNvPr id="1960" name="Obraz 1959">
          <a:extLst>
            <a:ext uri="{FF2B5EF4-FFF2-40B4-BE49-F238E27FC236}">
              <a16:creationId xmlns:a16="http://schemas.microsoft.com/office/drawing/2014/main" id="{12CDF843-3745-302A-F88D-2EDF472430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39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990</xdr:row>
      <xdr:rowOff>760942</xdr:rowOff>
    </xdr:from>
    <xdr:to>
      <xdr:col>0</xdr:col>
      <xdr:colOff>871538</xdr:colOff>
      <xdr:row>991</xdr:row>
      <xdr:rowOff>760942</xdr:rowOff>
    </xdr:to>
    <xdr:pic>
      <xdr:nvPicPr>
        <xdr:cNvPr id="1962" name="Obraz 1961">
          <a:extLst>
            <a:ext uri="{FF2B5EF4-FFF2-40B4-BE49-F238E27FC236}">
              <a16:creationId xmlns:a16="http://schemas.microsoft.com/office/drawing/2014/main" id="{05ACA7A2-32D5-2D15-0EE8-DE6775F3DA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46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991</xdr:row>
      <xdr:rowOff>760942</xdr:rowOff>
    </xdr:from>
    <xdr:to>
      <xdr:col>0</xdr:col>
      <xdr:colOff>871538</xdr:colOff>
      <xdr:row>992</xdr:row>
      <xdr:rowOff>760942</xdr:rowOff>
    </xdr:to>
    <xdr:pic>
      <xdr:nvPicPr>
        <xdr:cNvPr id="1964" name="Obraz 1963">
          <a:extLst>
            <a:ext uri="{FF2B5EF4-FFF2-40B4-BE49-F238E27FC236}">
              <a16:creationId xmlns:a16="http://schemas.microsoft.com/office/drawing/2014/main" id="{07C18C82-5CDA-25FC-3505-E838BCE5E3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54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992</xdr:row>
      <xdr:rowOff>760942</xdr:rowOff>
    </xdr:from>
    <xdr:to>
      <xdr:col>0</xdr:col>
      <xdr:colOff>871538</xdr:colOff>
      <xdr:row>993</xdr:row>
      <xdr:rowOff>760942</xdr:rowOff>
    </xdr:to>
    <xdr:pic>
      <xdr:nvPicPr>
        <xdr:cNvPr id="1966" name="Obraz 1965">
          <a:extLst>
            <a:ext uri="{FF2B5EF4-FFF2-40B4-BE49-F238E27FC236}">
              <a16:creationId xmlns:a16="http://schemas.microsoft.com/office/drawing/2014/main" id="{34BFD656-85A4-688D-368F-095BC095BA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61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993</xdr:row>
      <xdr:rowOff>760942</xdr:rowOff>
    </xdr:from>
    <xdr:to>
      <xdr:col>0</xdr:col>
      <xdr:colOff>871538</xdr:colOff>
      <xdr:row>994</xdr:row>
      <xdr:rowOff>760942</xdr:rowOff>
    </xdr:to>
    <xdr:pic>
      <xdr:nvPicPr>
        <xdr:cNvPr id="1968" name="Obraz 1967">
          <a:extLst>
            <a:ext uri="{FF2B5EF4-FFF2-40B4-BE49-F238E27FC236}">
              <a16:creationId xmlns:a16="http://schemas.microsoft.com/office/drawing/2014/main" id="{94F4A52D-5EEF-32B1-3B3D-062E33BAEE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69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994</xdr:row>
      <xdr:rowOff>760942</xdr:rowOff>
    </xdr:from>
    <xdr:to>
      <xdr:col>0</xdr:col>
      <xdr:colOff>871538</xdr:colOff>
      <xdr:row>995</xdr:row>
      <xdr:rowOff>760942</xdr:rowOff>
    </xdr:to>
    <xdr:pic>
      <xdr:nvPicPr>
        <xdr:cNvPr id="1970" name="Obraz 1969">
          <a:extLst>
            <a:ext uri="{FF2B5EF4-FFF2-40B4-BE49-F238E27FC236}">
              <a16:creationId xmlns:a16="http://schemas.microsoft.com/office/drawing/2014/main" id="{22DE6E10-E30F-CBA4-2FBF-7F94E5A1D1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77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995</xdr:row>
      <xdr:rowOff>760942</xdr:rowOff>
    </xdr:from>
    <xdr:to>
      <xdr:col>0</xdr:col>
      <xdr:colOff>871538</xdr:colOff>
      <xdr:row>996</xdr:row>
      <xdr:rowOff>760942</xdr:rowOff>
    </xdr:to>
    <xdr:pic>
      <xdr:nvPicPr>
        <xdr:cNvPr id="1972" name="Obraz 1971">
          <a:extLst>
            <a:ext uri="{FF2B5EF4-FFF2-40B4-BE49-F238E27FC236}">
              <a16:creationId xmlns:a16="http://schemas.microsoft.com/office/drawing/2014/main" id="{EDE6EFB0-05A7-9BD3-F435-008E1C0D0F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84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996</xdr:row>
      <xdr:rowOff>760942</xdr:rowOff>
    </xdr:from>
    <xdr:to>
      <xdr:col>0</xdr:col>
      <xdr:colOff>871538</xdr:colOff>
      <xdr:row>997</xdr:row>
      <xdr:rowOff>760942</xdr:rowOff>
    </xdr:to>
    <xdr:pic>
      <xdr:nvPicPr>
        <xdr:cNvPr id="1974" name="Obraz 1973">
          <a:extLst>
            <a:ext uri="{FF2B5EF4-FFF2-40B4-BE49-F238E27FC236}">
              <a16:creationId xmlns:a16="http://schemas.microsoft.com/office/drawing/2014/main" id="{F283F0A1-61C8-4F82-D6CA-F70DFE6121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92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997</xdr:row>
      <xdr:rowOff>760942</xdr:rowOff>
    </xdr:from>
    <xdr:to>
      <xdr:col>0</xdr:col>
      <xdr:colOff>871538</xdr:colOff>
      <xdr:row>998</xdr:row>
      <xdr:rowOff>760942</xdr:rowOff>
    </xdr:to>
    <xdr:pic>
      <xdr:nvPicPr>
        <xdr:cNvPr id="1976" name="Obraz 1975">
          <a:extLst>
            <a:ext uri="{FF2B5EF4-FFF2-40B4-BE49-F238E27FC236}">
              <a16:creationId xmlns:a16="http://schemas.microsoft.com/office/drawing/2014/main" id="{004EA2C9-3652-D989-AF8C-483DB9525B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00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998</xdr:row>
      <xdr:rowOff>760942</xdr:rowOff>
    </xdr:from>
    <xdr:to>
      <xdr:col>0</xdr:col>
      <xdr:colOff>871538</xdr:colOff>
      <xdr:row>999</xdr:row>
      <xdr:rowOff>760942</xdr:rowOff>
    </xdr:to>
    <xdr:pic>
      <xdr:nvPicPr>
        <xdr:cNvPr id="1978" name="Obraz 1977">
          <a:extLst>
            <a:ext uri="{FF2B5EF4-FFF2-40B4-BE49-F238E27FC236}">
              <a16:creationId xmlns:a16="http://schemas.microsoft.com/office/drawing/2014/main" id="{4FA46BD4-6133-1B1B-1CD8-585358B828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07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999</xdr:row>
      <xdr:rowOff>760942</xdr:rowOff>
    </xdr:from>
    <xdr:to>
      <xdr:col>0</xdr:col>
      <xdr:colOff>871538</xdr:colOff>
      <xdr:row>1000</xdr:row>
      <xdr:rowOff>760942</xdr:rowOff>
    </xdr:to>
    <xdr:pic>
      <xdr:nvPicPr>
        <xdr:cNvPr id="1980" name="Obraz 1979">
          <a:extLst>
            <a:ext uri="{FF2B5EF4-FFF2-40B4-BE49-F238E27FC236}">
              <a16:creationId xmlns:a16="http://schemas.microsoft.com/office/drawing/2014/main" id="{BA1DA206-D51C-913B-62AE-80E38569AF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15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1000</xdr:row>
      <xdr:rowOff>760942</xdr:rowOff>
    </xdr:from>
    <xdr:to>
      <xdr:col>0</xdr:col>
      <xdr:colOff>871538</xdr:colOff>
      <xdr:row>1001</xdr:row>
      <xdr:rowOff>760942</xdr:rowOff>
    </xdr:to>
    <xdr:pic>
      <xdr:nvPicPr>
        <xdr:cNvPr id="1982" name="Obraz 1981">
          <a:extLst>
            <a:ext uri="{FF2B5EF4-FFF2-40B4-BE49-F238E27FC236}">
              <a16:creationId xmlns:a16="http://schemas.microsoft.com/office/drawing/2014/main" id="{A73F7708-DD14-0084-AB6F-9161485739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22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1001</xdr:row>
      <xdr:rowOff>760942</xdr:rowOff>
    </xdr:from>
    <xdr:to>
      <xdr:col>0</xdr:col>
      <xdr:colOff>871538</xdr:colOff>
      <xdr:row>1002</xdr:row>
      <xdr:rowOff>760942</xdr:rowOff>
    </xdr:to>
    <xdr:pic>
      <xdr:nvPicPr>
        <xdr:cNvPr id="1984" name="Obraz 1983">
          <a:extLst>
            <a:ext uri="{FF2B5EF4-FFF2-40B4-BE49-F238E27FC236}">
              <a16:creationId xmlns:a16="http://schemas.microsoft.com/office/drawing/2014/main" id="{21FD656E-3601-7FB9-B749-E9046CA42F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30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1002</xdr:row>
      <xdr:rowOff>760942</xdr:rowOff>
    </xdr:from>
    <xdr:to>
      <xdr:col>0</xdr:col>
      <xdr:colOff>871538</xdr:colOff>
      <xdr:row>1003</xdr:row>
      <xdr:rowOff>760942</xdr:rowOff>
    </xdr:to>
    <xdr:pic>
      <xdr:nvPicPr>
        <xdr:cNvPr id="1986" name="Obraz 1985">
          <a:extLst>
            <a:ext uri="{FF2B5EF4-FFF2-40B4-BE49-F238E27FC236}">
              <a16:creationId xmlns:a16="http://schemas.microsoft.com/office/drawing/2014/main" id="{113F4324-57FD-BB25-B8F1-8E7343D146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38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1003</xdr:row>
      <xdr:rowOff>760942</xdr:rowOff>
    </xdr:from>
    <xdr:to>
      <xdr:col>0</xdr:col>
      <xdr:colOff>871538</xdr:colOff>
      <xdr:row>1004</xdr:row>
      <xdr:rowOff>760942</xdr:rowOff>
    </xdr:to>
    <xdr:pic>
      <xdr:nvPicPr>
        <xdr:cNvPr id="1988" name="Obraz 1987">
          <a:extLst>
            <a:ext uri="{FF2B5EF4-FFF2-40B4-BE49-F238E27FC236}">
              <a16:creationId xmlns:a16="http://schemas.microsoft.com/office/drawing/2014/main" id="{61F76536-9D1F-0FB4-D48C-FB6930BF98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45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1004</xdr:row>
      <xdr:rowOff>760942</xdr:rowOff>
    </xdr:from>
    <xdr:to>
      <xdr:col>0</xdr:col>
      <xdr:colOff>871538</xdr:colOff>
      <xdr:row>1005</xdr:row>
      <xdr:rowOff>760942</xdr:rowOff>
    </xdr:to>
    <xdr:pic>
      <xdr:nvPicPr>
        <xdr:cNvPr id="1990" name="Obraz 1989">
          <a:extLst>
            <a:ext uri="{FF2B5EF4-FFF2-40B4-BE49-F238E27FC236}">
              <a16:creationId xmlns:a16="http://schemas.microsoft.com/office/drawing/2014/main" id="{A2D069DF-FAC0-B089-4ADE-14DC002D0D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53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1005</xdr:row>
      <xdr:rowOff>760942</xdr:rowOff>
    </xdr:from>
    <xdr:to>
      <xdr:col>0</xdr:col>
      <xdr:colOff>871538</xdr:colOff>
      <xdr:row>1006</xdr:row>
      <xdr:rowOff>760942</xdr:rowOff>
    </xdr:to>
    <xdr:pic>
      <xdr:nvPicPr>
        <xdr:cNvPr id="1992" name="Obraz 1991">
          <a:extLst>
            <a:ext uri="{FF2B5EF4-FFF2-40B4-BE49-F238E27FC236}">
              <a16:creationId xmlns:a16="http://schemas.microsoft.com/office/drawing/2014/main" id="{E70F3038-D51E-4E47-5985-CB04010058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61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1006</xdr:row>
      <xdr:rowOff>760942</xdr:rowOff>
    </xdr:from>
    <xdr:to>
      <xdr:col>0</xdr:col>
      <xdr:colOff>871538</xdr:colOff>
      <xdr:row>1007</xdr:row>
      <xdr:rowOff>760942</xdr:rowOff>
    </xdr:to>
    <xdr:pic>
      <xdr:nvPicPr>
        <xdr:cNvPr id="1994" name="Obraz 1993">
          <a:extLst>
            <a:ext uri="{FF2B5EF4-FFF2-40B4-BE49-F238E27FC236}">
              <a16:creationId xmlns:a16="http://schemas.microsoft.com/office/drawing/2014/main" id="{81508855-9589-A581-F67D-67F6AF8DB8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68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1007</xdr:row>
      <xdr:rowOff>760942</xdr:rowOff>
    </xdr:from>
    <xdr:to>
      <xdr:col>0</xdr:col>
      <xdr:colOff>871538</xdr:colOff>
      <xdr:row>1008</xdr:row>
      <xdr:rowOff>760942</xdr:rowOff>
    </xdr:to>
    <xdr:pic>
      <xdr:nvPicPr>
        <xdr:cNvPr id="1996" name="Obraz 1995">
          <a:extLst>
            <a:ext uri="{FF2B5EF4-FFF2-40B4-BE49-F238E27FC236}">
              <a16:creationId xmlns:a16="http://schemas.microsoft.com/office/drawing/2014/main" id="{E0C402A3-1584-F894-FFF1-6392873CD1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76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1008</xdr:row>
      <xdr:rowOff>760942</xdr:rowOff>
    </xdr:from>
    <xdr:to>
      <xdr:col>0</xdr:col>
      <xdr:colOff>871538</xdr:colOff>
      <xdr:row>1009</xdr:row>
      <xdr:rowOff>760942</xdr:rowOff>
    </xdr:to>
    <xdr:pic>
      <xdr:nvPicPr>
        <xdr:cNvPr id="1998" name="Obraz 1997">
          <a:extLst>
            <a:ext uri="{FF2B5EF4-FFF2-40B4-BE49-F238E27FC236}">
              <a16:creationId xmlns:a16="http://schemas.microsoft.com/office/drawing/2014/main" id="{493B57E8-B860-0CBE-D17F-792748988E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83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1009</xdr:row>
      <xdr:rowOff>760942</xdr:rowOff>
    </xdr:from>
    <xdr:to>
      <xdr:col>0</xdr:col>
      <xdr:colOff>871538</xdr:colOff>
      <xdr:row>1010</xdr:row>
      <xdr:rowOff>760942</xdr:rowOff>
    </xdr:to>
    <xdr:pic>
      <xdr:nvPicPr>
        <xdr:cNvPr id="2000" name="Obraz 1999">
          <a:extLst>
            <a:ext uri="{FF2B5EF4-FFF2-40B4-BE49-F238E27FC236}">
              <a16:creationId xmlns:a16="http://schemas.microsoft.com/office/drawing/2014/main" id="{41C99661-D15D-ED41-80A5-0C3E4096F1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91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1010</xdr:row>
      <xdr:rowOff>760942</xdr:rowOff>
    </xdr:from>
    <xdr:to>
      <xdr:col>0</xdr:col>
      <xdr:colOff>871538</xdr:colOff>
      <xdr:row>1011</xdr:row>
      <xdr:rowOff>760942</xdr:rowOff>
    </xdr:to>
    <xdr:pic>
      <xdr:nvPicPr>
        <xdr:cNvPr id="2002" name="Obraz 2001">
          <a:extLst>
            <a:ext uri="{FF2B5EF4-FFF2-40B4-BE49-F238E27FC236}">
              <a16:creationId xmlns:a16="http://schemas.microsoft.com/office/drawing/2014/main" id="{D57D3874-05C1-A2F1-63AB-147CA13200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99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1011</xdr:row>
      <xdr:rowOff>760942</xdr:rowOff>
    </xdr:from>
    <xdr:to>
      <xdr:col>0</xdr:col>
      <xdr:colOff>871538</xdr:colOff>
      <xdr:row>1012</xdr:row>
      <xdr:rowOff>760942</xdr:rowOff>
    </xdr:to>
    <xdr:pic>
      <xdr:nvPicPr>
        <xdr:cNvPr id="2004" name="Obraz 2003">
          <a:extLst>
            <a:ext uri="{FF2B5EF4-FFF2-40B4-BE49-F238E27FC236}">
              <a16:creationId xmlns:a16="http://schemas.microsoft.com/office/drawing/2014/main" id="{36777521-3D3D-C1A5-152F-A5E37342E3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706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1012</xdr:row>
      <xdr:rowOff>760942</xdr:rowOff>
    </xdr:from>
    <xdr:to>
      <xdr:col>0</xdr:col>
      <xdr:colOff>871538</xdr:colOff>
      <xdr:row>1013</xdr:row>
      <xdr:rowOff>760942</xdr:rowOff>
    </xdr:to>
    <xdr:pic>
      <xdr:nvPicPr>
        <xdr:cNvPr id="2006" name="Obraz 2005">
          <a:extLst>
            <a:ext uri="{FF2B5EF4-FFF2-40B4-BE49-F238E27FC236}">
              <a16:creationId xmlns:a16="http://schemas.microsoft.com/office/drawing/2014/main" id="{92EE11F9-FD65-3021-289A-180D233729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714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1013</xdr:row>
      <xdr:rowOff>760942</xdr:rowOff>
    </xdr:from>
    <xdr:to>
      <xdr:col>0</xdr:col>
      <xdr:colOff>871538</xdr:colOff>
      <xdr:row>1014</xdr:row>
      <xdr:rowOff>760942</xdr:rowOff>
    </xdr:to>
    <xdr:pic>
      <xdr:nvPicPr>
        <xdr:cNvPr id="2008" name="Obraz 2007">
          <a:extLst>
            <a:ext uri="{FF2B5EF4-FFF2-40B4-BE49-F238E27FC236}">
              <a16:creationId xmlns:a16="http://schemas.microsoft.com/office/drawing/2014/main" id="{235000EB-5EC0-9496-0025-FB82221516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722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1014</xdr:row>
      <xdr:rowOff>760942</xdr:rowOff>
    </xdr:from>
    <xdr:to>
      <xdr:col>0</xdr:col>
      <xdr:colOff>871538</xdr:colOff>
      <xdr:row>1015</xdr:row>
      <xdr:rowOff>760942</xdr:rowOff>
    </xdr:to>
    <xdr:pic>
      <xdr:nvPicPr>
        <xdr:cNvPr id="2010" name="Obraz 2009">
          <a:extLst>
            <a:ext uri="{FF2B5EF4-FFF2-40B4-BE49-F238E27FC236}">
              <a16:creationId xmlns:a16="http://schemas.microsoft.com/office/drawing/2014/main" id="{3B9EEC44-B951-A8D4-486A-9D0758BB22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729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1015</xdr:row>
      <xdr:rowOff>760942</xdr:rowOff>
    </xdr:from>
    <xdr:to>
      <xdr:col>0</xdr:col>
      <xdr:colOff>871538</xdr:colOff>
      <xdr:row>1016</xdr:row>
      <xdr:rowOff>760942</xdr:rowOff>
    </xdr:to>
    <xdr:pic>
      <xdr:nvPicPr>
        <xdr:cNvPr id="2012" name="Obraz 2011">
          <a:extLst>
            <a:ext uri="{FF2B5EF4-FFF2-40B4-BE49-F238E27FC236}">
              <a16:creationId xmlns:a16="http://schemas.microsoft.com/office/drawing/2014/main" id="{71731EC7-2F08-F614-416D-AEFAA902BF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737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1016</xdr:row>
      <xdr:rowOff>760942</xdr:rowOff>
    </xdr:from>
    <xdr:to>
      <xdr:col>0</xdr:col>
      <xdr:colOff>871538</xdr:colOff>
      <xdr:row>1017</xdr:row>
      <xdr:rowOff>760942</xdr:rowOff>
    </xdr:to>
    <xdr:pic>
      <xdr:nvPicPr>
        <xdr:cNvPr id="2014" name="Obraz 2013">
          <a:extLst>
            <a:ext uri="{FF2B5EF4-FFF2-40B4-BE49-F238E27FC236}">
              <a16:creationId xmlns:a16="http://schemas.microsoft.com/office/drawing/2014/main" id="{DEAE80F4-9542-203D-B082-25A82FF20D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744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1017</xdr:row>
      <xdr:rowOff>760942</xdr:rowOff>
    </xdr:from>
    <xdr:to>
      <xdr:col>0</xdr:col>
      <xdr:colOff>871538</xdr:colOff>
      <xdr:row>1018</xdr:row>
      <xdr:rowOff>760942</xdr:rowOff>
    </xdr:to>
    <xdr:pic>
      <xdr:nvPicPr>
        <xdr:cNvPr id="2016" name="Obraz 2015">
          <a:extLst>
            <a:ext uri="{FF2B5EF4-FFF2-40B4-BE49-F238E27FC236}">
              <a16:creationId xmlns:a16="http://schemas.microsoft.com/office/drawing/2014/main" id="{96A37636-CD65-DE4C-05F7-E0BD080A82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752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1018</xdr:row>
      <xdr:rowOff>760942</xdr:rowOff>
    </xdr:from>
    <xdr:to>
      <xdr:col>0</xdr:col>
      <xdr:colOff>871538</xdr:colOff>
      <xdr:row>1019</xdr:row>
      <xdr:rowOff>760942</xdr:rowOff>
    </xdr:to>
    <xdr:pic>
      <xdr:nvPicPr>
        <xdr:cNvPr id="2018" name="Obraz 2017">
          <a:extLst>
            <a:ext uri="{FF2B5EF4-FFF2-40B4-BE49-F238E27FC236}">
              <a16:creationId xmlns:a16="http://schemas.microsoft.com/office/drawing/2014/main" id="{5966DD05-6030-EFEF-034A-A3C9F31F9F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760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1019</xdr:row>
      <xdr:rowOff>760942</xdr:rowOff>
    </xdr:from>
    <xdr:to>
      <xdr:col>0</xdr:col>
      <xdr:colOff>871538</xdr:colOff>
      <xdr:row>1020</xdr:row>
      <xdr:rowOff>760942</xdr:rowOff>
    </xdr:to>
    <xdr:pic>
      <xdr:nvPicPr>
        <xdr:cNvPr id="2020" name="Obraz 2019">
          <a:extLst>
            <a:ext uri="{FF2B5EF4-FFF2-40B4-BE49-F238E27FC236}">
              <a16:creationId xmlns:a16="http://schemas.microsoft.com/office/drawing/2014/main" id="{DD2A8133-DBE6-2F23-A831-C30A4E97A3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767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1020</xdr:row>
      <xdr:rowOff>760942</xdr:rowOff>
    </xdr:from>
    <xdr:to>
      <xdr:col>0</xdr:col>
      <xdr:colOff>871538</xdr:colOff>
      <xdr:row>1021</xdr:row>
      <xdr:rowOff>760942</xdr:rowOff>
    </xdr:to>
    <xdr:pic>
      <xdr:nvPicPr>
        <xdr:cNvPr id="2022" name="Obraz 2021">
          <a:extLst>
            <a:ext uri="{FF2B5EF4-FFF2-40B4-BE49-F238E27FC236}">
              <a16:creationId xmlns:a16="http://schemas.microsoft.com/office/drawing/2014/main" id="{A20B1CC0-CEA4-9009-A6EB-181BA18413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775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1021</xdr:row>
      <xdr:rowOff>760942</xdr:rowOff>
    </xdr:from>
    <xdr:to>
      <xdr:col>0</xdr:col>
      <xdr:colOff>871538</xdr:colOff>
      <xdr:row>1022</xdr:row>
      <xdr:rowOff>760942</xdr:rowOff>
    </xdr:to>
    <xdr:pic>
      <xdr:nvPicPr>
        <xdr:cNvPr id="2024" name="Obraz 2023">
          <a:extLst>
            <a:ext uri="{FF2B5EF4-FFF2-40B4-BE49-F238E27FC236}">
              <a16:creationId xmlns:a16="http://schemas.microsoft.com/office/drawing/2014/main" id="{B2E56AAA-6154-E7FC-7432-C07045D542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782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1022</xdr:row>
      <xdr:rowOff>760942</xdr:rowOff>
    </xdr:from>
    <xdr:to>
      <xdr:col>0</xdr:col>
      <xdr:colOff>871538</xdr:colOff>
      <xdr:row>1023</xdr:row>
      <xdr:rowOff>760942</xdr:rowOff>
    </xdr:to>
    <xdr:pic>
      <xdr:nvPicPr>
        <xdr:cNvPr id="2026" name="Obraz 2025">
          <a:extLst>
            <a:ext uri="{FF2B5EF4-FFF2-40B4-BE49-F238E27FC236}">
              <a16:creationId xmlns:a16="http://schemas.microsoft.com/office/drawing/2014/main" id="{B379E6D5-541D-6016-56F6-87DE6AF6AF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790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1023</xdr:row>
      <xdr:rowOff>760942</xdr:rowOff>
    </xdr:from>
    <xdr:to>
      <xdr:col>0</xdr:col>
      <xdr:colOff>871538</xdr:colOff>
      <xdr:row>1024</xdr:row>
      <xdr:rowOff>760942</xdr:rowOff>
    </xdr:to>
    <xdr:pic>
      <xdr:nvPicPr>
        <xdr:cNvPr id="2028" name="Obraz 2027">
          <a:extLst>
            <a:ext uri="{FF2B5EF4-FFF2-40B4-BE49-F238E27FC236}">
              <a16:creationId xmlns:a16="http://schemas.microsoft.com/office/drawing/2014/main" id="{024A7025-2BCA-4C4F-D776-A96A589502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798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1024</xdr:row>
      <xdr:rowOff>760942</xdr:rowOff>
    </xdr:from>
    <xdr:to>
      <xdr:col>0</xdr:col>
      <xdr:colOff>871538</xdr:colOff>
      <xdr:row>1025</xdr:row>
      <xdr:rowOff>760942</xdr:rowOff>
    </xdr:to>
    <xdr:pic>
      <xdr:nvPicPr>
        <xdr:cNvPr id="2030" name="Obraz 2029">
          <a:extLst>
            <a:ext uri="{FF2B5EF4-FFF2-40B4-BE49-F238E27FC236}">
              <a16:creationId xmlns:a16="http://schemas.microsoft.com/office/drawing/2014/main" id="{2544E166-B586-22B9-8649-D922CBA85D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05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1025</xdr:row>
      <xdr:rowOff>760942</xdr:rowOff>
    </xdr:from>
    <xdr:to>
      <xdr:col>0</xdr:col>
      <xdr:colOff>871538</xdr:colOff>
      <xdr:row>1026</xdr:row>
      <xdr:rowOff>760942</xdr:rowOff>
    </xdr:to>
    <xdr:pic>
      <xdr:nvPicPr>
        <xdr:cNvPr id="2032" name="Obraz 2031">
          <a:extLst>
            <a:ext uri="{FF2B5EF4-FFF2-40B4-BE49-F238E27FC236}">
              <a16:creationId xmlns:a16="http://schemas.microsoft.com/office/drawing/2014/main" id="{470EA72E-5A80-7632-84E2-EAA39A79F7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13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1026</xdr:row>
      <xdr:rowOff>760942</xdr:rowOff>
    </xdr:from>
    <xdr:to>
      <xdr:col>0</xdr:col>
      <xdr:colOff>871538</xdr:colOff>
      <xdr:row>1027</xdr:row>
      <xdr:rowOff>760942</xdr:rowOff>
    </xdr:to>
    <xdr:pic>
      <xdr:nvPicPr>
        <xdr:cNvPr id="2034" name="Obraz 2033">
          <a:extLst>
            <a:ext uri="{FF2B5EF4-FFF2-40B4-BE49-F238E27FC236}">
              <a16:creationId xmlns:a16="http://schemas.microsoft.com/office/drawing/2014/main" id="{23D817FA-9B96-D1C8-A9FC-8CBB629F2F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21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1027</xdr:row>
      <xdr:rowOff>760942</xdr:rowOff>
    </xdr:from>
    <xdr:to>
      <xdr:col>0</xdr:col>
      <xdr:colOff>871538</xdr:colOff>
      <xdr:row>1028</xdr:row>
      <xdr:rowOff>760942</xdr:rowOff>
    </xdr:to>
    <xdr:pic>
      <xdr:nvPicPr>
        <xdr:cNvPr id="2036" name="Obraz 2035">
          <a:extLst>
            <a:ext uri="{FF2B5EF4-FFF2-40B4-BE49-F238E27FC236}">
              <a16:creationId xmlns:a16="http://schemas.microsoft.com/office/drawing/2014/main" id="{B88E16FC-8BCE-41B6-CF23-8BCB4D3154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28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1028</xdr:row>
      <xdr:rowOff>760942</xdr:rowOff>
    </xdr:from>
    <xdr:to>
      <xdr:col>0</xdr:col>
      <xdr:colOff>871538</xdr:colOff>
      <xdr:row>1029</xdr:row>
      <xdr:rowOff>760942</xdr:rowOff>
    </xdr:to>
    <xdr:pic>
      <xdr:nvPicPr>
        <xdr:cNvPr id="2038" name="Obraz 2037">
          <a:extLst>
            <a:ext uri="{FF2B5EF4-FFF2-40B4-BE49-F238E27FC236}">
              <a16:creationId xmlns:a16="http://schemas.microsoft.com/office/drawing/2014/main" id="{1217CA76-BA22-068B-19F7-6AFB8A4732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36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1029</xdr:row>
      <xdr:rowOff>760942</xdr:rowOff>
    </xdr:from>
    <xdr:to>
      <xdr:col>0</xdr:col>
      <xdr:colOff>871538</xdr:colOff>
      <xdr:row>1030</xdr:row>
      <xdr:rowOff>760942</xdr:rowOff>
    </xdr:to>
    <xdr:pic>
      <xdr:nvPicPr>
        <xdr:cNvPr id="2040" name="Obraz 2039">
          <a:extLst>
            <a:ext uri="{FF2B5EF4-FFF2-40B4-BE49-F238E27FC236}">
              <a16:creationId xmlns:a16="http://schemas.microsoft.com/office/drawing/2014/main" id="{BD39B550-578F-7D20-B8FC-397D9C3A7B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43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1030</xdr:row>
      <xdr:rowOff>760942</xdr:rowOff>
    </xdr:from>
    <xdr:to>
      <xdr:col>0</xdr:col>
      <xdr:colOff>871538</xdr:colOff>
      <xdr:row>1031</xdr:row>
      <xdr:rowOff>760942</xdr:rowOff>
    </xdr:to>
    <xdr:pic>
      <xdr:nvPicPr>
        <xdr:cNvPr id="2042" name="Obraz 2041">
          <a:extLst>
            <a:ext uri="{FF2B5EF4-FFF2-40B4-BE49-F238E27FC236}">
              <a16:creationId xmlns:a16="http://schemas.microsoft.com/office/drawing/2014/main" id="{7FBC35F1-FF31-F8A2-48B7-243ED841C3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51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1031</xdr:row>
      <xdr:rowOff>760942</xdr:rowOff>
    </xdr:from>
    <xdr:to>
      <xdr:col>0</xdr:col>
      <xdr:colOff>871538</xdr:colOff>
      <xdr:row>1032</xdr:row>
      <xdr:rowOff>760942</xdr:rowOff>
    </xdr:to>
    <xdr:pic>
      <xdr:nvPicPr>
        <xdr:cNvPr id="2044" name="Obraz 2043">
          <a:extLst>
            <a:ext uri="{FF2B5EF4-FFF2-40B4-BE49-F238E27FC236}">
              <a16:creationId xmlns:a16="http://schemas.microsoft.com/office/drawing/2014/main" id="{D1620593-2211-79F5-7BA8-77055D00B4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59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1032</xdr:row>
      <xdr:rowOff>760942</xdr:rowOff>
    </xdr:from>
    <xdr:to>
      <xdr:col>0</xdr:col>
      <xdr:colOff>871538</xdr:colOff>
      <xdr:row>1033</xdr:row>
      <xdr:rowOff>760942</xdr:rowOff>
    </xdr:to>
    <xdr:pic>
      <xdr:nvPicPr>
        <xdr:cNvPr id="2046" name="Obraz 2045">
          <a:extLst>
            <a:ext uri="{FF2B5EF4-FFF2-40B4-BE49-F238E27FC236}">
              <a16:creationId xmlns:a16="http://schemas.microsoft.com/office/drawing/2014/main" id="{D27D047F-AE66-2967-40B7-EAB6F54741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66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1033</xdr:row>
      <xdr:rowOff>760942</xdr:rowOff>
    </xdr:from>
    <xdr:to>
      <xdr:col>0</xdr:col>
      <xdr:colOff>871538</xdr:colOff>
      <xdr:row>1034</xdr:row>
      <xdr:rowOff>760942</xdr:rowOff>
    </xdr:to>
    <xdr:pic>
      <xdr:nvPicPr>
        <xdr:cNvPr id="2048" name="Obraz 2047">
          <a:extLst>
            <a:ext uri="{FF2B5EF4-FFF2-40B4-BE49-F238E27FC236}">
              <a16:creationId xmlns:a16="http://schemas.microsoft.com/office/drawing/2014/main" id="{E0E24F13-2F62-1D86-02CD-1785EB3AF4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74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1034</xdr:row>
      <xdr:rowOff>760942</xdr:rowOff>
    </xdr:from>
    <xdr:to>
      <xdr:col>0</xdr:col>
      <xdr:colOff>871538</xdr:colOff>
      <xdr:row>1035</xdr:row>
      <xdr:rowOff>760942</xdr:rowOff>
    </xdr:to>
    <xdr:pic>
      <xdr:nvPicPr>
        <xdr:cNvPr id="2050" name="Obraz 2049">
          <a:extLst>
            <a:ext uri="{FF2B5EF4-FFF2-40B4-BE49-F238E27FC236}">
              <a16:creationId xmlns:a16="http://schemas.microsoft.com/office/drawing/2014/main" id="{DE2B3C24-F1D9-40A6-E1B4-79FCC463C4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82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1035</xdr:row>
      <xdr:rowOff>760942</xdr:rowOff>
    </xdr:from>
    <xdr:to>
      <xdr:col>0</xdr:col>
      <xdr:colOff>871538</xdr:colOff>
      <xdr:row>1036</xdr:row>
      <xdr:rowOff>760942</xdr:rowOff>
    </xdr:to>
    <xdr:pic>
      <xdr:nvPicPr>
        <xdr:cNvPr id="2052" name="Obraz 2051">
          <a:extLst>
            <a:ext uri="{FF2B5EF4-FFF2-40B4-BE49-F238E27FC236}">
              <a16:creationId xmlns:a16="http://schemas.microsoft.com/office/drawing/2014/main" id="{8C4D770D-A7E1-287A-0547-B06F2F76F6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89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1036</xdr:row>
      <xdr:rowOff>760942</xdr:rowOff>
    </xdr:from>
    <xdr:to>
      <xdr:col>0</xdr:col>
      <xdr:colOff>871538</xdr:colOff>
      <xdr:row>1037</xdr:row>
      <xdr:rowOff>760942</xdr:rowOff>
    </xdr:to>
    <xdr:pic>
      <xdr:nvPicPr>
        <xdr:cNvPr id="2054" name="Obraz 2053">
          <a:extLst>
            <a:ext uri="{FF2B5EF4-FFF2-40B4-BE49-F238E27FC236}">
              <a16:creationId xmlns:a16="http://schemas.microsoft.com/office/drawing/2014/main" id="{13059950-6A23-DFE6-271E-2A7995D021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97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1037</xdr:row>
      <xdr:rowOff>760942</xdr:rowOff>
    </xdr:from>
    <xdr:to>
      <xdr:col>0</xdr:col>
      <xdr:colOff>871538</xdr:colOff>
      <xdr:row>1038</xdr:row>
      <xdr:rowOff>760942</xdr:rowOff>
    </xdr:to>
    <xdr:pic>
      <xdr:nvPicPr>
        <xdr:cNvPr id="2056" name="Obraz 2055">
          <a:extLst>
            <a:ext uri="{FF2B5EF4-FFF2-40B4-BE49-F238E27FC236}">
              <a16:creationId xmlns:a16="http://schemas.microsoft.com/office/drawing/2014/main" id="{915FBF27-0620-F919-9C4C-E3BCB62CF2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04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1038</xdr:row>
      <xdr:rowOff>760942</xdr:rowOff>
    </xdr:from>
    <xdr:to>
      <xdr:col>0</xdr:col>
      <xdr:colOff>871538</xdr:colOff>
      <xdr:row>1039</xdr:row>
      <xdr:rowOff>760942</xdr:rowOff>
    </xdr:to>
    <xdr:pic>
      <xdr:nvPicPr>
        <xdr:cNvPr id="2058" name="Obraz 2057">
          <a:extLst>
            <a:ext uri="{FF2B5EF4-FFF2-40B4-BE49-F238E27FC236}">
              <a16:creationId xmlns:a16="http://schemas.microsoft.com/office/drawing/2014/main" id="{461D63A4-C033-4958-62A4-E097BD4594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12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1039</xdr:row>
      <xdr:rowOff>760942</xdr:rowOff>
    </xdr:from>
    <xdr:to>
      <xdr:col>0</xdr:col>
      <xdr:colOff>871538</xdr:colOff>
      <xdr:row>1040</xdr:row>
      <xdr:rowOff>760942</xdr:rowOff>
    </xdr:to>
    <xdr:pic>
      <xdr:nvPicPr>
        <xdr:cNvPr id="2060" name="Obraz 2059">
          <a:extLst>
            <a:ext uri="{FF2B5EF4-FFF2-40B4-BE49-F238E27FC236}">
              <a16:creationId xmlns:a16="http://schemas.microsoft.com/office/drawing/2014/main" id="{0C8CA699-17D9-C92E-6D77-C96A366D95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20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1040</xdr:row>
      <xdr:rowOff>760942</xdr:rowOff>
    </xdr:from>
    <xdr:to>
      <xdr:col>0</xdr:col>
      <xdr:colOff>871538</xdr:colOff>
      <xdr:row>1041</xdr:row>
      <xdr:rowOff>760942</xdr:rowOff>
    </xdr:to>
    <xdr:pic>
      <xdr:nvPicPr>
        <xdr:cNvPr id="2062" name="Obraz 2061">
          <a:extLst>
            <a:ext uri="{FF2B5EF4-FFF2-40B4-BE49-F238E27FC236}">
              <a16:creationId xmlns:a16="http://schemas.microsoft.com/office/drawing/2014/main" id="{CBB23679-FEB3-5513-7516-BC512BBED4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27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1041</xdr:row>
      <xdr:rowOff>760942</xdr:rowOff>
    </xdr:from>
    <xdr:to>
      <xdr:col>0</xdr:col>
      <xdr:colOff>871538</xdr:colOff>
      <xdr:row>1042</xdr:row>
      <xdr:rowOff>760942</xdr:rowOff>
    </xdr:to>
    <xdr:pic>
      <xdr:nvPicPr>
        <xdr:cNvPr id="2064" name="Obraz 2063">
          <a:extLst>
            <a:ext uri="{FF2B5EF4-FFF2-40B4-BE49-F238E27FC236}">
              <a16:creationId xmlns:a16="http://schemas.microsoft.com/office/drawing/2014/main" id="{BBDF9375-0807-1B19-E2A0-10259D2FC2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35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1042</xdr:row>
      <xdr:rowOff>760942</xdr:rowOff>
    </xdr:from>
    <xdr:to>
      <xdr:col>0</xdr:col>
      <xdr:colOff>871538</xdr:colOff>
      <xdr:row>1043</xdr:row>
      <xdr:rowOff>760942</xdr:rowOff>
    </xdr:to>
    <xdr:pic>
      <xdr:nvPicPr>
        <xdr:cNvPr id="2066" name="Obraz 2065">
          <a:extLst>
            <a:ext uri="{FF2B5EF4-FFF2-40B4-BE49-F238E27FC236}">
              <a16:creationId xmlns:a16="http://schemas.microsoft.com/office/drawing/2014/main" id="{43AEC363-8204-BFB2-E3C5-524AB5CB7E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42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1043</xdr:row>
      <xdr:rowOff>760942</xdr:rowOff>
    </xdr:from>
    <xdr:to>
      <xdr:col>0</xdr:col>
      <xdr:colOff>871538</xdr:colOff>
      <xdr:row>1044</xdr:row>
      <xdr:rowOff>760942</xdr:rowOff>
    </xdr:to>
    <xdr:pic>
      <xdr:nvPicPr>
        <xdr:cNvPr id="2068" name="Obraz 2067">
          <a:extLst>
            <a:ext uri="{FF2B5EF4-FFF2-40B4-BE49-F238E27FC236}">
              <a16:creationId xmlns:a16="http://schemas.microsoft.com/office/drawing/2014/main" id="{9A56BB52-4192-82D5-6BE3-1C52738C3E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50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1044</xdr:row>
      <xdr:rowOff>760942</xdr:rowOff>
    </xdr:from>
    <xdr:to>
      <xdr:col>0</xdr:col>
      <xdr:colOff>871538</xdr:colOff>
      <xdr:row>1045</xdr:row>
      <xdr:rowOff>760942</xdr:rowOff>
    </xdr:to>
    <xdr:pic>
      <xdr:nvPicPr>
        <xdr:cNvPr id="2070" name="Obraz 2069">
          <a:extLst>
            <a:ext uri="{FF2B5EF4-FFF2-40B4-BE49-F238E27FC236}">
              <a16:creationId xmlns:a16="http://schemas.microsoft.com/office/drawing/2014/main" id="{5EA924F9-FDC2-1FE0-F622-DCC375B4DC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58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1045</xdr:row>
      <xdr:rowOff>760942</xdr:rowOff>
    </xdr:from>
    <xdr:to>
      <xdr:col>0</xdr:col>
      <xdr:colOff>871538</xdr:colOff>
      <xdr:row>1046</xdr:row>
      <xdr:rowOff>760942</xdr:rowOff>
    </xdr:to>
    <xdr:pic>
      <xdr:nvPicPr>
        <xdr:cNvPr id="2072" name="Obraz 2071">
          <a:extLst>
            <a:ext uri="{FF2B5EF4-FFF2-40B4-BE49-F238E27FC236}">
              <a16:creationId xmlns:a16="http://schemas.microsoft.com/office/drawing/2014/main" id="{07E4BE16-AC89-8A21-2F52-E6E7A5D406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65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1046</xdr:row>
      <xdr:rowOff>760942</xdr:rowOff>
    </xdr:from>
    <xdr:to>
      <xdr:col>0</xdr:col>
      <xdr:colOff>871538</xdr:colOff>
      <xdr:row>1047</xdr:row>
      <xdr:rowOff>760942</xdr:rowOff>
    </xdr:to>
    <xdr:pic>
      <xdr:nvPicPr>
        <xdr:cNvPr id="2074" name="Obraz 2073">
          <a:extLst>
            <a:ext uri="{FF2B5EF4-FFF2-40B4-BE49-F238E27FC236}">
              <a16:creationId xmlns:a16="http://schemas.microsoft.com/office/drawing/2014/main" id="{78BA2703-4B5E-FCE2-C8E9-DD8F24668A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73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1047</xdr:row>
      <xdr:rowOff>760942</xdr:rowOff>
    </xdr:from>
    <xdr:to>
      <xdr:col>0</xdr:col>
      <xdr:colOff>871538</xdr:colOff>
      <xdr:row>1048</xdr:row>
      <xdr:rowOff>760942</xdr:rowOff>
    </xdr:to>
    <xdr:pic>
      <xdr:nvPicPr>
        <xdr:cNvPr id="2076" name="Obraz 2075">
          <a:extLst>
            <a:ext uri="{FF2B5EF4-FFF2-40B4-BE49-F238E27FC236}">
              <a16:creationId xmlns:a16="http://schemas.microsoft.com/office/drawing/2014/main" id="{C0DB1774-5C7A-6CB7-9B89-5812403A17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81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1048</xdr:row>
      <xdr:rowOff>760942</xdr:rowOff>
    </xdr:from>
    <xdr:to>
      <xdr:col>0</xdr:col>
      <xdr:colOff>871538</xdr:colOff>
      <xdr:row>1049</xdr:row>
      <xdr:rowOff>760942</xdr:rowOff>
    </xdr:to>
    <xdr:pic>
      <xdr:nvPicPr>
        <xdr:cNvPr id="2078" name="Obraz 2077">
          <a:extLst>
            <a:ext uri="{FF2B5EF4-FFF2-40B4-BE49-F238E27FC236}">
              <a16:creationId xmlns:a16="http://schemas.microsoft.com/office/drawing/2014/main" id="{6965AE5D-A4E1-7D3F-E254-EED30655CB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88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1049</xdr:row>
      <xdr:rowOff>760942</xdr:rowOff>
    </xdr:from>
    <xdr:to>
      <xdr:col>0</xdr:col>
      <xdr:colOff>871538</xdr:colOff>
      <xdr:row>1050</xdr:row>
      <xdr:rowOff>760942</xdr:rowOff>
    </xdr:to>
    <xdr:pic>
      <xdr:nvPicPr>
        <xdr:cNvPr id="2080" name="Obraz 2079">
          <a:extLst>
            <a:ext uri="{FF2B5EF4-FFF2-40B4-BE49-F238E27FC236}">
              <a16:creationId xmlns:a16="http://schemas.microsoft.com/office/drawing/2014/main" id="{31F66B5A-F2D8-D250-80F7-FA190BC025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96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1050</xdr:row>
      <xdr:rowOff>760942</xdr:rowOff>
    </xdr:from>
    <xdr:to>
      <xdr:col>0</xdr:col>
      <xdr:colOff>871538</xdr:colOff>
      <xdr:row>1051</xdr:row>
      <xdr:rowOff>760942</xdr:rowOff>
    </xdr:to>
    <xdr:pic>
      <xdr:nvPicPr>
        <xdr:cNvPr id="2082" name="Obraz 2081">
          <a:extLst>
            <a:ext uri="{FF2B5EF4-FFF2-40B4-BE49-F238E27FC236}">
              <a16:creationId xmlns:a16="http://schemas.microsoft.com/office/drawing/2014/main" id="{BEE350DB-5A68-E8F2-AC70-979516A4C1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003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1051</xdr:row>
      <xdr:rowOff>760942</xdr:rowOff>
    </xdr:from>
    <xdr:to>
      <xdr:col>0</xdr:col>
      <xdr:colOff>871538</xdr:colOff>
      <xdr:row>1052</xdr:row>
      <xdr:rowOff>760942</xdr:rowOff>
    </xdr:to>
    <xdr:pic>
      <xdr:nvPicPr>
        <xdr:cNvPr id="2084" name="Obraz 2083">
          <a:extLst>
            <a:ext uri="{FF2B5EF4-FFF2-40B4-BE49-F238E27FC236}">
              <a16:creationId xmlns:a16="http://schemas.microsoft.com/office/drawing/2014/main" id="{7A14DC00-9186-40C0-1ED7-77D670FFA4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011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1052</xdr:row>
      <xdr:rowOff>760942</xdr:rowOff>
    </xdr:from>
    <xdr:to>
      <xdr:col>0</xdr:col>
      <xdr:colOff>871538</xdr:colOff>
      <xdr:row>1053</xdr:row>
      <xdr:rowOff>760942</xdr:rowOff>
    </xdr:to>
    <xdr:pic>
      <xdr:nvPicPr>
        <xdr:cNvPr id="2086" name="Obraz 2085">
          <a:extLst>
            <a:ext uri="{FF2B5EF4-FFF2-40B4-BE49-F238E27FC236}">
              <a16:creationId xmlns:a16="http://schemas.microsoft.com/office/drawing/2014/main" id="{40ACB100-A2C5-65EF-3A01-603389C632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019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1053</xdr:row>
      <xdr:rowOff>760942</xdr:rowOff>
    </xdr:from>
    <xdr:to>
      <xdr:col>0</xdr:col>
      <xdr:colOff>871538</xdr:colOff>
      <xdr:row>1054</xdr:row>
      <xdr:rowOff>760942</xdr:rowOff>
    </xdr:to>
    <xdr:pic>
      <xdr:nvPicPr>
        <xdr:cNvPr id="2088" name="Obraz 2087">
          <a:extLst>
            <a:ext uri="{FF2B5EF4-FFF2-40B4-BE49-F238E27FC236}">
              <a16:creationId xmlns:a16="http://schemas.microsoft.com/office/drawing/2014/main" id="{DA976F34-3A20-43FB-18DA-46E21EEF4D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026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1054</xdr:row>
      <xdr:rowOff>760942</xdr:rowOff>
    </xdr:from>
    <xdr:to>
      <xdr:col>0</xdr:col>
      <xdr:colOff>871538</xdr:colOff>
      <xdr:row>1055</xdr:row>
      <xdr:rowOff>760942</xdr:rowOff>
    </xdr:to>
    <xdr:pic>
      <xdr:nvPicPr>
        <xdr:cNvPr id="2090" name="Obraz 2089">
          <a:extLst>
            <a:ext uri="{FF2B5EF4-FFF2-40B4-BE49-F238E27FC236}">
              <a16:creationId xmlns:a16="http://schemas.microsoft.com/office/drawing/2014/main" id="{1DA61A35-52B0-4E60-4442-4D77D3F6CF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034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1055</xdr:row>
      <xdr:rowOff>760942</xdr:rowOff>
    </xdr:from>
    <xdr:to>
      <xdr:col>0</xdr:col>
      <xdr:colOff>871538</xdr:colOff>
      <xdr:row>1056</xdr:row>
      <xdr:rowOff>760942</xdr:rowOff>
    </xdr:to>
    <xdr:pic>
      <xdr:nvPicPr>
        <xdr:cNvPr id="2092" name="Obraz 2091">
          <a:extLst>
            <a:ext uri="{FF2B5EF4-FFF2-40B4-BE49-F238E27FC236}">
              <a16:creationId xmlns:a16="http://schemas.microsoft.com/office/drawing/2014/main" id="{9B2F303C-1C5B-EEA8-AD33-965F387D80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042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1056</xdr:row>
      <xdr:rowOff>760942</xdr:rowOff>
    </xdr:from>
    <xdr:to>
      <xdr:col>0</xdr:col>
      <xdr:colOff>871538</xdr:colOff>
      <xdr:row>1057</xdr:row>
      <xdr:rowOff>760942</xdr:rowOff>
    </xdr:to>
    <xdr:pic>
      <xdr:nvPicPr>
        <xdr:cNvPr id="2094" name="Obraz 2093">
          <a:extLst>
            <a:ext uri="{FF2B5EF4-FFF2-40B4-BE49-F238E27FC236}">
              <a16:creationId xmlns:a16="http://schemas.microsoft.com/office/drawing/2014/main" id="{97C50EE4-C288-735A-E6AE-BC3973DBCD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049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1057</xdr:row>
      <xdr:rowOff>760942</xdr:rowOff>
    </xdr:from>
    <xdr:to>
      <xdr:col>0</xdr:col>
      <xdr:colOff>871538</xdr:colOff>
      <xdr:row>1058</xdr:row>
      <xdr:rowOff>760942</xdr:rowOff>
    </xdr:to>
    <xdr:pic>
      <xdr:nvPicPr>
        <xdr:cNvPr id="2096" name="Obraz 2095">
          <a:extLst>
            <a:ext uri="{FF2B5EF4-FFF2-40B4-BE49-F238E27FC236}">
              <a16:creationId xmlns:a16="http://schemas.microsoft.com/office/drawing/2014/main" id="{360BF9D3-6C00-C8F4-0E26-2A94744B52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057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1058</xdr:row>
      <xdr:rowOff>760942</xdr:rowOff>
    </xdr:from>
    <xdr:to>
      <xdr:col>0</xdr:col>
      <xdr:colOff>871538</xdr:colOff>
      <xdr:row>1059</xdr:row>
      <xdr:rowOff>760942</xdr:rowOff>
    </xdr:to>
    <xdr:pic>
      <xdr:nvPicPr>
        <xdr:cNvPr id="2098" name="Obraz 2097">
          <a:extLst>
            <a:ext uri="{FF2B5EF4-FFF2-40B4-BE49-F238E27FC236}">
              <a16:creationId xmlns:a16="http://schemas.microsoft.com/office/drawing/2014/main" id="{BD26C7DE-7AAB-2C5B-CF2C-172F742F46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064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1059</xdr:row>
      <xdr:rowOff>760942</xdr:rowOff>
    </xdr:from>
    <xdr:to>
      <xdr:col>0</xdr:col>
      <xdr:colOff>871538</xdr:colOff>
      <xdr:row>1060</xdr:row>
      <xdr:rowOff>760942</xdr:rowOff>
    </xdr:to>
    <xdr:pic>
      <xdr:nvPicPr>
        <xdr:cNvPr id="2100" name="Obraz 2099">
          <a:extLst>
            <a:ext uri="{FF2B5EF4-FFF2-40B4-BE49-F238E27FC236}">
              <a16:creationId xmlns:a16="http://schemas.microsoft.com/office/drawing/2014/main" id="{ED983D18-AF2E-B02E-6CCF-272435C63B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072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1060</xdr:row>
      <xdr:rowOff>760942</xdr:rowOff>
    </xdr:from>
    <xdr:to>
      <xdr:col>0</xdr:col>
      <xdr:colOff>871538</xdr:colOff>
      <xdr:row>1061</xdr:row>
      <xdr:rowOff>760942</xdr:rowOff>
    </xdr:to>
    <xdr:pic>
      <xdr:nvPicPr>
        <xdr:cNvPr id="2102" name="Obraz 2101">
          <a:extLst>
            <a:ext uri="{FF2B5EF4-FFF2-40B4-BE49-F238E27FC236}">
              <a16:creationId xmlns:a16="http://schemas.microsoft.com/office/drawing/2014/main" id="{DE0D7F1C-F4BE-BA8A-F797-2788261188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080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1061</xdr:row>
      <xdr:rowOff>760942</xdr:rowOff>
    </xdr:from>
    <xdr:to>
      <xdr:col>0</xdr:col>
      <xdr:colOff>871538</xdr:colOff>
      <xdr:row>1062</xdr:row>
      <xdr:rowOff>760942</xdr:rowOff>
    </xdr:to>
    <xdr:pic>
      <xdr:nvPicPr>
        <xdr:cNvPr id="2104" name="Obraz 2103">
          <a:extLst>
            <a:ext uri="{FF2B5EF4-FFF2-40B4-BE49-F238E27FC236}">
              <a16:creationId xmlns:a16="http://schemas.microsoft.com/office/drawing/2014/main" id="{E66177CA-FC14-7F69-AAFB-EE56EAA8C4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087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1062</xdr:row>
      <xdr:rowOff>760942</xdr:rowOff>
    </xdr:from>
    <xdr:to>
      <xdr:col>0</xdr:col>
      <xdr:colOff>871538</xdr:colOff>
      <xdr:row>1063</xdr:row>
      <xdr:rowOff>760942</xdr:rowOff>
    </xdr:to>
    <xdr:pic>
      <xdr:nvPicPr>
        <xdr:cNvPr id="2106" name="Obraz 2105">
          <a:extLst>
            <a:ext uri="{FF2B5EF4-FFF2-40B4-BE49-F238E27FC236}">
              <a16:creationId xmlns:a16="http://schemas.microsoft.com/office/drawing/2014/main" id="{83712A80-1CFF-5E25-A5F8-510AEC6D59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095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1063</xdr:row>
      <xdr:rowOff>760942</xdr:rowOff>
    </xdr:from>
    <xdr:to>
      <xdr:col>0</xdr:col>
      <xdr:colOff>871538</xdr:colOff>
      <xdr:row>1064</xdr:row>
      <xdr:rowOff>760942</xdr:rowOff>
    </xdr:to>
    <xdr:pic>
      <xdr:nvPicPr>
        <xdr:cNvPr id="2108" name="Obraz 2107">
          <a:extLst>
            <a:ext uri="{FF2B5EF4-FFF2-40B4-BE49-F238E27FC236}">
              <a16:creationId xmlns:a16="http://schemas.microsoft.com/office/drawing/2014/main" id="{596311FE-42DF-0964-5CE0-1F19C8268E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103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1064</xdr:row>
      <xdr:rowOff>760942</xdr:rowOff>
    </xdr:from>
    <xdr:to>
      <xdr:col>0</xdr:col>
      <xdr:colOff>871538</xdr:colOff>
      <xdr:row>1065</xdr:row>
      <xdr:rowOff>760942</xdr:rowOff>
    </xdr:to>
    <xdr:pic>
      <xdr:nvPicPr>
        <xdr:cNvPr id="2110" name="Obraz 2109">
          <a:extLst>
            <a:ext uri="{FF2B5EF4-FFF2-40B4-BE49-F238E27FC236}">
              <a16:creationId xmlns:a16="http://schemas.microsoft.com/office/drawing/2014/main" id="{A62D7B7C-EB08-0AA8-DB84-B3C796D5D8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110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1065</xdr:row>
      <xdr:rowOff>760942</xdr:rowOff>
    </xdr:from>
    <xdr:to>
      <xdr:col>0</xdr:col>
      <xdr:colOff>871538</xdr:colOff>
      <xdr:row>1066</xdr:row>
      <xdr:rowOff>760942</xdr:rowOff>
    </xdr:to>
    <xdr:pic>
      <xdr:nvPicPr>
        <xdr:cNvPr id="2112" name="Obraz 2111">
          <a:extLst>
            <a:ext uri="{FF2B5EF4-FFF2-40B4-BE49-F238E27FC236}">
              <a16:creationId xmlns:a16="http://schemas.microsoft.com/office/drawing/2014/main" id="{E6028295-E2BE-4B6B-C81C-8C2258233A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118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1066</xdr:row>
      <xdr:rowOff>760942</xdr:rowOff>
    </xdr:from>
    <xdr:to>
      <xdr:col>0</xdr:col>
      <xdr:colOff>871538</xdr:colOff>
      <xdr:row>1067</xdr:row>
      <xdr:rowOff>760942</xdr:rowOff>
    </xdr:to>
    <xdr:pic>
      <xdr:nvPicPr>
        <xdr:cNvPr id="2114" name="Obraz 2113">
          <a:extLst>
            <a:ext uri="{FF2B5EF4-FFF2-40B4-BE49-F238E27FC236}">
              <a16:creationId xmlns:a16="http://schemas.microsoft.com/office/drawing/2014/main" id="{02F5D367-40D4-279B-7877-3463265340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125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1067</xdr:row>
      <xdr:rowOff>760942</xdr:rowOff>
    </xdr:from>
    <xdr:to>
      <xdr:col>0</xdr:col>
      <xdr:colOff>871538</xdr:colOff>
      <xdr:row>1068</xdr:row>
      <xdr:rowOff>760942</xdr:rowOff>
    </xdr:to>
    <xdr:pic>
      <xdr:nvPicPr>
        <xdr:cNvPr id="2116" name="Obraz 2115">
          <a:extLst>
            <a:ext uri="{FF2B5EF4-FFF2-40B4-BE49-F238E27FC236}">
              <a16:creationId xmlns:a16="http://schemas.microsoft.com/office/drawing/2014/main" id="{C4058D6D-1369-0B55-0BA4-3207759C4D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133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1068</xdr:row>
      <xdr:rowOff>760942</xdr:rowOff>
    </xdr:from>
    <xdr:to>
      <xdr:col>0</xdr:col>
      <xdr:colOff>871538</xdr:colOff>
      <xdr:row>1069</xdr:row>
      <xdr:rowOff>760942</xdr:rowOff>
    </xdr:to>
    <xdr:pic>
      <xdr:nvPicPr>
        <xdr:cNvPr id="2118" name="Obraz 2117">
          <a:extLst>
            <a:ext uri="{FF2B5EF4-FFF2-40B4-BE49-F238E27FC236}">
              <a16:creationId xmlns:a16="http://schemas.microsoft.com/office/drawing/2014/main" id="{6CB1267C-947C-A8F4-544A-E75E4A6085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141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1069</xdr:row>
      <xdr:rowOff>760942</xdr:rowOff>
    </xdr:from>
    <xdr:to>
      <xdr:col>0</xdr:col>
      <xdr:colOff>871538</xdr:colOff>
      <xdr:row>1070</xdr:row>
      <xdr:rowOff>760942</xdr:rowOff>
    </xdr:to>
    <xdr:pic>
      <xdr:nvPicPr>
        <xdr:cNvPr id="2120" name="Obraz 2119">
          <a:extLst>
            <a:ext uri="{FF2B5EF4-FFF2-40B4-BE49-F238E27FC236}">
              <a16:creationId xmlns:a16="http://schemas.microsoft.com/office/drawing/2014/main" id="{16344E2E-CD1C-B68B-EF7C-5A6C49821B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148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1070</xdr:row>
      <xdr:rowOff>760942</xdr:rowOff>
    </xdr:from>
    <xdr:to>
      <xdr:col>0</xdr:col>
      <xdr:colOff>871538</xdr:colOff>
      <xdr:row>1071</xdr:row>
      <xdr:rowOff>760942</xdr:rowOff>
    </xdr:to>
    <xdr:pic>
      <xdr:nvPicPr>
        <xdr:cNvPr id="2122" name="Obraz 2121">
          <a:extLst>
            <a:ext uri="{FF2B5EF4-FFF2-40B4-BE49-F238E27FC236}">
              <a16:creationId xmlns:a16="http://schemas.microsoft.com/office/drawing/2014/main" id="{C4A65D8D-AEE3-D299-ADEE-7BC7030631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156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1071</xdr:row>
      <xdr:rowOff>760942</xdr:rowOff>
    </xdr:from>
    <xdr:to>
      <xdr:col>0</xdr:col>
      <xdr:colOff>871538</xdr:colOff>
      <xdr:row>1072</xdr:row>
      <xdr:rowOff>760942</xdr:rowOff>
    </xdr:to>
    <xdr:pic>
      <xdr:nvPicPr>
        <xdr:cNvPr id="2124" name="Obraz 2123">
          <a:extLst>
            <a:ext uri="{FF2B5EF4-FFF2-40B4-BE49-F238E27FC236}">
              <a16:creationId xmlns:a16="http://schemas.microsoft.com/office/drawing/2014/main" id="{5038896C-21CB-DA67-1B6F-EF9A3887BF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163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1072</xdr:row>
      <xdr:rowOff>760942</xdr:rowOff>
    </xdr:from>
    <xdr:to>
      <xdr:col>0</xdr:col>
      <xdr:colOff>871538</xdr:colOff>
      <xdr:row>1073</xdr:row>
      <xdr:rowOff>760942</xdr:rowOff>
    </xdr:to>
    <xdr:pic>
      <xdr:nvPicPr>
        <xdr:cNvPr id="2126" name="Obraz 2125">
          <a:extLst>
            <a:ext uri="{FF2B5EF4-FFF2-40B4-BE49-F238E27FC236}">
              <a16:creationId xmlns:a16="http://schemas.microsoft.com/office/drawing/2014/main" id="{4709576D-3FFF-85AA-E097-84103E8C32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171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1073</xdr:row>
      <xdr:rowOff>760942</xdr:rowOff>
    </xdr:from>
    <xdr:to>
      <xdr:col>0</xdr:col>
      <xdr:colOff>871538</xdr:colOff>
      <xdr:row>1074</xdr:row>
      <xdr:rowOff>760942</xdr:rowOff>
    </xdr:to>
    <xdr:pic>
      <xdr:nvPicPr>
        <xdr:cNvPr id="2128" name="Obraz 2127">
          <a:extLst>
            <a:ext uri="{FF2B5EF4-FFF2-40B4-BE49-F238E27FC236}">
              <a16:creationId xmlns:a16="http://schemas.microsoft.com/office/drawing/2014/main" id="{8DD7F061-3D4F-8641-A9AC-3A54ED383A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179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1074</xdr:row>
      <xdr:rowOff>760942</xdr:rowOff>
    </xdr:from>
    <xdr:to>
      <xdr:col>0</xdr:col>
      <xdr:colOff>871538</xdr:colOff>
      <xdr:row>1075</xdr:row>
      <xdr:rowOff>760942</xdr:rowOff>
    </xdr:to>
    <xdr:pic>
      <xdr:nvPicPr>
        <xdr:cNvPr id="2130" name="Obraz 2129">
          <a:extLst>
            <a:ext uri="{FF2B5EF4-FFF2-40B4-BE49-F238E27FC236}">
              <a16:creationId xmlns:a16="http://schemas.microsoft.com/office/drawing/2014/main" id="{D78E18E8-E5B0-0AEE-D2EE-02C7C403F0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186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1075</xdr:row>
      <xdr:rowOff>760942</xdr:rowOff>
    </xdr:from>
    <xdr:to>
      <xdr:col>0</xdr:col>
      <xdr:colOff>871538</xdr:colOff>
      <xdr:row>1076</xdr:row>
      <xdr:rowOff>760942</xdr:rowOff>
    </xdr:to>
    <xdr:pic>
      <xdr:nvPicPr>
        <xdr:cNvPr id="2132" name="Obraz 2131">
          <a:extLst>
            <a:ext uri="{FF2B5EF4-FFF2-40B4-BE49-F238E27FC236}">
              <a16:creationId xmlns:a16="http://schemas.microsoft.com/office/drawing/2014/main" id="{5629E3AE-F25D-AA4F-E8F8-AD0BDE4F1E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194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1076</xdr:row>
      <xdr:rowOff>760942</xdr:rowOff>
    </xdr:from>
    <xdr:to>
      <xdr:col>0</xdr:col>
      <xdr:colOff>871538</xdr:colOff>
      <xdr:row>1077</xdr:row>
      <xdr:rowOff>760942</xdr:rowOff>
    </xdr:to>
    <xdr:pic>
      <xdr:nvPicPr>
        <xdr:cNvPr id="2134" name="Obraz 2133">
          <a:extLst>
            <a:ext uri="{FF2B5EF4-FFF2-40B4-BE49-F238E27FC236}">
              <a16:creationId xmlns:a16="http://schemas.microsoft.com/office/drawing/2014/main" id="{41333A7D-EAE8-A546-3440-398EFADD3A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02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1077</xdr:row>
      <xdr:rowOff>760942</xdr:rowOff>
    </xdr:from>
    <xdr:to>
      <xdr:col>0</xdr:col>
      <xdr:colOff>871538</xdr:colOff>
      <xdr:row>1078</xdr:row>
      <xdr:rowOff>760942</xdr:rowOff>
    </xdr:to>
    <xdr:pic>
      <xdr:nvPicPr>
        <xdr:cNvPr id="2136" name="Obraz 2135">
          <a:extLst>
            <a:ext uri="{FF2B5EF4-FFF2-40B4-BE49-F238E27FC236}">
              <a16:creationId xmlns:a16="http://schemas.microsoft.com/office/drawing/2014/main" id="{705CBD6B-C80A-4692-104F-907EEADFC0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09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1078</xdr:row>
      <xdr:rowOff>760942</xdr:rowOff>
    </xdr:from>
    <xdr:to>
      <xdr:col>0</xdr:col>
      <xdr:colOff>871538</xdr:colOff>
      <xdr:row>1079</xdr:row>
      <xdr:rowOff>760942</xdr:rowOff>
    </xdr:to>
    <xdr:pic>
      <xdr:nvPicPr>
        <xdr:cNvPr id="2138" name="Obraz 2137">
          <a:extLst>
            <a:ext uri="{FF2B5EF4-FFF2-40B4-BE49-F238E27FC236}">
              <a16:creationId xmlns:a16="http://schemas.microsoft.com/office/drawing/2014/main" id="{0FA15396-D7B5-8E04-CDC8-1F95086604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17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1079</xdr:row>
      <xdr:rowOff>760942</xdr:rowOff>
    </xdr:from>
    <xdr:to>
      <xdr:col>0</xdr:col>
      <xdr:colOff>871538</xdr:colOff>
      <xdr:row>1080</xdr:row>
      <xdr:rowOff>760942</xdr:rowOff>
    </xdr:to>
    <xdr:pic>
      <xdr:nvPicPr>
        <xdr:cNvPr id="2140" name="Obraz 2139">
          <a:extLst>
            <a:ext uri="{FF2B5EF4-FFF2-40B4-BE49-F238E27FC236}">
              <a16:creationId xmlns:a16="http://schemas.microsoft.com/office/drawing/2014/main" id="{57864026-6910-78CA-6C93-647E6A6E6E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24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1080</xdr:row>
      <xdr:rowOff>760942</xdr:rowOff>
    </xdr:from>
    <xdr:to>
      <xdr:col>0</xdr:col>
      <xdr:colOff>871538</xdr:colOff>
      <xdr:row>1081</xdr:row>
      <xdr:rowOff>760942</xdr:rowOff>
    </xdr:to>
    <xdr:pic>
      <xdr:nvPicPr>
        <xdr:cNvPr id="2142" name="Obraz 2141">
          <a:extLst>
            <a:ext uri="{FF2B5EF4-FFF2-40B4-BE49-F238E27FC236}">
              <a16:creationId xmlns:a16="http://schemas.microsoft.com/office/drawing/2014/main" id="{400F6318-B57F-2E23-59BD-D4B75368D1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32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1081</xdr:row>
      <xdr:rowOff>760942</xdr:rowOff>
    </xdr:from>
    <xdr:to>
      <xdr:col>0</xdr:col>
      <xdr:colOff>871538</xdr:colOff>
      <xdr:row>1082</xdr:row>
      <xdr:rowOff>760942</xdr:rowOff>
    </xdr:to>
    <xdr:pic>
      <xdr:nvPicPr>
        <xdr:cNvPr id="2144" name="Obraz 2143">
          <a:extLst>
            <a:ext uri="{FF2B5EF4-FFF2-40B4-BE49-F238E27FC236}">
              <a16:creationId xmlns:a16="http://schemas.microsoft.com/office/drawing/2014/main" id="{BA0F92B4-0050-F4E2-EB2E-97A7BB9336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40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1082</xdr:row>
      <xdr:rowOff>760942</xdr:rowOff>
    </xdr:from>
    <xdr:to>
      <xdr:col>0</xdr:col>
      <xdr:colOff>871538</xdr:colOff>
      <xdr:row>1083</xdr:row>
      <xdr:rowOff>760942</xdr:rowOff>
    </xdr:to>
    <xdr:pic>
      <xdr:nvPicPr>
        <xdr:cNvPr id="2146" name="Obraz 2145">
          <a:extLst>
            <a:ext uri="{FF2B5EF4-FFF2-40B4-BE49-F238E27FC236}">
              <a16:creationId xmlns:a16="http://schemas.microsoft.com/office/drawing/2014/main" id="{C622A5DE-AF37-9B30-BDC8-ACC8ABFC19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47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1083</xdr:row>
      <xdr:rowOff>760942</xdr:rowOff>
    </xdr:from>
    <xdr:to>
      <xdr:col>0</xdr:col>
      <xdr:colOff>871538</xdr:colOff>
      <xdr:row>1084</xdr:row>
      <xdr:rowOff>760942</xdr:rowOff>
    </xdr:to>
    <xdr:pic>
      <xdr:nvPicPr>
        <xdr:cNvPr id="2148" name="Obraz 2147">
          <a:extLst>
            <a:ext uri="{FF2B5EF4-FFF2-40B4-BE49-F238E27FC236}">
              <a16:creationId xmlns:a16="http://schemas.microsoft.com/office/drawing/2014/main" id="{6A4EC73E-9798-78F4-3106-CDF84EC149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55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1084</xdr:row>
      <xdr:rowOff>760942</xdr:rowOff>
    </xdr:from>
    <xdr:to>
      <xdr:col>0</xdr:col>
      <xdr:colOff>871538</xdr:colOff>
      <xdr:row>1085</xdr:row>
      <xdr:rowOff>760942</xdr:rowOff>
    </xdr:to>
    <xdr:pic>
      <xdr:nvPicPr>
        <xdr:cNvPr id="2150" name="Obraz 2149">
          <a:extLst>
            <a:ext uri="{FF2B5EF4-FFF2-40B4-BE49-F238E27FC236}">
              <a16:creationId xmlns:a16="http://schemas.microsoft.com/office/drawing/2014/main" id="{3DA8F283-9955-92C4-4769-36D1955C13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63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1085</xdr:row>
      <xdr:rowOff>760942</xdr:rowOff>
    </xdr:from>
    <xdr:to>
      <xdr:col>0</xdr:col>
      <xdr:colOff>871538</xdr:colOff>
      <xdr:row>1086</xdr:row>
      <xdr:rowOff>760942</xdr:rowOff>
    </xdr:to>
    <xdr:pic>
      <xdr:nvPicPr>
        <xdr:cNvPr id="2152" name="Obraz 2151">
          <a:extLst>
            <a:ext uri="{FF2B5EF4-FFF2-40B4-BE49-F238E27FC236}">
              <a16:creationId xmlns:a16="http://schemas.microsoft.com/office/drawing/2014/main" id="{D467BA89-7FE3-A325-0C93-44A8EADC53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70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1086</xdr:row>
      <xdr:rowOff>760942</xdr:rowOff>
    </xdr:from>
    <xdr:to>
      <xdr:col>0</xdr:col>
      <xdr:colOff>871538</xdr:colOff>
      <xdr:row>1087</xdr:row>
      <xdr:rowOff>760942</xdr:rowOff>
    </xdr:to>
    <xdr:pic>
      <xdr:nvPicPr>
        <xdr:cNvPr id="2154" name="Obraz 2153">
          <a:extLst>
            <a:ext uri="{FF2B5EF4-FFF2-40B4-BE49-F238E27FC236}">
              <a16:creationId xmlns:a16="http://schemas.microsoft.com/office/drawing/2014/main" id="{05DA15DB-6942-5AAD-80DF-77DDF62F14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78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1087</xdr:row>
      <xdr:rowOff>760942</xdr:rowOff>
    </xdr:from>
    <xdr:to>
      <xdr:col>0</xdr:col>
      <xdr:colOff>871538</xdr:colOff>
      <xdr:row>1088</xdr:row>
      <xdr:rowOff>760942</xdr:rowOff>
    </xdr:to>
    <xdr:pic>
      <xdr:nvPicPr>
        <xdr:cNvPr id="2156" name="Obraz 2155">
          <a:extLst>
            <a:ext uri="{FF2B5EF4-FFF2-40B4-BE49-F238E27FC236}">
              <a16:creationId xmlns:a16="http://schemas.microsoft.com/office/drawing/2014/main" id="{0891446E-5CF9-3A1E-1AC4-8307310332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85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1088</xdr:row>
      <xdr:rowOff>760942</xdr:rowOff>
    </xdr:from>
    <xdr:to>
      <xdr:col>0</xdr:col>
      <xdr:colOff>871538</xdr:colOff>
      <xdr:row>1089</xdr:row>
      <xdr:rowOff>760942</xdr:rowOff>
    </xdr:to>
    <xdr:pic>
      <xdr:nvPicPr>
        <xdr:cNvPr id="2158" name="Obraz 2157">
          <a:extLst>
            <a:ext uri="{FF2B5EF4-FFF2-40B4-BE49-F238E27FC236}">
              <a16:creationId xmlns:a16="http://schemas.microsoft.com/office/drawing/2014/main" id="{43993FAF-C564-A052-A7B1-FC907E94DE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93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1089</xdr:row>
      <xdr:rowOff>760942</xdr:rowOff>
    </xdr:from>
    <xdr:to>
      <xdr:col>0</xdr:col>
      <xdr:colOff>871538</xdr:colOff>
      <xdr:row>1090</xdr:row>
      <xdr:rowOff>760942</xdr:rowOff>
    </xdr:to>
    <xdr:pic>
      <xdr:nvPicPr>
        <xdr:cNvPr id="2160" name="Obraz 2159">
          <a:extLst>
            <a:ext uri="{FF2B5EF4-FFF2-40B4-BE49-F238E27FC236}">
              <a16:creationId xmlns:a16="http://schemas.microsoft.com/office/drawing/2014/main" id="{0F18E0C2-1D93-2232-F759-2AE8560AA2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301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1090</xdr:row>
      <xdr:rowOff>760942</xdr:rowOff>
    </xdr:from>
    <xdr:to>
      <xdr:col>0</xdr:col>
      <xdr:colOff>871538</xdr:colOff>
      <xdr:row>1091</xdr:row>
      <xdr:rowOff>760942</xdr:rowOff>
    </xdr:to>
    <xdr:pic>
      <xdr:nvPicPr>
        <xdr:cNvPr id="2162" name="Obraz 2161">
          <a:extLst>
            <a:ext uri="{FF2B5EF4-FFF2-40B4-BE49-F238E27FC236}">
              <a16:creationId xmlns:a16="http://schemas.microsoft.com/office/drawing/2014/main" id="{D65C565A-9914-212E-095F-41CBAB6D0D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308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1091</xdr:row>
      <xdr:rowOff>760942</xdr:rowOff>
    </xdr:from>
    <xdr:to>
      <xdr:col>0</xdr:col>
      <xdr:colOff>871538</xdr:colOff>
      <xdr:row>1092</xdr:row>
      <xdr:rowOff>760942</xdr:rowOff>
    </xdr:to>
    <xdr:pic>
      <xdr:nvPicPr>
        <xdr:cNvPr id="2164" name="Obraz 2163">
          <a:extLst>
            <a:ext uri="{FF2B5EF4-FFF2-40B4-BE49-F238E27FC236}">
              <a16:creationId xmlns:a16="http://schemas.microsoft.com/office/drawing/2014/main" id="{71847193-AD88-9C5C-3899-41E98FB56E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316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1092</xdr:row>
      <xdr:rowOff>760942</xdr:rowOff>
    </xdr:from>
    <xdr:to>
      <xdr:col>0</xdr:col>
      <xdr:colOff>871538</xdr:colOff>
      <xdr:row>1093</xdr:row>
      <xdr:rowOff>760942</xdr:rowOff>
    </xdr:to>
    <xdr:pic>
      <xdr:nvPicPr>
        <xdr:cNvPr id="2166" name="Obraz 2165">
          <a:extLst>
            <a:ext uri="{FF2B5EF4-FFF2-40B4-BE49-F238E27FC236}">
              <a16:creationId xmlns:a16="http://schemas.microsoft.com/office/drawing/2014/main" id="{AEA765F1-2121-79D1-FB5B-62992F8E39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323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1093</xdr:row>
      <xdr:rowOff>760942</xdr:rowOff>
    </xdr:from>
    <xdr:to>
      <xdr:col>0</xdr:col>
      <xdr:colOff>871538</xdr:colOff>
      <xdr:row>1094</xdr:row>
      <xdr:rowOff>760942</xdr:rowOff>
    </xdr:to>
    <xdr:pic>
      <xdr:nvPicPr>
        <xdr:cNvPr id="2168" name="Obraz 2167">
          <a:extLst>
            <a:ext uri="{FF2B5EF4-FFF2-40B4-BE49-F238E27FC236}">
              <a16:creationId xmlns:a16="http://schemas.microsoft.com/office/drawing/2014/main" id="{D5DBEA26-5E03-6DCC-6AF6-629F907101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331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1094</xdr:row>
      <xdr:rowOff>760942</xdr:rowOff>
    </xdr:from>
    <xdr:to>
      <xdr:col>0</xdr:col>
      <xdr:colOff>871538</xdr:colOff>
      <xdr:row>1095</xdr:row>
      <xdr:rowOff>760942</xdr:rowOff>
    </xdr:to>
    <xdr:pic>
      <xdr:nvPicPr>
        <xdr:cNvPr id="2170" name="Obraz 2169">
          <a:extLst>
            <a:ext uri="{FF2B5EF4-FFF2-40B4-BE49-F238E27FC236}">
              <a16:creationId xmlns:a16="http://schemas.microsoft.com/office/drawing/2014/main" id="{B071DD8D-2263-7201-52B5-8C49BE80FC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339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1095</xdr:row>
      <xdr:rowOff>760942</xdr:rowOff>
    </xdr:from>
    <xdr:to>
      <xdr:col>0</xdr:col>
      <xdr:colOff>871538</xdr:colOff>
      <xdr:row>1096</xdr:row>
      <xdr:rowOff>760942</xdr:rowOff>
    </xdr:to>
    <xdr:pic>
      <xdr:nvPicPr>
        <xdr:cNvPr id="2172" name="Obraz 2171">
          <a:extLst>
            <a:ext uri="{FF2B5EF4-FFF2-40B4-BE49-F238E27FC236}">
              <a16:creationId xmlns:a16="http://schemas.microsoft.com/office/drawing/2014/main" id="{35FA3845-9522-CDFC-D429-2D1D43CDDF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346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1096</xdr:row>
      <xdr:rowOff>760942</xdr:rowOff>
    </xdr:from>
    <xdr:to>
      <xdr:col>0</xdr:col>
      <xdr:colOff>871538</xdr:colOff>
      <xdr:row>1097</xdr:row>
      <xdr:rowOff>760942</xdr:rowOff>
    </xdr:to>
    <xdr:pic>
      <xdr:nvPicPr>
        <xdr:cNvPr id="2174" name="Obraz 2173">
          <a:extLst>
            <a:ext uri="{FF2B5EF4-FFF2-40B4-BE49-F238E27FC236}">
              <a16:creationId xmlns:a16="http://schemas.microsoft.com/office/drawing/2014/main" id="{7585B603-5CF9-DA85-D6E2-4AFF72F959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354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1097</xdr:row>
      <xdr:rowOff>760942</xdr:rowOff>
    </xdr:from>
    <xdr:to>
      <xdr:col>0</xdr:col>
      <xdr:colOff>871538</xdr:colOff>
      <xdr:row>1098</xdr:row>
      <xdr:rowOff>760942</xdr:rowOff>
    </xdr:to>
    <xdr:pic>
      <xdr:nvPicPr>
        <xdr:cNvPr id="2176" name="Obraz 2175">
          <a:extLst>
            <a:ext uri="{FF2B5EF4-FFF2-40B4-BE49-F238E27FC236}">
              <a16:creationId xmlns:a16="http://schemas.microsoft.com/office/drawing/2014/main" id="{BB97F1F0-C316-BDE4-5D36-B5A535BE92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362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1098</xdr:row>
      <xdr:rowOff>760942</xdr:rowOff>
    </xdr:from>
    <xdr:to>
      <xdr:col>0</xdr:col>
      <xdr:colOff>871538</xdr:colOff>
      <xdr:row>1099</xdr:row>
      <xdr:rowOff>760942</xdr:rowOff>
    </xdr:to>
    <xdr:pic>
      <xdr:nvPicPr>
        <xdr:cNvPr id="2178" name="Obraz 2177">
          <a:extLst>
            <a:ext uri="{FF2B5EF4-FFF2-40B4-BE49-F238E27FC236}">
              <a16:creationId xmlns:a16="http://schemas.microsoft.com/office/drawing/2014/main" id="{D680F09F-D7FE-C974-5280-6CA71C9BA6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369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1099</xdr:row>
      <xdr:rowOff>760942</xdr:rowOff>
    </xdr:from>
    <xdr:to>
      <xdr:col>0</xdr:col>
      <xdr:colOff>871538</xdr:colOff>
      <xdr:row>1100</xdr:row>
      <xdr:rowOff>760942</xdr:rowOff>
    </xdr:to>
    <xdr:pic>
      <xdr:nvPicPr>
        <xdr:cNvPr id="2180" name="Obraz 2179">
          <a:extLst>
            <a:ext uri="{FF2B5EF4-FFF2-40B4-BE49-F238E27FC236}">
              <a16:creationId xmlns:a16="http://schemas.microsoft.com/office/drawing/2014/main" id="{7D898765-91BD-E7FF-9659-0E3305762D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377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1100</xdr:row>
      <xdr:rowOff>760942</xdr:rowOff>
    </xdr:from>
    <xdr:to>
      <xdr:col>0</xdr:col>
      <xdr:colOff>871538</xdr:colOff>
      <xdr:row>1101</xdr:row>
      <xdr:rowOff>760942</xdr:rowOff>
    </xdr:to>
    <xdr:pic>
      <xdr:nvPicPr>
        <xdr:cNvPr id="2182" name="Obraz 2181">
          <a:extLst>
            <a:ext uri="{FF2B5EF4-FFF2-40B4-BE49-F238E27FC236}">
              <a16:creationId xmlns:a16="http://schemas.microsoft.com/office/drawing/2014/main" id="{C7D70715-36E4-DBB9-8307-79FE7A723E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384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1101</xdr:row>
      <xdr:rowOff>760942</xdr:rowOff>
    </xdr:from>
    <xdr:to>
      <xdr:col>0</xdr:col>
      <xdr:colOff>871538</xdr:colOff>
      <xdr:row>1102</xdr:row>
      <xdr:rowOff>760942</xdr:rowOff>
    </xdr:to>
    <xdr:pic>
      <xdr:nvPicPr>
        <xdr:cNvPr id="2184" name="Obraz 2183">
          <a:extLst>
            <a:ext uri="{FF2B5EF4-FFF2-40B4-BE49-F238E27FC236}">
              <a16:creationId xmlns:a16="http://schemas.microsoft.com/office/drawing/2014/main" id="{34C0689A-66EA-9BCA-CA1E-5073AFADFF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392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1102</xdr:row>
      <xdr:rowOff>760942</xdr:rowOff>
    </xdr:from>
    <xdr:to>
      <xdr:col>0</xdr:col>
      <xdr:colOff>871538</xdr:colOff>
      <xdr:row>1103</xdr:row>
      <xdr:rowOff>760942</xdr:rowOff>
    </xdr:to>
    <xdr:pic>
      <xdr:nvPicPr>
        <xdr:cNvPr id="2186" name="Obraz 2185">
          <a:extLst>
            <a:ext uri="{FF2B5EF4-FFF2-40B4-BE49-F238E27FC236}">
              <a16:creationId xmlns:a16="http://schemas.microsoft.com/office/drawing/2014/main" id="{34ECDE79-18B8-DC5B-8CD4-3F5FCE4ACC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400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1103</xdr:row>
      <xdr:rowOff>760942</xdr:rowOff>
    </xdr:from>
    <xdr:to>
      <xdr:col>0</xdr:col>
      <xdr:colOff>871538</xdr:colOff>
      <xdr:row>1104</xdr:row>
      <xdr:rowOff>760942</xdr:rowOff>
    </xdr:to>
    <xdr:pic>
      <xdr:nvPicPr>
        <xdr:cNvPr id="2188" name="Obraz 2187">
          <a:extLst>
            <a:ext uri="{FF2B5EF4-FFF2-40B4-BE49-F238E27FC236}">
              <a16:creationId xmlns:a16="http://schemas.microsoft.com/office/drawing/2014/main" id="{64066D69-D7DF-963E-8CBC-C179F54233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407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1104</xdr:row>
      <xdr:rowOff>760942</xdr:rowOff>
    </xdr:from>
    <xdr:to>
      <xdr:col>0</xdr:col>
      <xdr:colOff>871538</xdr:colOff>
      <xdr:row>1105</xdr:row>
      <xdr:rowOff>760942</xdr:rowOff>
    </xdr:to>
    <xdr:pic>
      <xdr:nvPicPr>
        <xdr:cNvPr id="2190" name="Obraz 2189">
          <a:extLst>
            <a:ext uri="{FF2B5EF4-FFF2-40B4-BE49-F238E27FC236}">
              <a16:creationId xmlns:a16="http://schemas.microsoft.com/office/drawing/2014/main" id="{D88AEB11-93FC-FEEA-1027-68CEAAD093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415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1105</xdr:row>
      <xdr:rowOff>760942</xdr:rowOff>
    </xdr:from>
    <xdr:to>
      <xdr:col>0</xdr:col>
      <xdr:colOff>871538</xdr:colOff>
      <xdr:row>1106</xdr:row>
      <xdr:rowOff>760942</xdr:rowOff>
    </xdr:to>
    <xdr:pic>
      <xdr:nvPicPr>
        <xdr:cNvPr id="2192" name="Obraz 2191">
          <a:extLst>
            <a:ext uri="{FF2B5EF4-FFF2-40B4-BE49-F238E27FC236}">
              <a16:creationId xmlns:a16="http://schemas.microsoft.com/office/drawing/2014/main" id="{E1641317-93C9-A555-0713-C44FEB9E8E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423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1106</xdr:row>
      <xdr:rowOff>760942</xdr:rowOff>
    </xdr:from>
    <xdr:to>
      <xdr:col>0</xdr:col>
      <xdr:colOff>871538</xdr:colOff>
      <xdr:row>1107</xdr:row>
      <xdr:rowOff>760942</xdr:rowOff>
    </xdr:to>
    <xdr:pic>
      <xdr:nvPicPr>
        <xdr:cNvPr id="2194" name="Obraz 2193">
          <a:extLst>
            <a:ext uri="{FF2B5EF4-FFF2-40B4-BE49-F238E27FC236}">
              <a16:creationId xmlns:a16="http://schemas.microsoft.com/office/drawing/2014/main" id="{D650A6E1-50F3-017E-0395-B194FB6CE8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430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1107</xdr:row>
      <xdr:rowOff>760942</xdr:rowOff>
    </xdr:from>
    <xdr:to>
      <xdr:col>0</xdr:col>
      <xdr:colOff>871538</xdr:colOff>
      <xdr:row>1108</xdr:row>
      <xdr:rowOff>760942</xdr:rowOff>
    </xdr:to>
    <xdr:pic>
      <xdr:nvPicPr>
        <xdr:cNvPr id="2196" name="Obraz 2195">
          <a:extLst>
            <a:ext uri="{FF2B5EF4-FFF2-40B4-BE49-F238E27FC236}">
              <a16:creationId xmlns:a16="http://schemas.microsoft.com/office/drawing/2014/main" id="{4F600543-EDD8-9A40-933C-105BB48717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438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1108</xdr:row>
      <xdr:rowOff>760942</xdr:rowOff>
    </xdr:from>
    <xdr:to>
      <xdr:col>0</xdr:col>
      <xdr:colOff>871538</xdr:colOff>
      <xdr:row>1109</xdr:row>
      <xdr:rowOff>760942</xdr:rowOff>
    </xdr:to>
    <xdr:pic>
      <xdr:nvPicPr>
        <xdr:cNvPr id="2198" name="Obraz 2197">
          <a:extLst>
            <a:ext uri="{FF2B5EF4-FFF2-40B4-BE49-F238E27FC236}">
              <a16:creationId xmlns:a16="http://schemas.microsoft.com/office/drawing/2014/main" id="{06F3DEAD-84F8-7FEA-9BDA-644664DD9E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445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1109</xdr:row>
      <xdr:rowOff>760942</xdr:rowOff>
    </xdr:from>
    <xdr:to>
      <xdr:col>0</xdr:col>
      <xdr:colOff>871538</xdr:colOff>
      <xdr:row>1110</xdr:row>
      <xdr:rowOff>760942</xdr:rowOff>
    </xdr:to>
    <xdr:pic>
      <xdr:nvPicPr>
        <xdr:cNvPr id="2200" name="Obraz 2199">
          <a:extLst>
            <a:ext uri="{FF2B5EF4-FFF2-40B4-BE49-F238E27FC236}">
              <a16:creationId xmlns:a16="http://schemas.microsoft.com/office/drawing/2014/main" id="{BC4B42A4-A1B5-F434-C2CE-FA7DAD3D3E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453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1110</xdr:row>
      <xdr:rowOff>760942</xdr:rowOff>
    </xdr:from>
    <xdr:to>
      <xdr:col>0</xdr:col>
      <xdr:colOff>871538</xdr:colOff>
      <xdr:row>1111</xdr:row>
      <xdr:rowOff>760942</xdr:rowOff>
    </xdr:to>
    <xdr:pic>
      <xdr:nvPicPr>
        <xdr:cNvPr id="2202" name="Obraz 2201">
          <a:extLst>
            <a:ext uri="{FF2B5EF4-FFF2-40B4-BE49-F238E27FC236}">
              <a16:creationId xmlns:a16="http://schemas.microsoft.com/office/drawing/2014/main" id="{4B590AFB-519C-68E1-CC02-B13E0C1930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461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1111</xdr:row>
      <xdr:rowOff>760942</xdr:rowOff>
    </xdr:from>
    <xdr:to>
      <xdr:col>0</xdr:col>
      <xdr:colOff>871538</xdr:colOff>
      <xdr:row>1112</xdr:row>
      <xdr:rowOff>760942</xdr:rowOff>
    </xdr:to>
    <xdr:pic>
      <xdr:nvPicPr>
        <xdr:cNvPr id="2204" name="Obraz 2203">
          <a:extLst>
            <a:ext uri="{FF2B5EF4-FFF2-40B4-BE49-F238E27FC236}">
              <a16:creationId xmlns:a16="http://schemas.microsoft.com/office/drawing/2014/main" id="{F9949887-451F-2F2C-7C16-E96F701BB4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468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1113</xdr:row>
      <xdr:rowOff>760942</xdr:rowOff>
    </xdr:from>
    <xdr:to>
      <xdr:col>0</xdr:col>
      <xdr:colOff>871538</xdr:colOff>
      <xdr:row>1114</xdr:row>
      <xdr:rowOff>760942</xdr:rowOff>
    </xdr:to>
    <xdr:pic>
      <xdr:nvPicPr>
        <xdr:cNvPr id="2206" name="Obraz 2205">
          <a:extLst>
            <a:ext uri="{FF2B5EF4-FFF2-40B4-BE49-F238E27FC236}">
              <a16:creationId xmlns:a16="http://schemas.microsoft.com/office/drawing/2014/main" id="{C8EA9CEA-7CE3-C45B-A07B-EEE10ED84A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484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1114</xdr:row>
      <xdr:rowOff>760942</xdr:rowOff>
    </xdr:from>
    <xdr:to>
      <xdr:col>0</xdr:col>
      <xdr:colOff>871538</xdr:colOff>
      <xdr:row>1115</xdr:row>
      <xdr:rowOff>760942</xdr:rowOff>
    </xdr:to>
    <xdr:pic>
      <xdr:nvPicPr>
        <xdr:cNvPr id="2208" name="Obraz 2207">
          <a:extLst>
            <a:ext uri="{FF2B5EF4-FFF2-40B4-BE49-F238E27FC236}">
              <a16:creationId xmlns:a16="http://schemas.microsoft.com/office/drawing/2014/main" id="{C06766C5-4F8C-A5AE-40D3-2BF0102A55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491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1115</xdr:row>
      <xdr:rowOff>760942</xdr:rowOff>
    </xdr:from>
    <xdr:to>
      <xdr:col>0</xdr:col>
      <xdr:colOff>871538</xdr:colOff>
      <xdr:row>1116</xdr:row>
      <xdr:rowOff>760942</xdr:rowOff>
    </xdr:to>
    <xdr:pic>
      <xdr:nvPicPr>
        <xdr:cNvPr id="2210" name="Obraz 2209">
          <a:extLst>
            <a:ext uri="{FF2B5EF4-FFF2-40B4-BE49-F238E27FC236}">
              <a16:creationId xmlns:a16="http://schemas.microsoft.com/office/drawing/2014/main" id="{D1ACD1F0-EA85-348A-8090-7E8664AA21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499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1116</xdr:row>
      <xdr:rowOff>760942</xdr:rowOff>
    </xdr:from>
    <xdr:to>
      <xdr:col>0</xdr:col>
      <xdr:colOff>871538</xdr:colOff>
      <xdr:row>1117</xdr:row>
      <xdr:rowOff>760942</xdr:rowOff>
    </xdr:to>
    <xdr:pic>
      <xdr:nvPicPr>
        <xdr:cNvPr id="2212" name="Obraz 2211">
          <a:extLst>
            <a:ext uri="{FF2B5EF4-FFF2-40B4-BE49-F238E27FC236}">
              <a16:creationId xmlns:a16="http://schemas.microsoft.com/office/drawing/2014/main" id="{81E45D51-3CE8-EE11-BBB2-95A54C072F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506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1117</xdr:row>
      <xdr:rowOff>760942</xdr:rowOff>
    </xdr:from>
    <xdr:to>
      <xdr:col>0</xdr:col>
      <xdr:colOff>871538</xdr:colOff>
      <xdr:row>1118</xdr:row>
      <xdr:rowOff>760942</xdr:rowOff>
    </xdr:to>
    <xdr:pic>
      <xdr:nvPicPr>
        <xdr:cNvPr id="2214" name="Obraz 2213">
          <a:extLst>
            <a:ext uri="{FF2B5EF4-FFF2-40B4-BE49-F238E27FC236}">
              <a16:creationId xmlns:a16="http://schemas.microsoft.com/office/drawing/2014/main" id="{269A3CD0-8E38-3C71-E399-AAABB40222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514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1118</xdr:row>
      <xdr:rowOff>760942</xdr:rowOff>
    </xdr:from>
    <xdr:to>
      <xdr:col>0</xdr:col>
      <xdr:colOff>871538</xdr:colOff>
      <xdr:row>1119</xdr:row>
      <xdr:rowOff>760942</xdr:rowOff>
    </xdr:to>
    <xdr:pic>
      <xdr:nvPicPr>
        <xdr:cNvPr id="2216" name="Obraz 2215">
          <a:extLst>
            <a:ext uri="{FF2B5EF4-FFF2-40B4-BE49-F238E27FC236}">
              <a16:creationId xmlns:a16="http://schemas.microsoft.com/office/drawing/2014/main" id="{4CE598FA-A5A3-FE4B-B1CB-DBE8EFAA15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522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1119</xdr:row>
      <xdr:rowOff>760942</xdr:rowOff>
    </xdr:from>
    <xdr:to>
      <xdr:col>0</xdr:col>
      <xdr:colOff>871538</xdr:colOff>
      <xdr:row>1120</xdr:row>
      <xdr:rowOff>760942</xdr:rowOff>
    </xdr:to>
    <xdr:pic>
      <xdr:nvPicPr>
        <xdr:cNvPr id="2218" name="Obraz 2217">
          <a:extLst>
            <a:ext uri="{FF2B5EF4-FFF2-40B4-BE49-F238E27FC236}">
              <a16:creationId xmlns:a16="http://schemas.microsoft.com/office/drawing/2014/main" id="{045F1F92-1370-2A48-01D0-4A7937A321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529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1120</xdr:row>
      <xdr:rowOff>760942</xdr:rowOff>
    </xdr:from>
    <xdr:to>
      <xdr:col>0</xdr:col>
      <xdr:colOff>871538</xdr:colOff>
      <xdr:row>1121</xdr:row>
      <xdr:rowOff>760942</xdr:rowOff>
    </xdr:to>
    <xdr:pic>
      <xdr:nvPicPr>
        <xdr:cNvPr id="2220" name="Obraz 2219">
          <a:extLst>
            <a:ext uri="{FF2B5EF4-FFF2-40B4-BE49-F238E27FC236}">
              <a16:creationId xmlns:a16="http://schemas.microsoft.com/office/drawing/2014/main" id="{23BDBE53-3819-E32E-561A-9261AE0798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537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1122</xdr:row>
      <xdr:rowOff>760942</xdr:rowOff>
    </xdr:from>
    <xdr:to>
      <xdr:col>0</xdr:col>
      <xdr:colOff>871538</xdr:colOff>
      <xdr:row>1123</xdr:row>
      <xdr:rowOff>760942</xdr:rowOff>
    </xdr:to>
    <xdr:pic>
      <xdr:nvPicPr>
        <xdr:cNvPr id="2222" name="Obraz 2221">
          <a:extLst>
            <a:ext uri="{FF2B5EF4-FFF2-40B4-BE49-F238E27FC236}">
              <a16:creationId xmlns:a16="http://schemas.microsoft.com/office/drawing/2014/main" id="{CD6AE894-00AF-82B1-AC1A-2B1758740B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552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1123</xdr:row>
      <xdr:rowOff>760942</xdr:rowOff>
    </xdr:from>
    <xdr:to>
      <xdr:col>0</xdr:col>
      <xdr:colOff>871538</xdr:colOff>
      <xdr:row>1124</xdr:row>
      <xdr:rowOff>760942</xdr:rowOff>
    </xdr:to>
    <xdr:pic>
      <xdr:nvPicPr>
        <xdr:cNvPr id="2224" name="Obraz 2223">
          <a:extLst>
            <a:ext uri="{FF2B5EF4-FFF2-40B4-BE49-F238E27FC236}">
              <a16:creationId xmlns:a16="http://schemas.microsoft.com/office/drawing/2014/main" id="{13E8E4F9-ACA0-CE55-0F81-E363599DF0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560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1124</xdr:row>
      <xdr:rowOff>760942</xdr:rowOff>
    </xdr:from>
    <xdr:to>
      <xdr:col>0</xdr:col>
      <xdr:colOff>871538</xdr:colOff>
      <xdr:row>1125</xdr:row>
      <xdr:rowOff>760942</xdr:rowOff>
    </xdr:to>
    <xdr:pic>
      <xdr:nvPicPr>
        <xdr:cNvPr id="2226" name="Obraz 2225">
          <a:extLst>
            <a:ext uri="{FF2B5EF4-FFF2-40B4-BE49-F238E27FC236}">
              <a16:creationId xmlns:a16="http://schemas.microsoft.com/office/drawing/2014/main" id="{A3CF05DC-9082-66AA-05A6-2EC42B1454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567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1125</xdr:row>
      <xdr:rowOff>760942</xdr:rowOff>
    </xdr:from>
    <xdr:to>
      <xdr:col>0</xdr:col>
      <xdr:colOff>871538</xdr:colOff>
      <xdr:row>1126</xdr:row>
      <xdr:rowOff>760942</xdr:rowOff>
    </xdr:to>
    <xdr:pic>
      <xdr:nvPicPr>
        <xdr:cNvPr id="2228" name="Obraz 2227">
          <a:extLst>
            <a:ext uri="{FF2B5EF4-FFF2-40B4-BE49-F238E27FC236}">
              <a16:creationId xmlns:a16="http://schemas.microsoft.com/office/drawing/2014/main" id="{E5065DE5-ABB5-A237-D08A-C5E5C30CC9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575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1126</xdr:row>
      <xdr:rowOff>760942</xdr:rowOff>
    </xdr:from>
    <xdr:to>
      <xdr:col>0</xdr:col>
      <xdr:colOff>871538</xdr:colOff>
      <xdr:row>1127</xdr:row>
      <xdr:rowOff>760942</xdr:rowOff>
    </xdr:to>
    <xdr:pic>
      <xdr:nvPicPr>
        <xdr:cNvPr id="2230" name="Obraz 2229">
          <a:extLst>
            <a:ext uri="{FF2B5EF4-FFF2-40B4-BE49-F238E27FC236}">
              <a16:creationId xmlns:a16="http://schemas.microsoft.com/office/drawing/2014/main" id="{9E7C6BF7-CF1A-87D2-19EB-EB85BE898A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583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1127</xdr:row>
      <xdr:rowOff>760942</xdr:rowOff>
    </xdr:from>
    <xdr:to>
      <xdr:col>0</xdr:col>
      <xdr:colOff>871538</xdr:colOff>
      <xdr:row>1128</xdr:row>
      <xdr:rowOff>760942</xdr:rowOff>
    </xdr:to>
    <xdr:pic>
      <xdr:nvPicPr>
        <xdr:cNvPr id="2232" name="Obraz 2231">
          <a:extLst>
            <a:ext uri="{FF2B5EF4-FFF2-40B4-BE49-F238E27FC236}">
              <a16:creationId xmlns:a16="http://schemas.microsoft.com/office/drawing/2014/main" id="{1B8E51B3-3A1B-4D07-23C8-C8498105D0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590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1128</xdr:row>
      <xdr:rowOff>760942</xdr:rowOff>
    </xdr:from>
    <xdr:to>
      <xdr:col>0</xdr:col>
      <xdr:colOff>871538</xdr:colOff>
      <xdr:row>1129</xdr:row>
      <xdr:rowOff>760942</xdr:rowOff>
    </xdr:to>
    <xdr:pic>
      <xdr:nvPicPr>
        <xdr:cNvPr id="2234" name="Obraz 2233">
          <a:extLst>
            <a:ext uri="{FF2B5EF4-FFF2-40B4-BE49-F238E27FC236}">
              <a16:creationId xmlns:a16="http://schemas.microsoft.com/office/drawing/2014/main" id="{357268AD-3925-2D5A-E2E0-44A16E8F30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598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1129</xdr:row>
      <xdr:rowOff>760942</xdr:rowOff>
    </xdr:from>
    <xdr:to>
      <xdr:col>0</xdr:col>
      <xdr:colOff>871538</xdr:colOff>
      <xdr:row>1130</xdr:row>
      <xdr:rowOff>760942</xdr:rowOff>
    </xdr:to>
    <xdr:pic>
      <xdr:nvPicPr>
        <xdr:cNvPr id="2236" name="Obraz 2235">
          <a:extLst>
            <a:ext uri="{FF2B5EF4-FFF2-40B4-BE49-F238E27FC236}">
              <a16:creationId xmlns:a16="http://schemas.microsoft.com/office/drawing/2014/main" id="{05B3DB62-F17E-FCEC-8281-954FC5B9E3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605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1130</xdr:row>
      <xdr:rowOff>760942</xdr:rowOff>
    </xdr:from>
    <xdr:to>
      <xdr:col>0</xdr:col>
      <xdr:colOff>871538</xdr:colOff>
      <xdr:row>1131</xdr:row>
      <xdr:rowOff>760942</xdr:rowOff>
    </xdr:to>
    <xdr:pic>
      <xdr:nvPicPr>
        <xdr:cNvPr id="2238" name="Obraz 2237">
          <a:extLst>
            <a:ext uri="{FF2B5EF4-FFF2-40B4-BE49-F238E27FC236}">
              <a16:creationId xmlns:a16="http://schemas.microsoft.com/office/drawing/2014/main" id="{BFC8E226-4050-8424-BF85-9E74CECF37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613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1131</xdr:row>
      <xdr:rowOff>760942</xdr:rowOff>
    </xdr:from>
    <xdr:to>
      <xdr:col>0</xdr:col>
      <xdr:colOff>871538</xdr:colOff>
      <xdr:row>1132</xdr:row>
      <xdr:rowOff>760942</xdr:rowOff>
    </xdr:to>
    <xdr:pic>
      <xdr:nvPicPr>
        <xdr:cNvPr id="2240" name="Obraz 2239">
          <a:extLst>
            <a:ext uri="{FF2B5EF4-FFF2-40B4-BE49-F238E27FC236}">
              <a16:creationId xmlns:a16="http://schemas.microsoft.com/office/drawing/2014/main" id="{1586AFB1-3A02-E877-6050-A698FFB2E0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621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1132</xdr:row>
      <xdr:rowOff>760942</xdr:rowOff>
    </xdr:from>
    <xdr:to>
      <xdr:col>0</xdr:col>
      <xdr:colOff>871538</xdr:colOff>
      <xdr:row>1133</xdr:row>
      <xdr:rowOff>760942</xdr:rowOff>
    </xdr:to>
    <xdr:pic>
      <xdr:nvPicPr>
        <xdr:cNvPr id="2242" name="Obraz 2241">
          <a:extLst>
            <a:ext uri="{FF2B5EF4-FFF2-40B4-BE49-F238E27FC236}">
              <a16:creationId xmlns:a16="http://schemas.microsoft.com/office/drawing/2014/main" id="{A1C97140-7C10-6525-8FAA-B8652B6B68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628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1133</xdr:row>
      <xdr:rowOff>760942</xdr:rowOff>
    </xdr:from>
    <xdr:to>
      <xdr:col>0</xdr:col>
      <xdr:colOff>871538</xdr:colOff>
      <xdr:row>1134</xdr:row>
      <xdr:rowOff>760942</xdr:rowOff>
    </xdr:to>
    <xdr:pic>
      <xdr:nvPicPr>
        <xdr:cNvPr id="2244" name="Obraz 2243">
          <a:extLst>
            <a:ext uri="{FF2B5EF4-FFF2-40B4-BE49-F238E27FC236}">
              <a16:creationId xmlns:a16="http://schemas.microsoft.com/office/drawing/2014/main" id="{61D5DF88-40A9-182B-35EC-DD96C137C3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636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1134</xdr:row>
      <xdr:rowOff>760942</xdr:rowOff>
    </xdr:from>
    <xdr:to>
      <xdr:col>0</xdr:col>
      <xdr:colOff>871538</xdr:colOff>
      <xdr:row>1135</xdr:row>
      <xdr:rowOff>760942</xdr:rowOff>
    </xdr:to>
    <xdr:pic>
      <xdr:nvPicPr>
        <xdr:cNvPr id="2246" name="Obraz 2245">
          <a:extLst>
            <a:ext uri="{FF2B5EF4-FFF2-40B4-BE49-F238E27FC236}">
              <a16:creationId xmlns:a16="http://schemas.microsoft.com/office/drawing/2014/main" id="{5E433D0D-DF8C-848C-2377-1753DE591A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644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1135</xdr:row>
      <xdr:rowOff>760942</xdr:rowOff>
    </xdr:from>
    <xdr:to>
      <xdr:col>0</xdr:col>
      <xdr:colOff>871538</xdr:colOff>
      <xdr:row>1136</xdr:row>
      <xdr:rowOff>760942</xdr:rowOff>
    </xdr:to>
    <xdr:pic>
      <xdr:nvPicPr>
        <xdr:cNvPr id="2248" name="Obraz 2247">
          <a:extLst>
            <a:ext uri="{FF2B5EF4-FFF2-40B4-BE49-F238E27FC236}">
              <a16:creationId xmlns:a16="http://schemas.microsoft.com/office/drawing/2014/main" id="{27207D0D-DD94-5139-1DDA-3FDC5CF30D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651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1136</xdr:row>
      <xdr:rowOff>760942</xdr:rowOff>
    </xdr:from>
    <xdr:to>
      <xdr:col>0</xdr:col>
      <xdr:colOff>871538</xdr:colOff>
      <xdr:row>1137</xdr:row>
      <xdr:rowOff>760942</xdr:rowOff>
    </xdr:to>
    <xdr:pic>
      <xdr:nvPicPr>
        <xdr:cNvPr id="2250" name="Obraz 2249">
          <a:extLst>
            <a:ext uri="{FF2B5EF4-FFF2-40B4-BE49-F238E27FC236}">
              <a16:creationId xmlns:a16="http://schemas.microsoft.com/office/drawing/2014/main" id="{E5522FA8-B8A3-3B1D-32A5-1FCBDCC05D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659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1137</xdr:row>
      <xdr:rowOff>760942</xdr:rowOff>
    </xdr:from>
    <xdr:to>
      <xdr:col>0</xdr:col>
      <xdr:colOff>871538</xdr:colOff>
      <xdr:row>1138</xdr:row>
      <xdr:rowOff>760942</xdr:rowOff>
    </xdr:to>
    <xdr:pic>
      <xdr:nvPicPr>
        <xdr:cNvPr id="2252" name="Obraz 2251">
          <a:extLst>
            <a:ext uri="{FF2B5EF4-FFF2-40B4-BE49-F238E27FC236}">
              <a16:creationId xmlns:a16="http://schemas.microsoft.com/office/drawing/2014/main" id="{FD6085C1-199F-AC31-5456-B657774509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666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1139</xdr:row>
      <xdr:rowOff>760942</xdr:rowOff>
    </xdr:from>
    <xdr:to>
      <xdr:col>0</xdr:col>
      <xdr:colOff>871538</xdr:colOff>
      <xdr:row>1140</xdr:row>
      <xdr:rowOff>760942</xdr:rowOff>
    </xdr:to>
    <xdr:pic>
      <xdr:nvPicPr>
        <xdr:cNvPr id="2254" name="Obraz 2253">
          <a:extLst>
            <a:ext uri="{FF2B5EF4-FFF2-40B4-BE49-F238E27FC236}">
              <a16:creationId xmlns:a16="http://schemas.microsoft.com/office/drawing/2014/main" id="{2F00DDB5-660E-9E44-0A9D-17283AB776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682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1140</xdr:row>
      <xdr:rowOff>760942</xdr:rowOff>
    </xdr:from>
    <xdr:to>
      <xdr:col>0</xdr:col>
      <xdr:colOff>871538</xdr:colOff>
      <xdr:row>1141</xdr:row>
      <xdr:rowOff>760942</xdr:rowOff>
    </xdr:to>
    <xdr:pic>
      <xdr:nvPicPr>
        <xdr:cNvPr id="2256" name="Obraz 2255">
          <a:extLst>
            <a:ext uri="{FF2B5EF4-FFF2-40B4-BE49-F238E27FC236}">
              <a16:creationId xmlns:a16="http://schemas.microsoft.com/office/drawing/2014/main" id="{DAC9041B-2C81-B2B3-2478-B5CF867DB1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689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1141</xdr:row>
      <xdr:rowOff>760942</xdr:rowOff>
    </xdr:from>
    <xdr:to>
      <xdr:col>0</xdr:col>
      <xdr:colOff>871538</xdr:colOff>
      <xdr:row>1142</xdr:row>
      <xdr:rowOff>760942</xdr:rowOff>
    </xdr:to>
    <xdr:pic>
      <xdr:nvPicPr>
        <xdr:cNvPr id="2258" name="Obraz 2257">
          <a:extLst>
            <a:ext uri="{FF2B5EF4-FFF2-40B4-BE49-F238E27FC236}">
              <a16:creationId xmlns:a16="http://schemas.microsoft.com/office/drawing/2014/main" id="{7B55FD29-6FE2-9D69-6CAC-F59956B5BB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697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1142</xdr:row>
      <xdr:rowOff>760942</xdr:rowOff>
    </xdr:from>
    <xdr:to>
      <xdr:col>0</xdr:col>
      <xdr:colOff>871538</xdr:colOff>
      <xdr:row>1143</xdr:row>
      <xdr:rowOff>760942</xdr:rowOff>
    </xdr:to>
    <xdr:pic>
      <xdr:nvPicPr>
        <xdr:cNvPr id="2260" name="Obraz 2259">
          <a:extLst>
            <a:ext uri="{FF2B5EF4-FFF2-40B4-BE49-F238E27FC236}">
              <a16:creationId xmlns:a16="http://schemas.microsoft.com/office/drawing/2014/main" id="{F797C62E-BF99-384D-9479-A3CCA172F2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704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1143</xdr:row>
      <xdr:rowOff>760942</xdr:rowOff>
    </xdr:from>
    <xdr:to>
      <xdr:col>0</xdr:col>
      <xdr:colOff>871538</xdr:colOff>
      <xdr:row>1144</xdr:row>
      <xdr:rowOff>760942</xdr:rowOff>
    </xdr:to>
    <xdr:pic>
      <xdr:nvPicPr>
        <xdr:cNvPr id="2262" name="Obraz 2261">
          <a:extLst>
            <a:ext uri="{FF2B5EF4-FFF2-40B4-BE49-F238E27FC236}">
              <a16:creationId xmlns:a16="http://schemas.microsoft.com/office/drawing/2014/main" id="{6C9EC2BD-573D-F2D8-E357-29543545CC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712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1144</xdr:row>
      <xdr:rowOff>760942</xdr:rowOff>
    </xdr:from>
    <xdr:to>
      <xdr:col>0</xdr:col>
      <xdr:colOff>871538</xdr:colOff>
      <xdr:row>1145</xdr:row>
      <xdr:rowOff>760942</xdr:rowOff>
    </xdr:to>
    <xdr:pic>
      <xdr:nvPicPr>
        <xdr:cNvPr id="2264" name="Obraz 2263">
          <a:extLst>
            <a:ext uri="{FF2B5EF4-FFF2-40B4-BE49-F238E27FC236}">
              <a16:creationId xmlns:a16="http://schemas.microsoft.com/office/drawing/2014/main" id="{B7193B33-6C3F-179C-3886-131890A63D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720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1145</xdr:row>
      <xdr:rowOff>760942</xdr:rowOff>
    </xdr:from>
    <xdr:to>
      <xdr:col>0</xdr:col>
      <xdr:colOff>871538</xdr:colOff>
      <xdr:row>1146</xdr:row>
      <xdr:rowOff>760942</xdr:rowOff>
    </xdr:to>
    <xdr:pic>
      <xdr:nvPicPr>
        <xdr:cNvPr id="2266" name="Obraz 2265">
          <a:extLst>
            <a:ext uri="{FF2B5EF4-FFF2-40B4-BE49-F238E27FC236}">
              <a16:creationId xmlns:a16="http://schemas.microsoft.com/office/drawing/2014/main" id="{1953E536-40DD-A874-7792-49717CFD7C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727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1146</xdr:row>
      <xdr:rowOff>760942</xdr:rowOff>
    </xdr:from>
    <xdr:to>
      <xdr:col>0</xdr:col>
      <xdr:colOff>871538</xdr:colOff>
      <xdr:row>1147</xdr:row>
      <xdr:rowOff>760942</xdr:rowOff>
    </xdr:to>
    <xdr:pic>
      <xdr:nvPicPr>
        <xdr:cNvPr id="2268" name="Obraz 2267">
          <a:extLst>
            <a:ext uri="{FF2B5EF4-FFF2-40B4-BE49-F238E27FC236}">
              <a16:creationId xmlns:a16="http://schemas.microsoft.com/office/drawing/2014/main" id="{27287E15-672E-05EC-EA92-2538ECCA17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735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1147</xdr:row>
      <xdr:rowOff>760942</xdr:rowOff>
    </xdr:from>
    <xdr:to>
      <xdr:col>0</xdr:col>
      <xdr:colOff>871538</xdr:colOff>
      <xdr:row>1148</xdr:row>
      <xdr:rowOff>760942</xdr:rowOff>
    </xdr:to>
    <xdr:pic>
      <xdr:nvPicPr>
        <xdr:cNvPr id="2270" name="Obraz 2269">
          <a:extLst>
            <a:ext uri="{FF2B5EF4-FFF2-40B4-BE49-F238E27FC236}">
              <a16:creationId xmlns:a16="http://schemas.microsoft.com/office/drawing/2014/main" id="{14721ECD-13AF-6121-FFB2-B5D43372CB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743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1148</xdr:row>
      <xdr:rowOff>760942</xdr:rowOff>
    </xdr:from>
    <xdr:to>
      <xdr:col>0</xdr:col>
      <xdr:colOff>871538</xdr:colOff>
      <xdr:row>1149</xdr:row>
      <xdr:rowOff>760942</xdr:rowOff>
    </xdr:to>
    <xdr:pic>
      <xdr:nvPicPr>
        <xdr:cNvPr id="2272" name="Obraz 2271">
          <a:extLst>
            <a:ext uri="{FF2B5EF4-FFF2-40B4-BE49-F238E27FC236}">
              <a16:creationId xmlns:a16="http://schemas.microsoft.com/office/drawing/2014/main" id="{0D285309-4A8F-0914-2354-2BCF838310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750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1149</xdr:row>
      <xdr:rowOff>760942</xdr:rowOff>
    </xdr:from>
    <xdr:to>
      <xdr:col>0</xdr:col>
      <xdr:colOff>871538</xdr:colOff>
      <xdr:row>1150</xdr:row>
      <xdr:rowOff>760942</xdr:rowOff>
    </xdr:to>
    <xdr:pic>
      <xdr:nvPicPr>
        <xdr:cNvPr id="2274" name="Obraz 2273">
          <a:extLst>
            <a:ext uri="{FF2B5EF4-FFF2-40B4-BE49-F238E27FC236}">
              <a16:creationId xmlns:a16="http://schemas.microsoft.com/office/drawing/2014/main" id="{1E2AC956-01F5-5DA2-EF15-B64BE9E63E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758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1150</xdr:row>
      <xdr:rowOff>760942</xdr:rowOff>
    </xdr:from>
    <xdr:to>
      <xdr:col>0</xdr:col>
      <xdr:colOff>871538</xdr:colOff>
      <xdr:row>1151</xdr:row>
      <xdr:rowOff>760942</xdr:rowOff>
    </xdr:to>
    <xdr:pic>
      <xdr:nvPicPr>
        <xdr:cNvPr id="2276" name="Obraz 2275">
          <a:extLst>
            <a:ext uri="{FF2B5EF4-FFF2-40B4-BE49-F238E27FC236}">
              <a16:creationId xmlns:a16="http://schemas.microsoft.com/office/drawing/2014/main" id="{ABF91550-0C09-E41D-7927-46540457BA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765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1151</xdr:row>
      <xdr:rowOff>760942</xdr:rowOff>
    </xdr:from>
    <xdr:to>
      <xdr:col>0</xdr:col>
      <xdr:colOff>871538</xdr:colOff>
      <xdr:row>1152</xdr:row>
      <xdr:rowOff>760942</xdr:rowOff>
    </xdr:to>
    <xdr:pic>
      <xdr:nvPicPr>
        <xdr:cNvPr id="2278" name="Obraz 2277">
          <a:extLst>
            <a:ext uri="{FF2B5EF4-FFF2-40B4-BE49-F238E27FC236}">
              <a16:creationId xmlns:a16="http://schemas.microsoft.com/office/drawing/2014/main" id="{B04937F7-1928-2617-B806-D4DB3CC10E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773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1152</xdr:row>
      <xdr:rowOff>760942</xdr:rowOff>
    </xdr:from>
    <xdr:to>
      <xdr:col>0</xdr:col>
      <xdr:colOff>871538</xdr:colOff>
      <xdr:row>1153</xdr:row>
      <xdr:rowOff>760942</xdr:rowOff>
    </xdr:to>
    <xdr:pic>
      <xdr:nvPicPr>
        <xdr:cNvPr id="2280" name="Obraz 2279">
          <a:extLst>
            <a:ext uri="{FF2B5EF4-FFF2-40B4-BE49-F238E27FC236}">
              <a16:creationId xmlns:a16="http://schemas.microsoft.com/office/drawing/2014/main" id="{3D423DCE-2AE8-72E7-4D20-4A05EB9716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781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1153</xdr:row>
      <xdr:rowOff>760942</xdr:rowOff>
    </xdr:from>
    <xdr:to>
      <xdr:col>0</xdr:col>
      <xdr:colOff>871538</xdr:colOff>
      <xdr:row>1154</xdr:row>
      <xdr:rowOff>760942</xdr:rowOff>
    </xdr:to>
    <xdr:pic>
      <xdr:nvPicPr>
        <xdr:cNvPr id="2282" name="Obraz 2281">
          <a:extLst>
            <a:ext uri="{FF2B5EF4-FFF2-40B4-BE49-F238E27FC236}">
              <a16:creationId xmlns:a16="http://schemas.microsoft.com/office/drawing/2014/main" id="{ADC10681-7198-B540-8146-16A8CC7A70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7888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1154</xdr:row>
      <xdr:rowOff>760942</xdr:rowOff>
    </xdr:from>
    <xdr:to>
      <xdr:col>0</xdr:col>
      <xdr:colOff>871538</xdr:colOff>
      <xdr:row>1155</xdr:row>
      <xdr:rowOff>760942</xdr:rowOff>
    </xdr:to>
    <xdr:pic>
      <xdr:nvPicPr>
        <xdr:cNvPr id="2284" name="Obraz 2283">
          <a:extLst>
            <a:ext uri="{FF2B5EF4-FFF2-40B4-BE49-F238E27FC236}">
              <a16:creationId xmlns:a16="http://schemas.microsoft.com/office/drawing/2014/main" id="{CBE5740A-1151-D664-B712-F1ABE493EB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7964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1155</xdr:row>
      <xdr:rowOff>760942</xdr:rowOff>
    </xdr:from>
    <xdr:to>
      <xdr:col>0</xdr:col>
      <xdr:colOff>871538</xdr:colOff>
      <xdr:row>1156</xdr:row>
      <xdr:rowOff>760942</xdr:rowOff>
    </xdr:to>
    <xdr:pic>
      <xdr:nvPicPr>
        <xdr:cNvPr id="2286" name="Obraz 2285">
          <a:extLst>
            <a:ext uri="{FF2B5EF4-FFF2-40B4-BE49-F238E27FC236}">
              <a16:creationId xmlns:a16="http://schemas.microsoft.com/office/drawing/2014/main" id="{CBFF0488-E9E0-429E-16FA-9842C01444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8040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1156</xdr:row>
      <xdr:rowOff>760942</xdr:rowOff>
    </xdr:from>
    <xdr:to>
      <xdr:col>0</xdr:col>
      <xdr:colOff>871538</xdr:colOff>
      <xdr:row>1157</xdr:row>
      <xdr:rowOff>760942</xdr:rowOff>
    </xdr:to>
    <xdr:pic>
      <xdr:nvPicPr>
        <xdr:cNvPr id="2288" name="Obraz 2287">
          <a:extLst>
            <a:ext uri="{FF2B5EF4-FFF2-40B4-BE49-F238E27FC236}">
              <a16:creationId xmlns:a16="http://schemas.microsoft.com/office/drawing/2014/main" id="{3A4988A2-9D60-A087-66B5-0C8610AA27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8116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1157</xdr:row>
      <xdr:rowOff>760942</xdr:rowOff>
    </xdr:from>
    <xdr:to>
      <xdr:col>0</xdr:col>
      <xdr:colOff>871538</xdr:colOff>
      <xdr:row>1158</xdr:row>
      <xdr:rowOff>760942</xdr:rowOff>
    </xdr:to>
    <xdr:pic>
      <xdr:nvPicPr>
        <xdr:cNvPr id="2290" name="Obraz 2289">
          <a:extLst>
            <a:ext uri="{FF2B5EF4-FFF2-40B4-BE49-F238E27FC236}">
              <a16:creationId xmlns:a16="http://schemas.microsoft.com/office/drawing/2014/main" id="{E08A4273-399B-9AA7-8BD3-D636856082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8192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1158</xdr:row>
      <xdr:rowOff>760942</xdr:rowOff>
    </xdr:from>
    <xdr:to>
      <xdr:col>0</xdr:col>
      <xdr:colOff>871538</xdr:colOff>
      <xdr:row>1159</xdr:row>
      <xdr:rowOff>760942</xdr:rowOff>
    </xdr:to>
    <xdr:pic>
      <xdr:nvPicPr>
        <xdr:cNvPr id="2292" name="Obraz 2291">
          <a:extLst>
            <a:ext uri="{FF2B5EF4-FFF2-40B4-BE49-F238E27FC236}">
              <a16:creationId xmlns:a16="http://schemas.microsoft.com/office/drawing/2014/main" id="{DD27F3DC-4CA2-8949-3EB9-175A41BC6E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8269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1159</xdr:row>
      <xdr:rowOff>760942</xdr:rowOff>
    </xdr:from>
    <xdr:to>
      <xdr:col>0</xdr:col>
      <xdr:colOff>871538</xdr:colOff>
      <xdr:row>1160</xdr:row>
      <xdr:rowOff>760942</xdr:rowOff>
    </xdr:to>
    <xdr:pic>
      <xdr:nvPicPr>
        <xdr:cNvPr id="2294" name="Obraz 2293">
          <a:extLst>
            <a:ext uri="{FF2B5EF4-FFF2-40B4-BE49-F238E27FC236}">
              <a16:creationId xmlns:a16="http://schemas.microsoft.com/office/drawing/2014/main" id="{64ED49F8-7AEB-87DD-0B40-3D1B663A54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8345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1160</xdr:row>
      <xdr:rowOff>760942</xdr:rowOff>
    </xdr:from>
    <xdr:to>
      <xdr:col>0</xdr:col>
      <xdr:colOff>871538</xdr:colOff>
      <xdr:row>1161</xdr:row>
      <xdr:rowOff>760942</xdr:rowOff>
    </xdr:to>
    <xdr:pic>
      <xdr:nvPicPr>
        <xdr:cNvPr id="2296" name="Obraz 2295">
          <a:extLst>
            <a:ext uri="{FF2B5EF4-FFF2-40B4-BE49-F238E27FC236}">
              <a16:creationId xmlns:a16="http://schemas.microsoft.com/office/drawing/2014/main" id="{5F47936B-5A0E-A4C3-156C-63BF99E6E7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8421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1161</xdr:row>
      <xdr:rowOff>760942</xdr:rowOff>
    </xdr:from>
    <xdr:to>
      <xdr:col>0</xdr:col>
      <xdr:colOff>871538</xdr:colOff>
      <xdr:row>1162</xdr:row>
      <xdr:rowOff>760942</xdr:rowOff>
    </xdr:to>
    <xdr:pic>
      <xdr:nvPicPr>
        <xdr:cNvPr id="2298" name="Obraz 2297">
          <a:extLst>
            <a:ext uri="{FF2B5EF4-FFF2-40B4-BE49-F238E27FC236}">
              <a16:creationId xmlns:a16="http://schemas.microsoft.com/office/drawing/2014/main" id="{6391A940-DC72-AD5E-5554-FFB6251965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8497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1162</xdr:row>
      <xdr:rowOff>760942</xdr:rowOff>
    </xdr:from>
    <xdr:to>
      <xdr:col>0</xdr:col>
      <xdr:colOff>871538</xdr:colOff>
      <xdr:row>1163</xdr:row>
      <xdr:rowOff>760942</xdr:rowOff>
    </xdr:to>
    <xdr:pic>
      <xdr:nvPicPr>
        <xdr:cNvPr id="2300" name="Obraz 2299">
          <a:extLst>
            <a:ext uri="{FF2B5EF4-FFF2-40B4-BE49-F238E27FC236}">
              <a16:creationId xmlns:a16="http://schemas.microsoft.com/office/drawing/2014/main" id="{9AC11125-CCD1-DE54-AFE1-83BBFB5D00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8573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1163</xdr:row>
      <xdr:rowOff>760942</xdr:rowOff>
    </xdr:from>
    <xdr:to>
      <xdr:col>0</xdr:col>
      <xdr:colOff>871538</xdr:colOff>
      <xdr:row>1164</xdr:row>
      <xdr:rowOff>760942</xdr:rowOff>
    </xdr:to>
    <xdr:pic>
      <xdr:nvPicPr>
        <xdr:cNvPr id="2302" name="Obraz 2301">
          <a:extLst>
            <a:ext uri="{FF2B5EF4-FFF2-40B4-BE49-F238E27FC236}">
              <a16:creationId xmlns:a16="http://schemas.microsoft.com/office/drawing/2014/main" id="{B8196760-2063-BA95-7FB3-DFC469C949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8650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1164</xdr:row>
      <xdr:rowOff>760942</xdr:rowOff>
    </xdr:from>
    <xdr:to>
      <xdr:col>0</xdr:col>
      <xdr:colOff>871538</xdr:colOff>
      <xdr:row>1165</xdr:row>
      <xdr:rowOff>760942</xdr:rowOff>
    </xdr:to>
    <xdr:pic>
      <xdr:nvPicPr>
        <xdr:cNvPr id="2304" name="Obraz 2303">
          <a:extLst>
            <a:ext uri="{FF2B5EF4-FFF2-40B4-BE49-F238E27FC236}">
              <a16:creationId xmlns:a16="http://schemas.microsoft.com/office/drawing/2014/main" id="{D668C464-0AD2-5783-461B-306AECA31D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8726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1165</xdr:row>
      <xdr:rowOff>760942</xdr:rowOff>
    </xdr:from>
    <xdr:to>
      <xdr:col>0</xdr:col>
      <xdr:colOff>871538</xdr:colOff>
      <xdr:row>1166</xdr:row>
      <xdr:rowOff>760942</xdr:rowOff>
    </xdr:to>
    <xdr:pic>
      <xdr:nvPicPr>
        <xdr:cNvPr id="2306" name="Obraz 2305">
          <a:extLst>
            <a:ext uri="{FF2B5EF4-FFF2-40B4-BE49-F238E27FC236}">
              <a16:creationId xmlns:a16="http://schemas.microsoft.com/office/drawing/2014/main" id="{16B862A0-A1AE-C8F9-15A7-EAF836EF30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8802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1166</xdr:row>
      <xdr:rowOff>760942</xdr:rowOff>
    </xdr:from>
    <xdr:to>
      <xdr:col>0</xdr:col>
      <xdr:colOff>871538</xdr:colOff>
      <xdr:row>1167</xdr:row>
      <xdr:rowOff>760942</xdr:rowOff>
    </xdr:to>
    <xdr:pic>
      <xdr:nvPicPr>
        <xdr:cNvPr id="2308" name="Obraz 2307">
          <a:extLst>
            <a:ext uri="{FF2B5EF4-FFF2-40B4-BE49-F238E27FC236}">
              <a16:creationId xmlns:a16="http://schemas.microsoft.com/office/drawing/2014/main" id="{1FE8F3DA-F17C-3F73-2C73-6222B35B89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8878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1167</xdr:row>
      <xdr:rowOff>760942</xdr:rowOff>
    </xdr:from>
    <xdr:to>
      <xdr:col>0</xdr:col>
      <xdr:colOff>871538</xdr:colOff>
      <xdr:row>1168</xdr:row>
      <xdr:rowOff>760942</xdr:rowOff>
    </xdr:to>
    <xdr:pic>
      <xdr:nvPicPr>
        <xdr:cNvPr id="2310" name="Obraz 2309">
          <a:extLst>
            <a:ext uri="{FF2B5EF4-FFF2-40B4-BE49-F238E27FC236}">
              <a16:creationId xmlns:a16="http://schemas.microsoft.com/office/drawing/2014/main" id="{189E64C7-F4FC-70D6-F10D-A78F921AC4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8954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1168</xdr:row>
      <xdr:rowOff>760942</xdr:rowOff>
    </xdr:from>
    <xdr:to>
      <xdr:col>0</xdr:col>
      <xdr:colOff>871538</xdr:colOff>
      <xdr:row>1169</xdr:row>
      <xdr:rowOff>760942</xdr:rowOff>
    </xdr:to>
    <xdr:pic>
      <xdr:nvPicPr>
        <xdr:cNvPr id="2312" name="Obraz 2311">
          <a:extLst>
            <a:ext uri="{FF2B5EF4-FFF2-40B4-BE49-F238E27FC236}">
              <a16:creationId xmlns:a16="http://schemas.microsoft.com/office/drawing/2014/main" id="{82486A65-C666-B8C1-A4CB-99962358E0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9031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1169</xdr:row>
      <xdr:rowOff>760942</xdr:rowOff>
    </xdr:from>
    <xdr:to>
      <xdr:col>0</xdr:col>
      <xdr:colOff>871538</xdr:colOff>
      <xdr:row>1170</xdr:row>
      <xdr:rowOff>760942</xdr:rowOff>
    </xdr:to>
    <xdr:pic>
      <xdr:nvPicPr>
        <xdr:cNvPr id="2314" name="Obraz 2313">
          <a:extLst>
            <a:ext uri="{FF2B5EF4-FFF2-40B4-BE49-F238E27FC236}">
              <a16:creationId xmlns:a16="http://schemas.microsoft.com/office/drawing/2014/main" id="{C754FF5D-7149-82AA-5D78-93D0BF7E14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9107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1170</xdr:row>
      <xdr:rowOff>760942</xdr:rowOff>
    </xdr:from>
    <xdr:to>
      <xdr:col>0</xdr:col>
      <xdr:colOff>871538</xdr:colOff>
      <xdr:row>1171</xdr:row>
      <xdr:rowOff>760942</xdr:rowOff>
    </xdr:to>
    <xdr:pic>
      <xdr:nvPicPr>
        <xdr:cNvPr id="2316" name="Obraz 2315">
          <a:extLst>
            <a:ext uri="{FF2B5EF4-FFF2-40B4-BE49-F238E27FC236}">
              <a16:creationId xmlns:a16="http://schemas.microsoft.com/office/drawing/2014/main" id="{BEBE11FE-DB7B-8100-4822-EC84FBF555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9183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1171</xdr:row>
      <xdr:rowOff>760942</xdr:rowOff>
    </xdr:from>
    <xdr:to>
      <xdr:col>0</xdr:col>
      <xdr:colOff>871538</xdr:colOff>
      <xdr:row>1172</xdr:row>
      <xdr:rowOff>760942</xdr:rowOff>
    </xdr:to>
    <xdr:pic>
      <xdr:nvPicPr>
        <xdr:cNvPr id="2318" name="Obraz 2317">
          <a:extLst>
            <a:ext uri="{FF2B5EF4-FFF2-40B4-BE49-F238E27FC236}">
              <a16:creationId xmlns:a16="http://schemas.microsoft.com/office/drawing/2014/main" id="{4A3C193D-187F-3974-1DE9-04289159C7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9259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1172</xdr:row>
      <xdr:rowOff>760942</xdr:rowOff>
    </xdr:from>
    <xdr:to>
      <xdr:col>0</xdr:col>
      <xdr:colOff>871538</xdr:colOff>
      <xdr:row>1173</xdr:row>
      <xdr:rowOff>760942</xdr:rowOff>
    </xdr:to>
    <xdr:pic>
      <xdr:nvPicPr>
        <xdr:cNvPr id="2320" name="Obraz 2319">
          <a:extLst>
            <a:ext uri="{FF2B5EF4-FFF2-40B4-BE49-F238E27FC236}">
              <a16:creationId xmlns:a16="http://schemas.microsoft.com/office/drawing/2014/main" id="{4C50D55D-3D00-0042-6471-D7824E7900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9335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1173</xdr:row>
      <xdr:rowOff>760942</xdr:rowOff>
    </xdr:from>
    <xdr:to>
      <xdr:col>0</xdr:col>
      <xdr:colOff>871538</xdr:colOff>
      <xdr:row>1174</xdr:row>
      <xdr:rowOff>760942</xdr:rowOff>
    </xdr:to>
    <xdr:pic>
      <xdr:nvPicPr>
        <xdr:cNvPr id="2322" name="Obraz 2321">
          <a:extLst>
            <a:ext uri="{FF2B5EF4-FFF2-40B4-BE49-F238E27FC236}">
              <a16:creationId xmlns:a16="http://schemas.microsoft.com/office/drawing/2014/main" id="{E214522E-42AE-3BBF-3022-CA89E23BA8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9412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1174</xdr:row>
      <xdr:rowOff>760942</xdr:rowOff>
    </xdr:from>
    <xdr:to>
      <xdr:col>0</xdr:col>
      <xdr:colOff>871538</xdr:colOff>
      <xdr:row>1175</xdr:row>
      <xdr:rowOff>760942</xdr:rowOff>
    </xdr:to>
    <xdr:pic>
      <xdr:nvPicPr>
        <xdr:cNvPr id="2324" name="Obraz 2323">
          <a:extLst>
            <a:ext uri="{FF2B5EF4-FFF2-40B4-BE49-F238E27FC236}">
              <a16:creationId xmlns:a16="http://schemas.microsoft.com/office/drawing/2014/main" id="{E7BB8B91-397B-4939-A304-8B71BAD813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9488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1175</xdr:row>
      <xdr:rowOff>760942</xdr:rowOff>
    </xdr:from>
    <xdr:to>
      <xdr:col>0</xdr:col>
      <xdr:colOff>871538</xdr:colOff>
      <xdr:row>1176</xdr:row>
      <xdr:rowOff>760942</xdr:rowOff>
    </xdr:to>
    <xdr:pic>
      <xdr:nvPicPr>
        <xdr:cNvPr id="2326" name="Obraz 2325">
          <a:extLst>
            <a:ext uri="{FF2B5EF4-FFF2-40B4-BE49-F238E27FC236}">
              <a16:creationId xmlns:a16="http://schemas.microsoft.com/office/drawing/2014/main" id="{789D440A-D443-FE62-FA51-1728E57F19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9564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1176</xdr:row>
      <xdr:rowOff>760942</xdr:rowOff>
    </xdr:from>
    <xdr:to>
      <xdr:col>0</xdr:col>
      <xdr:colOff>871538</xdr:colOff>
      <xdr:row>1177</xdr:row>
      <xdr:rowOff>760942</xdr:rowOff>
    </xdr:to>
    <xdr:pic>
      <xdr:nvPicPr>
        <xdr:cNvPr id="2328" name="Obraz 2327">
          <a:extLst>
            <a:ext uri="{FF2B5EF4-FFF2-40B4-BE49-F238E27FC236}">
              <a16:creationId xmlns:a16="http://schemas.microsoft.com/office/drawing/2014/main" id="{8963F987-95BB-6187-2AA9-900B302503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9640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1177</xdr:row>
      <xdr:rowOff>760942</xdr:rowOff>
    </xdr:from>
    <xdr:to>
      <xdr:col>0</xdr:col>
      <xdr:colOff>871538</xdr:colOff>
      <xdr:row>1178</xdr:row>
      <xdr:rowOff>760942</xdr:rowOff>
    </xdr:to>
    <xdr:pic>
      <xdr:nvPicPr>
        <xdr:cNvPr id="2330" name="Obraz 2329">
          <a:extLst>
            <a:ext uri="{FF2B5EF4-FFF2-40B4-BE49-F238E27FC236}">
              <a16:creationId xmlns:a16="http://schemas.microsoft.com/office/drawing/2014/main" id="{FE1A7C1D-904F-223C-B737-5EFE1DC4C1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9716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1178</xdr:row>
      <xdr:rowOff>760942</xdr:rowOff>
    </xdr:from>
    <xdr:to>
      <xdr:col>0</xdr:col>
      <xdr:colOff>871538</xdr:colOff>
      <xdr:row>1179</xdr:row>
      <xdr:rowOff>760942</xdr:rowOff>
    </xdr:to>
    <xdr:pic>
      <xdr:nvPicPr>
        <xdr:cNvPr id="2332" name="Obraz 2331">
          <a:extLst>
            <a:ext uri="{FF2B5EF4-FFF2-40B4-BE49-F238E27FC236}">
              <a16:creationId xmlns:a16="http://schemas.microsoft.com/office/drawing/2014/main" id="{87869FA7-3BFE-7FBC-D341-BA0E2D8B1B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9793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1179</xdr:row>
      <xdr:rowOff>760942</xdr:rowOff>
    </xdr:from>
    <xdr:to>
      <xdr:col>0</xdr:col>
      <xdr:colOff>871538</xdr:colOff>
      <xdr:row>1180</xdr:row>
      <xdr:rowOff>760942</xdr:rowOff>
    </xdr:to>
    <xdr:pic>
      <xdr:nvPicPr>
        <xdr:cNvPr id="2334" name="Obraz 2333">
          <a:extLst>
            <a:ext uri="{FF2B5EF4-FFF2-40B4-BE49-F238E27FC236}">
              <a16:creationId xmlns:a16="http://schemas.microsoft.com/office/drawing/2014/main" id="{BC0BEAC9-1164-C92D-FB6D-2341384375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9869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1180</xdr:row>
      <xdr:rowOff>760942</xdr:rowOff>
    </xdr:from>
    <xdr:to>
      <xdr:col>0</xdr:col>
      <xdr:colOff>871538</xdr:colOff>
      <xdr:row>1181</xdr:row>
      <xdr:rowOff>760942</xdr:rowOff>
    </xdr:to>
    <xdr:pic>
      <xdr:nvPicPr>
        <xdr:cNvPr id="2336" name="Obraz 2335">
          <a:extLst>
            <a:ext uri="{FF2B5EF4-FFF2-40B4-BE49-F238E27FC236}">
              <a16:creationId xmlns:a16="http://schemas.microsoft.com/office/drawing/2014/main" id="{0163BC28-E47F-4691-6DE2-FC0159FB3C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9945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1181</xdr:row>
      <xdr:rowOff>760942</xdr:rowOff>
    </xdr:from>
    <xdr:to>
      <xdr:col>0</xdr:col>
      <xdr:colOff>871538</xdr:colOff>
      <xdr:row>1182</xdr:row>
      <xdr:rowOff>760942</xdr:rowOff>
    </xdr:to>
    <xdr:pic>
      <xdr:nvPicPr>
        <xdr:cNvPr id="2338" name="Obraz 2337">
          <a:extLst>
            <a:ext uri="{FF2B5EF4-FFF2-40B4-BE49-F238E27FC236}">
              <a16:creationId xmlns:a16="http://schemas.microsoft.com/office/drawing/2014/main" id="{D3C53F7C-19D5-E3C7-07D9-A228BD4164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0021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1182</xdr:row>
      <xdr:rowOff>760942</xdr:rowOff>
    </xdr:from>
    <xdr:to>
      <xdr:col>0</xdr:col>
      <xdr:colOff>871538</xdr:colOff>
      <xdr:row>1183</xdr:row>
      <xdr:rowOff>760942</xdr:rowOff>
    </xdr:to>
    <xdr:pic>
      <xdr:nvPicPr>
        <xdr:cNvPr id="2340" name="Obraz 2339">
          <a:extLst>
            <a:ext uri="{FF2B5EF4-FFF2-40B4-BE49-F238E27FC236}">
              <a16:creationId xmlns:a16="http://schemas.microsoft.com/office/drawing/2014/main" id="{590010C3-0C37-5AD0-52B5-FAD71EA122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0097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1183</xdr:row>
      <xdr:rowOff>760942</xdr:rowOff>
    </xdr:from>
    <xdr:to>
      <xdr:col>0</xdr:col>
      <xdr:colOff>871538</xdr:colOff>
      <xdr:row>1184</xdr:row>
      <xdr:rowOff>760942</xdr:rowOff>
    </xdr:to>
    <xdr:pic>
      <xdr:nvPicPr>
        <xdr:cNvPr id="2342" name="Obraz 2341">
          <a:extLst>
            <a:ext uri="{FF2B5EF4-FFF2-40B4-BE49-F238E27FC236}">
              <a16:creationId xmlns:a16="http://schemas.microsoft.com/office/drawing/2014/main" id="{6EE688E2-FAFF-58E1-DE16-A58E23FD14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0174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1184</xdr:row>
      <xdr:rowOff>760942</xdr:rowOff>
    </xdr:from>
    <xdr:to>
      <xdr:col>0</xdr:col>
      <xdr:colOff>871538</xdr:colOff>
      <xdr:row>1185</xdr:row>
      <xdr:rowOff>760942</xdr:rowOff>
    </xdr:to>
    <xdr:pic>
      <xdr:nvPicPr>
        <xdr:cNvPr id="2344" name="Obraz 2343">
          <a:extLst>
            <a:ext uri="{FF2B5EF4-FFF2-40B4-BE49-F238E27FC236}">
              <a16:creationId xmlns:a16="http://schemas.microsoft.com/office/drawing/2014/main" id="{37597087-F119-8275-D75A-A97648B44B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0250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1185</xdr:row>
      <xdr:rowOff>760942</xdr:rowOff>
    </xdr:from>
    <xdr:to>
      <xdr:col>0</xdr:col>
      <xdr:colOff>871538</xdr:colOff>
      <xdr:row>1186</xdr:row>
      <xdr:rowOff>760942</xdr:rowOff>
    </xdr:to>
    <xdr:pic>
      <xdr:nvPicPr>
        <xdr:cNvPr id="2346" name="Obraz 2345">
          <a:extLst>
            <a:ext uri="{FF2B5EF4-FFF2-40B4-BE49-F238E27FC236}">
              <a16:creationId xmlns:a16="http://schemas.microsoft.com/office/drawing/2014/main" id="{A4FDF5F6-D841-52C6-A52A-B7B7D4E742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0326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1186</xdr:row>
      <xdr:rowOff>760942</xdr:rowOff>
    </xdr:from>
    <xdr:to>
      <xdr:col>0</xdr:col>
      <xdr:colOff>871538</xdr:colOff>
      <xdr:row>1187</xdr:row>
      <xdr:rowOff>760942</xdr:rowOff>
    </xdr:to>
    <xdr:pic>
      <xdr:nvPicPr>
        <xdr:cNvPr id="2348" name="Obraz 2347">
          <a:extLst>
            <a:ext uri="{FF2B5EF4-FFF2-40B4-BE49-F238E27FC236}">
              <a16:creationId xmlns:a16="http://schemas.microsoft.com/office/drawing/2014/main" id="{71404FA7-05D1-079E-227C-0345234605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0402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1187</xdr:row>
      <xdr:rowOff>760942</xdr:rowOff>
    </xdr:from>
    <xdr:to>
      <xdr:col>0</xdr:col>
      <xdr:colOff>871538</xdr:colOff>
      <xdr:row>1188</xdr:row>
      <xdr:rowOff>760942</xdr:rowOff>
    </xdr:to>
    <xdr:pic>
      <xdr:nvPicPr>
        <xdr:cNvPr id="2350" name="Obraz 2349">
          <a:extLst>
            <a:ext uri="{FF2B5EF4-FFF2-40B4-BE49-F238E27FC236}">
              <a16:creationId xmlns:a16="http://schemas.microsoft.com/office/drawing/2014/main" id="{919F73F7-A029-3D03-4CEA-14DA86F540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0478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1188</xdr:row>
      <xdr:rowOff>760942</xdr:rowOff>
    </xdr:from>
    <xdr:to>
      <xdr:col>0</xdr:col>
      <xdr:colOff>871538</xdr:colOff>
      <xdr:row>1189</xdr:row>
      <xdr:rowOff>760942</xdr:rowOff>
    </xdr:to>
    <xdr:pic>
      <xdr:nvPicPr>
        <xdr:cNvPr id="2352" name="Obraz 2351">
          <a:extLst>
            <a:ext uri="{FF2B5EF4-FFF2-40B4-BE49-F238E27FC236}">
              <a16:creationId xmlns:a16="http://schemas.microsoft.com/office/drawing/2014/main" id="{A82C7EB9-27BF-3055-6677-0A3271A47F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0555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1189</xdr:row>
      <xdr:rowOff>760942</xdr:rowOff>
    </xdr:from>
    <xdr:to>
      <xdr:col>0</xdr:col>
      <xdr:colOff>871538</xdr:colOff>
      <xdr:row>1190</xdr:row>
      <xdr:rowOff>760942</xdr:rowOff>
    </xdr:to>
    <xdr:pic>
      <xdr:nvPicPr>
        <xdr:cNvPr id="2354" name="Obraz 2353">
          <a:extLst>
            <a:ext uri="{FF2B5EF4-FFF2-40B4-BE49-F238E27FC236}">
              <a16:creationId xmlns:a16="http://schemas.microsoft.com/office/drawing/2014/main" id="{E87CC2B6-0DC7-78A0-630E-0D73078443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0631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1190</xdr:row>
      <xdr:rowOff>760942</xdr:rowOff>
    </xdr:from>
    <xdr:to>
      <xdr:col>0</xdr:col>
      <xdr:colOff>871538</xdr:colOff>
      <xdr:row>1191</xdr:row>
      <xdr:rowOff>760942</xdr:rowOff>
    </xdr:to>
    <xdr:pic>
      <xdr:nvPicPr>
        <xdr:cNvPr id="2356" name="Obraz 2355">
          <a:extLst>
            <a:ext uri="{FF2B5EF4-FFF2-40B4-BE49-F238E27FC236}">
              <a16:creationId xmlns:a16="http://schemas.microsoft.com/office/drawing/2014/main" id="{8A02B70B-51AA-E6EF-ACFA-267A75C35A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0707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1191</xdr:row>
      <xdr:rowOff>760942</xdr:rowOff>
    </xdr:from>
    <xdr:to>
      <xdr:col>0</xdr:col>
      <xdr:colOff>871538</xdr:colOff>
      <xdr:row>1192</xdr:row>
      <xdr:rowOff>760942</xdr:rowOff>
    </xdr:to>
    <xdr:pic>
      <xdr:nvPicPr>
        <xdr:cNvPr id="2358" name="Obraz 2357">
          <a:extLst>
            <a:ext uri="{FF2B5EF4-FFF2-40B4-BE49-F238E27FC236}">
              <a16:creationId xmlns:a16="http://schemas.microsoft.com/office/drawing/2014/main" id="{FC5DB977-55A3-E848-BC41-CB1233C44A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0783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1192</xdr:row>
      <xdr:rowOff>760942</xdr:rowOff>
    </xdr:from>
    <xdr:to>
      <xdr:col>0</xdr:col>
      <xdr:colOff>871538</xdr:colOff>
      <xdr:row>1193</xdr:row>
      <xdr:rowOff>760942</xdr:rowOff>
    </xdr:to>
    <xdr:pic>
      <xdr:nvPicPr>
        <xdr:cNvPr id="2360" name="Obraz 2359">
          <a:extLst>
            <a:ext uri="{FF2B5EF4-FFF2-40B4-BE49-F238E27FC236}">
              <a16:creationId xmlns:a16="http://schemas.microsoft.com/office/drawing/2014/main" id="{7BC92A13-CB38-8C5D-9DAA-FC31A62882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0859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1193</xdr:row>
      <xdr:rowOff>760942</xdr:rowOff>
    </xdr:from>
    <xdr:to>
      <xdr:col>0</xdr:col>
      <xdr:colOff>871538</xdr:colOff>
      <xdr:row>1194</xdr:row>
      <xdr:rowOff>760942</xdr:rowOff>
    </xdr:to>
    <xdr:pic>
      <xdr:nvPicPr>
        <xdr:cNvPr id="2362" name="Obraz 2361">
          <a:extLst>
            <a:ext uri="{FF2B5EF4-FFF2-40B4-BE49-F238E27FC236}">
              <a16:creationId xmlns:a16="http://schemas.microsoft.com/office/drawing/2014/main" id="{222D910A-5642-0311-5B0D-E5990B8191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0936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1194</xdr:row>
      <xdr:rowOff>760942</xdr:rowOff>
    </xdr:from>
    <xdr:to>
      <xdr:col>0</xdr:col>
      <xdr:colOff>871538</xdr:colOff>
      <xdr:row>1195</xdr:row>
      <xdr:rowOff>760942</xdr:rowOff>
    </xdr:to>
    <xdr:pic>
      <xdr:nvPicPr>
        <xdr:cNvPr id="2364" name="Obraz 2363">
          <a:extLst>
            <a:ext uri="{FF2B5EF4-FFF2-40B4-BE49-F238E27FC236}">
              <a16:creationId xmlns:a16="http://schemas.microsoft.com/office/drawing/2014/main" id="{6EFDD5A6-BD58-62BE-313C-500AF72E4D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1012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1195</xdr:row>
      <xdr:rowOff>760942</xdr:rowOff>
    </xdr:from>
    <xdr:to>
      <xdr:col>0</xdr:col>
      <xdr:colOff>871538</xdr:colOff>
      <xdr:row>1196</xdr:row>
      <xdr:rowOff>760942</xdr:rowOff>
    </xdr:to>
    <xdr:pic>
      <xdr:nvPicPr>
        <xdr:cNvPr id="2366" name="Obraz 2365">
          <a:extLst>
            <a:ext uri="{FF2B5EF4-FFF2-40B4-BE49-F238E27FC236}">
              <a16:creationId xmlns:a16="http://schemas.microsoft.com/office/drawing/2014/main" id="{E2DE5539-57F5-5CD9-E756-80977762D3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1088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1196</xdr:row>
      <xdr:rowOff>760942</xdr:rowOff>
    </xdr:from>
    <xdr:to>
      <xdr:col>0</xdr:col>
      <xdr:colOff>871538</xdr:colOff>
      <xdr:row>1197</xdr:row>
      <xdr:rowOff>760942</xdr:rowOff>
    </xdr:to>
    <xdr:pic>
      <xdr:nvPicPr>
        <xdr:cNvPr id="2368" name="Obraz 2367">
          <a:extLst>
            <a:ext uri="{FF2B5EF4-FFF2-40B4-BE49-F238E27FC236}">
              <a16:creationId xmlns:a16="http://schemas.microsoft.com/office/drawing/2014/main" id="{E58F5386-AC5A-C0BF-1519-D05823DAFB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1164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1197</xdr:row>
      <xdr:rowOff>760942</xdr:rowOff>
    </xdr:from>
    <xdr:to>
      <xdr:col>0</xdr:col>
      <xdr:colOff>871538</xdr:colOff>
      <xdr:row>1198</xdr:row>
      <xdr:rowOff>760942</xdr:rowOff>
    </xdr:to>
    <xdr:pic>
      <xdr:nvPicPr>
        <xdr:cNvPr id="2370" name="Obraz 2369">
          <a:extLst>
            <a:ext uri="{FF2B5EF4-FFF2-40B4-BE49-F238E27FC236}">
              <a16:creationId xmlns:a16="http://schemas.microsoft.com/office/drawing/2014/main" id="{82AD767B-CDF4-ABBD-C319-A77D1156D2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1240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1198</xdr:row>
      <xdr:rowOff>760942</xdr:rowOff>
    </xdr:from>
    <xdr:to>
      <xdr:col>0</xdr:col>
      <xdr:colOff>871538</xdr:colOff>
      <xdr:row>1199</xdr:row>
      <xdr:rowOff>760942</xdr:rowOff>
    </xdr:to>
    <xdr:pic>
      <xdr:nvPicPr>
        <xdr:cNvPr id="2372" name="Obraz 2371">
          <a:extLst>
            <a:ext uri="{FF2B5EF4-FFF2-40B4-BE49-F238E27FC236}">
              <a16:creationId xmlns:a16="http://schemas.microsoft.com/office/drawing/2014/main" id="{EF4D46C9-A417-C8BA-ABDD-32B1E0B788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13171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1199</xdr:row>
      <xdr:rowOff>760942</xdr:rowOff>
    </xdr:from>
    <xdr:to>
      <xdr:col>0</xdr:col>
      <xdr:colOff>871538</xdr:colOff>
      <xdr:row>1200</xdr:row>
      <xdr:rowOff>760942</xdr:rowOff>
    </xdr:to>
    <xdr:pic>
      <xdr:nvPicPr>
        <xdr:cNvPr id="2374" name="Obraz 2373">
          <a:extLst>
            <a:ext uri="{FF2B5EF4-FFF2-40B4-BE49-F238E27FC236}">
              <a16:creationId xmlns:a16="http://schemas.microsoft.com/office/drawing/2014/main" id="{3A905DBC-944F-5098-1879-457ED0E5EC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13933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1200</xdr:row>
      <xdr:rowOff>760942</xdr:rowOff>
    </xdr:from>
    <xdr:to>
      <xdr:col>0</xdr:col>
      <xdr:colOff>871538</xdr:colOff>
      <xdr:row>1201</xdr:row>
      <xdr:rowOff>760942</xdr:rowOff>
    </xdr:to>
    <xdr:pic>
      <xdr:nvPicPr>
        <xdr:cNvPr id="2376" name="Obraz 2375">
          <a:extLst>
            <a:ext uri="{FF2B5EF4-FFF2-40B4-BE49-F238E27FC236}">
              <a16:creationId xmlns:a16="http://schemas.microsoft.com/office/drawing/2014/main" id="{199E1361-EE35-6CF3-B16E-EE176D2FEF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14695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1201</xdr:row>
      <xdr:rowOff>760942</xdr:rowOff>
    </xdr:from>
    <xdr:to>
      <xdr:col>0</xdr:col>
      <xdr:colOff>871538</xdr:colOff>
      <xdr:row>1202</xdr:row>
      <xdr:rowOff>760942</xdr:rowOff>
    </xdr:to>
    <xdr:pic>
      <xdr:nvPicPr>
        <xdr:cNvPr id="2378" name="Obraz 2377">
          <a:extLst>
            <a:ext uri="{FF2B5EF4-FFF2-40B4-BE49-F238E27FC236}">
              <a16:creationId xmlns:a16="http://schemas.microsoft.com/office/drawing/2014/main" id="{EA523CF5-AD21-B899-D85A-8EE499D52C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15457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1202</xdr:row>
      <xdr:rowOff>760942</xdr:rowOff>
    </xdr:from>
    <xdr:to>
      <xdr:col>0</xdr:col>
      <xdr:colOff>871538</xdr:colOff>
      <xdr:row>1203</xdr:row>
      <xdr:rowOff>760942</xdr:rowOff>
    </xdr:to>
    <xdr:pic>
      <xdr:nvPicPr>
        <xdr:cNvPr id="2380" name="Obraz 2379">
          <a:extLst>
            <a:ext uri="{FF2B5EF4-FFF2-40B4-BE49-F238E27FC236}">
              <a16:creationId xmlns:a16="http://schemas.microsoft.com/office/drawing/2014/main" id="{3896F578-7AD1-8D0A-283C-A8BFB3F33E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16219275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1203</xdr:row>
      <xdr:rowOff>760942</xdr:rowOff>
    </xdr:from>
    <xdr:to>
      <xdr:col>0</xdr:col>
      <xdr:colOff>871538</xdr:colOff>
      <xdr:row>1204</xdr:row>
      <xdr:rowOff>760942</xdr:rowOff>
    </xdr:to>
    <xdr:pic>
      <xdr:nvPicPr>
        <xdr:cNvPr id="2382" name="Obraz 2381">
          <a:extLst>
            <a:ext uri="{FF2B5EF4-FFF2-40B4-BE49-F238E27FC236}">
              <a16:creationId xmlns:a16="http://schemas.microsoft.com/office/drawing/2014/main" id="{0F03C524-B82A-7685-F917-BFBFCD83A5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16981275"/>
          <a:ext cx="762000" cy="7620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0</xdr:rowOff>
    </xdr:from>
    <xdr:to>
      <xdr:col>1</xdr:col>
      <xdr:colOff>1787366</xdr:colOff>
      <xdr:row>0</xdr:row>
      <xdr:rowOff>510659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AF75853D-0313-4518-A610-53EAEA609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87366" cy="510659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</xdr:row>
      <xdr:rowOff>0</xdr:rowOff>
    </xdr:from>
    <xdr:to>
      <xdr:col>0</xdr:col>
      <xdr:colOff>871538</xdr:colOff>
      <xdr:row>3</xdr:row>
      <xdr:rowOff>0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31F61AFF-89E4-29E2-B7C1-B663EA461F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3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</xdr:row>
      <xdr:rowOff>0</xdr:rowOff>
    </xdr:from>
    <xdr:to>
      <xdr:col>0</xdr:col>
      <xdr:colOff>871538</xdr:colOff>
      <xdr:row>4</xdr:row>
      <xdr:rowOff>0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06089EFC-F328-3C1C-FAD8-22FA5E1CB6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0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</xdr:row>
      <xdr:rowOff>0</xdr:rowOff>
    </xdr:from>
    <xdr:to>
      <xdr:col>0</xdr:col>
      <xdr:colOff>871538</xdr:colOff>
      <xdr:row>5</xdr:row>
      <xdr:rowOff>0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CFBC3A84-5042-8A48-A897-6E37F4FC2B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6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</xdr:row>
      <xdr:rowOff>0</xdr:rowOff>
    </xdr:from>
    <xdr:to>
      <xdr:col>0</xdr:col>
      <xdr:colOff>871538</xdr:colOff>
      <xdr:row>6</xdr:row>
      <xdr:rowOff>0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4C9E8381-8154-593D-2556-9804C5094F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2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</xdr:row>
      <xdr:rowOff>0</xdr:rowOff>
    </xdr:from>
    <xdr:to>
      <xdr:col>0</xdr:col>
      <xdr:colOff>871538</xdr:colOff>
      <xdr:row>7</xdr:row>
      <xdr:rowOff>0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E1B41E53-9DEA-43F8-3C35-F3F27F1CCA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8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</xdr:row>
      <xdr:rowOff>0</xdr:rowOff>
    </xdr:from>
    <xdr:to>
      <xdr:col>0</xdr:col>
      <xdr:colOff>871538</xdr:colOff>
      <xdr:row>8</xdr:row>
      <xdr:rowOff>0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132AFA81-7EAD-2D10-EF7B-912E703D5C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4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</xdr:row>
      <xdr:rowOff>0</xdr:rowOff>
    </xdr:from>
    <xdr:to>
      <xdr:col>0</xdr:col>
      <xdr:colOff>871538</xdr:colOff>
      <xdr:row>9</xdr:row>
      <xdr:rowOff>0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E26E294F-F052-0214-A979-1007B74B81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1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</xdr:row>
      <xdr:rowOff>0</xdr:rowOff>
    </xdr:from>
    <xdr:to>
      <xdr:col>0</xdr:col>
      <xdr:colOff>871538</xdr:colOff>
      <xdr:row>10</xdr:row>
      <xdr:rowOff>0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369527FA-CCF0-AF1D-31C4-059ABF9B2C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7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</xdr:row>
      <xdr:rowOff>0</xdr:rowOff>
    </xdr:from>
    <xdr:to>
      <xdr:col>0</xdr:col>
      <xdr:colOff>871538</xdr:colOff>
      <xdr:row>11</xdr:row>
      <xdr:rowOff>0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12975B45-C63D-5BDC-7839-765462904C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3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</xdr:row>
      <xdr:rowOff>0</xdr:rowOff>
    </xdr:from>
    <xdr:to>
      <xdr:col>0</xdr:col>
      <xdr:colOff>871538</xdr:colOff>
      <xdr:row>12</xdr:row>
      <xdr:rowOff>0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4A845911-F797-D82A-D64C-3C62573DD1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09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</xdr:row>
      <xdr:rowOff>0</xdr:rowOff>
    </xdr:from>
    <xdr:to>
      <xdr:col>0</xdr:col>
      <xdr:colOff>871538</xdr:colOff>
      <xdr:row>13</xdr:row>
      <xdr:rowOff>0</xdr:rowOff>
    </xdr:to>
    <xdr:pic>
      <xdr:nvPicPr>
        <xdr:cNvPr id="24" name="Obraz 23">
          <a:extLst>
            <a:ext uri="{FF2B5EF4-FFF2-40B4-BE49-F238E27FC236}">
              <a16:creationId xmlns:a16="http://schemas.microsoft.com/office/drawing/2014/main" id="{95945B98-15AE-8222-242F-4FEE5DE1ED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85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</xdr:row>
      <xdr:rowOff>0</xdr:rowOff>
    </xdr:from>
    <xdr:to>
      <xdr:col>0</xdr:col>
      <xdr:colOff>871538</xdr:colOff>
      <xdr:row>14</xdr:row>
      <xdr:rowOff>0</xdr:rowOff>
    </xdr:to>
    <xdr:pic>
      <xdr:nvPicPr>
        <xdr:cNvPr id="26" name="Obraz 25">
          <a:extLst>
            <a:ext uri="{FF2B5EF4-FFF2-40B4-BE49-F238E27FC236}">
              <a16:creationId xmlns:a16="http://schemas.microsoft.com/office/drawing/2014/main" id="{622428F1-59DC-6F12-EB9B-5243ACAA2B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62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</xdr:row>
      <xdr:rowOff>0</xdr:rowOff>
    </xdr:from>
    <xdr:to>
      <xdr:col>0</xdr:col>
      <xdr:colOff>871538</xdr:colOff>
      <xdr:row>15</xdr:row>
      <xdr:rowOff>0</xdr:rowOff>
    </xdr:to>
    <xdr:pic>
      <xdr:nvPicPr>
        <xdr:cNvPr id="28" name="Obraz 27">
          <a:extLst>
            <a:ext uri="{FF2B5EF4-FFF2-40B4-BE49-F238E27FC236}">
              <a16:creationId xmlns:a16="http://schemas.microsoft.com/office/drawing/2014/main" id="{C5893890-6278-A282-79E4-7B642DDFDC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38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</xdr:row>
      <xdr:rowOff>0</xdr:rowOff>
    </xdr:from>
    <xdr:to>
      <xdr:col>0</xdr:col>
      <xdr:colOff>871538</xdr:colOff>
      <xdr:row>16</xdr:row>
      <xdr:rowOff>0</xdr:rowOff>
    </xdr:to>
    <xdr:pic>
      <xdr:nvPicPr>
        <xdr:cNvPr id="30" name="Obraz 29">
          <a:extLst>
            <a:ext uri="{FF2B5EF4-FFF2-40B4-BE49-F238E27FC236}">
              <a16:creationId xmlns:a16="http://schemas.microsoft.com/office/drawing/2014/main" id="{D59A33F0-3D9B-9304-D6B4-1FFB279A1D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14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</xdr:row>
      <xdr:rowOff>0</xdr:rowOff>
    </xdr:from>
    <xdr:to>
      <xdr:col>0</xdr:col>
      <xdr:colOff>871538</xdr:colOff>
      <xdr:row>17</xdr:row>
      <xdr:rowOff>0</xdr:rowOff>
    </xdr:to>
    <xdr:pic>
      <xdr:nvPicPr>
        <xdr:cNvPr id="32" name="Obraz 31">
          <a:extLst>
            <a:ext uri="{FF2B5EF4-FFF2-40B4-BE49-F238E27FC236}">
              <a16:creationId xmlns:a16="http://schemas.microsoft.com/office/drawing/2014/main" id="{B54A6443-DEFD-1297-655B-1F5D3EE218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90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</xdr:row>
      <xdr:rowOff>0</xdr:rowOff>
    </xdr:from>
    <xdr:to>
      <xdr:col>0</xdr:col>
      <xdr:colOff>871538</xdr:colOff>
      <xdr:row>18</xdr:row>
      <xdr:rowOff>0</xdr:rowOff>
    </xdr:to>
    <xdr:pic>
      <xdr:nvPicPr>
        <xdr:cNvPr id="34" name="Obraz 33">
          <a:extLst>
            <a:ext uri="{FF2B5EF4-FFF2-40B4-BE49-F238E27FC236}">
              <a16:creationId xmlns:a16="http://schemas.microsoft.com/office/drawing/2014/main" id="{DF5FE6AF-06E4-0477-923F-2408E7D900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66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</xdr:row>
      <xdr:rowOff>0</xdr:rowOff>
    </xdr:from>
    <xdr:to>
      <xdr:col>0</xdr:col>
      <xdr:colOff>871538</xdr:colOff>
      <xdr:row>19</xdr:row>
      <xdr:rowOff>0</xdr:rowOff>
    </xdr:to>
    <xdr:pic>
      <xdr:nvPicPr>
        <xdr:cNvPr id="36" name="Obraz 35">
          <a:extLst>
            <a:ext uri="{FF2B5EF4-FFF2-40B4-BE49-F238E27FC236}">
              <a16:creationId xmlns:a16="http://schemas.microsoft.com/office/drawing/2014/main" id="{0E8F8B23-B7DA-A421-F6B9-9B05C6A8C7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43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19</xdr:row>
      <xdr:rowOff>0</xdr:rowOff>
    </xdr:from>
    <xdr:to>
      <xdr:col>0</xdr:col>
      <xdr:colOff>871538</xdr:colOff>
      <xdr:row>20</xdr:row>
      <xdr:rowOff>0</xdr:rowOff>
    </xdr:to>
    <xdr:pic>
      <xdr:nvPicPr>
        <xdr:cNvPr id="38" name="Obraz 37">
          <a:extLst>
            <a:ext uri="{FF2B5EF4-FFF2-40B4-BE49-F238E27FC236}">
              <a16:creationId xmlns:a16="http://schemas.microsoft.com/office/drawing/2014/main" id="{BAC690E0-3085-BD1A-0BDB-977087E79F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19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20</xdr:row>
      <xdr:rowOff>0</xdr:rowOff>
    </xdr:from>
    <xdr:to>
      <xdr:col>0</xdr:col>
      <xdr:colOff>871538</xdr:colOff>
      <xdr:row>21</xdr:row>
      <xdr:rowOff>0</xdr:rowOff>
    </xdr:to>
    <xdr:pic>
      <xdr:nvPicPr>
        <xdr:cNvPr id="40" name="Obraz 39">
          <a:extLst>
            <a:ext uri="{FF2B5EF4-FFF2-40B4-BE49-F238E27FC236}">
              <a16:creationId xmlns:a16="http://schemas.microsoft.com/office/drawing/2014/main" id="{E569E42C-3B87-146C-3116-825C9DCE09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495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21</xdr:row>
      <xdr:rowOff>0</xdr:rowOff>
    </xdr:from>
    <xdr:to>
      <xdr:col>0</xdr:col>
      <xdr:colOff>871538</xdr:colOff>
      <xdr:row>22</xdr:row>
      <xdr:rowOff>0</xdr:rowOff>
    </xdr:to>
    <xdr:pic>
      <xdr:nvPicPr>
        <xdr:cNvPr id="42" name="Obraz 41">
          <a:extLst>
            <a:ext uri="{FF2B5EF4-FFF2-40B4-BE49-F238E27FC236}">
              <a16:creationId xmlns:a16="http://schemas.microsoft.com/office/drawing/2014/main" id="{FEC12831-F436-9A0D-2825-B04F7CC00D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571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22</xdr:row>
      <xdr:rowOff>0</xdr:rowOff>
    </xdr:from>
    <xdr:to>
      <xdr:col>0</xdr:col>
      <xdr:colOff>871538</xdr:colOff>
      <xdr:row>23</xdr:row>
      <xdr:rowOff>0</xdr:rowOff>
    </xdr:to>
    <xdr:pic>
      <xdr:nvPicPr>
        <xdr:cNvPr id="44" name="Obraz 43">
          <a:extLst>
            <a:ext uri="{FF2B5EF4-FFF2-40B4-BE49-F238E27FC236}">
              <a16:creationId xmlns:a16="http://schemas.microsoft.com/office/drawing/2014/main" id="{FFBB374A-BB7C-29BA-825C-FC3C606659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647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23</xdr:row>
      <xdr:rowOff>0</xdr:rowOff>
    </xdr:from>
    <xdr:to>
      <xdr:col>0</xdr:col>
      <xdr:colOff>871538</xdr:colOff>
      <xdr:row>24</xdr:row>
      <xdr:rowOff>0</xdr:rowOff>
    </xdr:to>
    <xdr:pic>
      <xdr:nvPicPr>
        <xdr:cNvPr id="46" name="Obraz 45">
          <a:extLst>
            <a:ext uri="{FF2B5EF4-FFF2-40B4-BE49-F238E27FC236}">
              <a16:creationId xmlns:a16="http://schemas.microsoft.com/office/drawing/2014/main" id="{902E5138-A5AA-E1BD-868D-70A3C20EB3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724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24</xdr:row>
      <xdr:rowOff>0</xdr:rowOff>
    </xdr:from>
    <xdr:to>
      <xdr:col>0</xdr:col>
      <xdr:colOff>871538</xdr:colOff>
      <xdr:row>25</xdr:row>
      <xdr:rowOff>0</xdr:rowOff>
    </xdr:to>
    <xdr:pic>
      <xdr:nvPicPr>
        <xdr:cNvPr id="48" name="Obraz 47">
          <a:extLst>
            <a:ext uri="{FF2B5EF4-FFF2-40B4-BE49-F238E27FC236}">
              <a16:creationId xmlns:a16="http://schemas.microsoft.com/office/drawing/2014/main" id="{C5FD2E14-54E8-6BFB-4C0D-B1B8062E20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00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25</xdr:row>
      <xdr:rowOff>0</xdr:rowOff>
    </xdr:from>
    <xdr:to>
      <xdr:col>0</xdr:col>
      <xdr:colOff>871538</xdr:colOff>
      <xdr:row>26</xdr:row>
      <xdr:rowOff>0</xdr:rowOff>
    </xdr:to>
    <xdr:pic>
      <xdr:nvPicPr>
        <xdr:cNvPr id="50" name="Obraz 49">
          <a:extLst>
            <a:ext uri="{FF2B5EF4-FFF2-40B4-BE49-F238E27FC236}">
              <a16:creationId xmlns:a16="http://schemas.microsoft.com/office/drawing/2014/main" id="{C9985A38-5C27-2E31-1EFE-4B99D1384B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876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26</xdr:row>
      <xdr:rowOff>0</xdr:rowOff>
    </xdr:from>
    <xdr:to>
      <xdr:col>0</xdr:col>
      <xdr:colOff>871538</xdr:colOff>
      <xdr:row>27</xdr:row>
      <xdr:rowOff>0</xdr:rowOff>
    </xdr:to>
    <xdr:pic>
      <xdr:nvPicPr>
        <xdr:cNvPr id="52" name="Obraz 51">
          <a:extLst>
            <a:ext uri="{FF2B5EF4-FFF2-40B4-BE49-F238E27FC236}">
              <a16:creationId xmlns:a16="http://schemas.microsoft.com/office/drawing/2014/main" id="{238794BA-8546-156C-6F2F-1135067BBB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952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27</xdr:row>
      <xdr:rowOff>0</xdr:rowOff>
    </xdr:from>
    <xdr:to>
      <xdr:col>0</xdr:col>
      <xdr:colOff>871538</xdr:colOff>
      <xdr:row>28</xdr:row>
      <xdr:rowOff>0</xdr:rowOff>
    </xdr:to>
    <xdr:pic>
      <xdr:nvPicPr>
        <xdr:cNvPr id="54" name="Obraz 53">
          <a:extLst>
            <a:ext uri="{FF2B5EF4-FFF2-40B4-BE49-F238E27FC236}">
              <a16:creationId xmlns:a16="http://schemas.microsoft.com/office/drawing/2014/main" id="{BB562EB6-3408-1B6D-EEFB-5F314A1B16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028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28</xdr:row>
      <xdr:rowOff>0</xdr:rowOff>
    </xdr:from>
    <xdr:to>
      <xdr:col>0</xdr:col>
      <xdr:colOff>871538</xdr:colOff>
      <xdr:row>29</xdr:row>
      <xdr:rowOff>0</xdr:rowOff>
    </xdr:to>
    <xdr:pic>
      <xdr:nvPicPr>
        <xdr:cNvPr id="56" name="Obraz 55">
          <a:extLst>
            <a:ext uri="{FF2B5EF4-FFF2-40B4-BE49-F238E27FC236}">
              <a16:creationId xmlns:a16="http://schemas.microsoft.com/office/drawing/2014/main" id="{4CE3C282-CD76-6C42-B0B1-78D6210967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05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29</xdr:row>
      <xdr:rowOff>0</xdr:rowOff>
    </xdr:from>
    <xdr:to>
      <xdr:col>0</xdr:col>
      <xdr:colOff>871538</xdr:colOff>
      <xdr:row>30</xdr:row>
      <xdr:rowOff>0</xdr:rowOff>
    </xdr:to>
    <xdr:pic>
      <xdr:nvPicPr>
        <xdr:cNvPr id="58" name="Obraz 57">
          <a:extLst>
            <a:ext uri="{FF2B5EF4-FFF2-40B4-BE49-F238E27FC236}">
              <a16:creationId xmlns:a16="http://schemas.microsoft.com/office/drawing/2014/main" id="{C840AF3C-D69B-3189-B40E-43A20DFB8D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181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30</xdr:row>
      <xdr:rowOff>0</xdr:rowOff>
    </xdr:from>
    <xdr:to>
      <xdr:col>0</xdr:col>
      <xdr:colOff>871538</xdr:colOff>
      <xdr:row>31</xdr:row>
      <xdr:rowOff>0</xdr:rowOff>
    </xdr:to>
    <xdr:pic>
      <xdr:nvPicPr>
        <xdr:cNvPr id="60" name="Obraz 59">
          <a:extLst>
            <a:ext uri="{FF2B5EF4-FFF2-40B4-BE49-F238E27FC236}">
              <a16:creationId xmlns:a16="http://schemas.microsoft.com/office/drawing/2014/main" id="{9144F1F7-F02A-64AB-E83A-29A118E186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257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31</xdr:row>
      <xdr:rowOff>0</xdr:rowOff>
    </xdr:from>
    <xdr:to>
      <xdr:col>0</xdr:col>
      <xdr:colOff>871538</xdr:colOff>
      <xdr:row>32</xdr:row>
      <xdr:rowOff>0</xdr:rowOff>
    </xdr:to>
    <xdr:pic>
      <xdr:nvPicPr>
        <xdr:cNvPr id="62" name="Obraz 61">
          <a:extLst>
            <a:ext uri="{FF2B5EF4-FFF2-40B4-BE49-F238E27FC236}">
              <a16:creationId xmlns:a16="http://schemas.microsoft.com/office/drawing/2014/main" id="{8D3BEB1D-64C0-0CBF-C2D7-EC44E80FCB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333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32</xdr:row>
      <xdr:rowOff>0</xdr:rowOff>
    </xdr:from>
    <xdr:to>
      <xdr:col>0</xdr:col>
      <xdr:colOff>871538</xdr:colOff>
      <xdr:row>33</xdr:row>
      <xdr:rowOff>0</xdr:rowOff>
    </xdr:to>
    <xdr:pic>
      <xdr:nvPicPr>
        <xdr:cNvPr id="64" name="Obraz 63">
          <a:extLst>
            <a:ext uri="{FF2B5EF4-FFF2-40B4-BE49-F238E27FC236}">
              <a16:creationId xmlns:a16="http://schemas.microsoft.com/office/drawing/2014/main" id="{9D96BB79-07E6-4B77-C185-AAE658C2E2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09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33</xdr:row>
      <xdr:rowOff>0</xdr:rowOff>
    </xdr:from>
    <xdr:to>
      <xdr:col>0</xdr:col>
      <xdr:colOff>871538</xdr:colOff>
      <xdr:row>34</xdr:row>
      <xdr:rowOff>0</xdr:rowOff>
    </xdr:to>
    <xdr:pic>
      <xdr:nvPicPr>
        <xdr:cNvPr id="66" name="Obraz 65">
          <a:extLst>
            <a:ext uri="{FF2B5EF4-FFF2-40B4-BE49-F238E27FC236}">
              <a16:creationId xmlns:a16="http://schemas.microsoft.com/office/drawing/2014/main" id="{1961F152-78B0-931B-4844-E4912611AB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486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34</xdr:row>
      <xdr:rowOff>0</xdr:rowOff>
    </xdr:from>
    <xdr:to>
      <xdr:col>0</xdr:col>
      <xdr:colOff>871538</xdr:colOff>
      <xdr:row>35</xdr:row>
      <xdr:rowOff>0</xdr:rowOff>
    </xdr:to>
    <xdr:pic>
      <xdr:nvPicPr>
        <xdr:cNvPr id="68" name="Obraz 67">
          <a:extLst>
            <a:ext uri="{FF2B5EF4-FFF2-40B4-BE49-F238E27FC236}">
              <a16:creationId xmlns:a16="http://schemas.microsoft.com/office/drawing/2014/main" id="{E36EE054-7CF0-34A0-A13A-D26D5CC15F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562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35</xdr:row>
      <xdr:rowOff>0</xdr:rowOff>
    </xdr:from>
    <xdr:to>
      <xdr:col>0</xdr:col>
      <xdr:colOff>871538</xdr:colOff>
      <xdr:row>36</xdr:row>
      <xdr:rowOff>0</xdr:rowOff>
    </xdr:to>
    <xdr:pic>
      <xdr:nvPicPr>
        <xdr:cNvPr id="70" name="Obraz 69">
          <a:extLst>
            <a:ext uri="{FF2B5EF4-FFF2-40B4-BE49-F238E27FC236}">
              <a16:creationId xmlns:a16="http://schemas.microsoft.com/office/drawing/2014/main" id="{0DDB1640-1BC1-1B40-4104-6F5FBE1C8E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638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36</xdr:row>
      <xdr:rowOff>0</xdr:rowOff>
    </xdr:from>
    <xdr:to>
      <xdr:col>0</xdr:col>
      <xdr:colOff>871538</xdr:colOff>
      <xdr:row>37</xdr:row>
      <xdr:rowOff>0</xdr:rowOff>
    </xdr:to>
    <xdr:pic>
      <xdr:nvPicPr>
        <xdr:cNvPr id="72" name="Obraz 71">
          <a:extLst>
            <a:ext uri="{FF2B5EF4-FFF2-40B4-BE49-F238E27FC236}">
              <a16:creationId xmlns:a16="http://schemas.microsoft.com/office/drawing/2014/main" id="{B6292AAB-DAFF-7675-C5D5-2EC145421C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14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37</xdr:row>
      <xdr:rowOff>0</xdr:rowOff>
    </xdr:from>
    <xdr:to>
      <xdr:col>0</xdr:col>
      <xdr:colOff>871538</xdr:colOff>
      <xdr:row>38</xdr:row>
      <xdr:rowOff>0</xdr:rowOff>
    </xdr:to>
    <xdr:pic>
      <xdr:nvPicPr>
        <xdr:cNvPr id="74" name="Obraz 73">
          <a:extLst>
            <a:ext uri="{FF2B5EF4-FFF2-40B4-BE49-F238E27FC236}">
              <a16:creationId xmlns:a16="http://schemas.microsoft.com/office/drawing/2014/main" id="{18743AC0-4D13-2133-7B86-E9AA586FB8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790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38</xdr:row>
      <xdr:rowOff>0</xdr:rowOff>
    </xdr:from>
    <xdr:to>
      <xdr:col>0</xdr:col>
      <xdr:colOff>871538</xdr:colOff>
      <xdr:row>39</xdr:row>
      <xdr:rowOff>0</xdr:rowOff>
    </xdr:to>
    <xdr:pic>
      <xdr:nvPicPr>
        <xdr:cNvPr id="76" name="Obraz 75">
          <a:extLst>
            <a:ext uri="{FF2B5EF4-FFF2-40B4-BE49-F238E27FC236}">
              <a16:creationId xmlns:a16="http://schemas.microsoft.com/office/drawing/2014/main" id="{C104611C-00A7-79AD-5E89-64F04B5B17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867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39</xdr:row>
      <xdr:rowOff>0</xdr:rowOff>
    </xdr:from>
    <xdr:to>
      <xdr:col>0</xdr:col>
      <xdr:colOff>871538</xdr:colOff>
      <xdr:row>40</xdr:row>
      <xdr:rowOff>0</xdr:rowOff>
    </xdr:to>
    <xdr:pic>
      <xdr:nvPicPr>
        <xdr:cNvPr id="78" name="Obraz 77">
          <a:extLst>
            <a:ext uri="{FF2B5EF4-FFF2-40B4-BE49-F238E27FC236}">
              <a16:creationId xmlns:a16="http://schemas.microsoft.com/office/drawing/2014/main" id="{AF0E9BB3-E6E4-5F74-3A0F-C5610CC7B2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2943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40</xdr:row>
      <xdr:rowOff>0</xdr:rowOff>
    </xdr:from>
    <xdr:to>
      <xdr:col>0</xdr:col>
      <xdr:colOff>871538</xdr:colOff>
      <xdr:row>41</xdr:row>
      <xdr:rowOff>0</xdr:rowOff>
    </xdr:to>
    <xdr:pic>
      <xdr:nvPicPr>
        <xdr:cNvPr id="80" name="Obraz 79">
          <a:extLst>
            <a:ext uri="{FF2B5EF4-FFF2-40B4-BE49-F238E27FC236}">
              <a16:creationId xmlns:a16="http://schemas.microsoft.com/office/drawing/2014/main" id="{170DEEB6-9954-ABF0-1E6D-36171CBFD9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19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41</xdr:row>
      <xdr:rowOff>0</xdr:rowOff>
    </xdr:from>
    <xdr:to>
      <xdr:col>0</xdr:col>
      <xdr:colOff>871538</xdr:colOff>
      <xdr:row>42</xdr:row>
      <xdr:rowOff>0</xdr:rowOff>
    </xdr:to>
    <xdr:pic>
      <xdr:nvPicPr>
        <xdr:cNvPr id="82" name="Obraz 81">
          <a:extLst>
            <a:ext uri="{FF2B5EF4-FFF2-40B4-BE49-F238E27FC236}">
              <a16:creationId xmlns:a16="http://schemas.microsoft.com/office/drawing/2014/main" id="{16269769-F13E-4F7C-12F6-5BE6BD1FC9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095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42</xdr:row>
      <xdr:rowOff>0</xdr:rowOff>
    </xdr:from>
    <xdr:to>
      <xdr:col>0</xdr:col>
      <xdr:colOff>871538</xdr:colOff>
      <xdr:row>43</xdr:row>
      <xdr:rowOff>0</xdr:rowOff>
    </xdr:to>
    <xdr:pic>
      <xdr:nvPicPr>
        <xdr:cNvPr id="84" name="Obraz 83">
          <a:extLst>
            <a:ext uri="{FF2B5EF4-FFF2-40B4-BE49-F238E27FC236}">
              <a16:creationId xmlns:a16="http://schemas.microsoft.com/office/drawing/2014/main" id="{78E91FDB-2B37-CC7E-663B-3BA9090C35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171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43</xdr:row>
      <xdr:rowOff>0</xdr:rowOff>
    </xdr:from>
    <xdr:to>
      <xdr:col>0</xdr:col>
      <xdr:colOff>871538</xdr:colOff>
      <xdr:row>44</xdr:row>
      <xdr:rowOff>0</xdr:rowOff>
    </xdr:to>
    <xdr:pic>
      <xdr:nvPicPr>
        <xdr:cNvPr id="86" name="Obraz 85">
          <a:extLst>
            <a:ext uri="{FF2B5EF4-FFF2-40B4-BE49-F238E27FC236}">
              <a16:creationId xmlns:a16="http://schemas.microsoft.com/office/drawing/2014/main" id="{9CCB52C6-B082-BF80-2D76-52D5D56A76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248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44</xdr:row>
      <xdr:rowOff>0</xdr:rowOff>
    </xdr:from>
    <xdr:to>
      <xdr:col>0</xdr:col>
      <xdr:colOff>871538</xdr:colOff>
      <xdr:row>45</xdr:row>
      <xdr:rowOff>0</xdr:rowOff>
    </xdr:to>
    <xdr:pic>
      <xdr:nvPicPr>
        <xdr:cNvPr id="88" name="Obraz 87">
          <a:extLst>
            <a:ext uri="{FF2B5EF4-FFF2-40B4-BE49-F238E27FC236}">
              <a16:creationId xmlns:a16="http://schemas.microsoft.com/office/drawing/2014/main" id="{69FEFD8C-93A3-0005-634D-A60A10E75F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324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45</xdr:row>
      <xdr:rowOff>0</xdr:rowOff>
    </xdr:from>
    <xdr:to>
      <xdr:col>0</xdr:col>
      <xdr:colOff>871538</xdr:colOff>
      <xdr:row>46</xdr:row>
      <xdr:rowOff>0</xdr:rowOff>
    </xdr:to>
    <xdr:pic>
      <xdr:nvPicPr>
        <xdr:cNvPr id="90" name="Obraz 89">
          <a:extLst>
            <a:ext uri="{FF2B5EF4-FFF2-40B4-BE49-F238E27FC236}">
              <a16:creationId xmlns:a16="http://schemas.microsoft.com/office/drawing/2014/main" id="{DFFE68F3-C51B-66A2-7E98-404CBF9DC3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00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46</xdr:row>
      <xdr:rowOff>0</xdr:rowOff>
    </xdr:from>
    <xdr:to>
      <xdr:col>0</xdr:col>
      <xdr:colOff>871538</xdr:colOff>
      <xdr:row>47</xdr:row>
      <xdr:rowOff>0</xdr:rowOff>
    </xdr:to>
    <xdr:pic>
      <xdr:nvPicPr>
        <xdr:cNvPr id="92" name="Obraz 91">
          <a:extLst>
            <a:ext uri="{FF2B5EF4-FFF2-40B4-BE49-F238E27FC236}">
              <a16:creationId xmlns:a16="http://schemas.microsoft.com/office/drawing/2014/main" id="{39C61768-F2AD-ABB8-0D03-D3F1C28FB7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476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47</xdr:row>
      <xdr:rowOff>0</xdr:rowOff>
    </xdr:from>
    <xdr:to>
      <xdr:col>0</xdr:col>
      <xdr:colOff>871538</xdr:colOff>
      <xdr:row>48</xdr:row>
      <xdr:rowOff>0</xdr:rowOff>
    </xdr:to>
    <xdr:pic>
      <xdr:nvPicPr>
        <xdr:cNvPr id="94" name="Obraz 93">
          <a:extLst>
            <a:ext uri="{FF2B5EF4-FFF2-40B4-BE49-F238E27FC236}">
              <a16:creationId xmlns:a16="http://schemas.microsoft.com/office/drawing/2014/main" id="{6F335900-6BE2-A272-716F-41AB2004C8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552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48</xdr:row>
      <xdr:rowOff>0</xdr:rowOff>
    </xdr:from>
    <xdr:to>
      <xdr:col>0</xdr:col>
      <xdr:colOff>871538</xdr:colOff>
      <xdr:row>49</xdr:row>
      <xdr:rowOff>0</xdr:rowOff>
    </xdr:to>
    <xdr:pic>
      <xdr:nvPicPr>
        <xdr:cNvPr id="96" name="Obraz 95">
          <a:extLst>
            <a:ext uri="{FF2B5EF4-FFF2-40B4-BE49-F238E27FC236}">
              <a16:creationId xmlns:a16="http://schemas.microsoft.com/office/drawing/2014/main" id="{4C40852F-98D0-61B7-2712-E655BA7FAD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629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49</xdr:row>
      <xdr:rowOff>0</xdr:rowOff>
    </xdr:from>
    <xdr:to>
      <xdr:col>0</xdr:col>
      <xdr:colOff>871538</xdr:colOff>
      <xdr:row>50</xdr:row>
      <xdr:rowOff>0</xdr:rowOff>
    </xdr:to>
    <xdr:pic>
      <xdr:nvPicPr>
        <xdr:cNvPr id="98" name="Obraz 97">
          <a:extLst>
            <a:ext uri="{FF2B5EF4-FFF2-40B4-BE49-F238E27FC236}">
              <a16:creationId xmlns:a16="http://schemas.microsoft.com/office/drawing/2014/main" id="{EE7894D5-A42D-DF11-E51A-2907B2E320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05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50</xdr:row>
      <xdr:rowOff>0</xdr:rowOff>
    </xdr:from>
    <xdr:to>
      <xdr:col>0</xdr:col>
      <xdr:colOff>871538</xdr:colOff>
      <xdr:row>51</xdr:row>
      <xdr:rowOff>0</xdr:rowOff>
    </xdr:to>
    <xdr:pic>
      <xdr:nvPicPr>
        <xdr:cNvPr id="100" name="Obraz 99">
          <a:extLst>
            <a:ext uri="{FF2B5EF4-FFF2-40B4-BE49-F238E27FC236}">
              <a16:creationId xmlns:a16="http://schemas.microsoft.com/office/drawing/2014/main" id="{BD941F01-64A6-CEB6-3A6F-2B937594F1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781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51</xdr:row>
      <xdr:rowOff>0</xdr:rowOff>
    </xdr:from>
    <xdr:to>
      <xdr:col>0</xdr:col>
      <xdr:colOff>871538</xdr:colOff>
      <xdr:row>52</xdr:row>
      <xdr:rowOff>0</xdr:rowOff>
    </xdr:to>
    <xdr:pic>
      <xdr:nvPicPr>
        <xdr:cNvPr id="102" name="Obraz 101">
          <a:extLst>
            <a:ext uri="{FF2B5EF4-FFF2-40B4-BE49-F238E27FC236}">
              <a16:creationId xmlns:a16="http://schemas.microsoft.com/office/drawing/2014/main" id="{943B6A43-67E9-8E25-C862-44D42A90EF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857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52</xdr:row>
      <xdr:rowOff>0</xdr:rowOff>
    </xdr:from>
    <xdr:to>
      <xdr:col>0</xdr:col>
      <xdr:colOff>871538</xdr:colOff>
      <xdr:row>53</xdr:row>
      <xdr:rowOff>0</xdr:rowOff>
    </xdr:to>
    <xdr:pic>
      <xdr:nvPicPr>
        <xdr:cNvPr id="104" name="Obraz 103">
          <a:extLst>
            <a:ext uri="{FF2B5EF4-FFF2-40B4-BE49-F238E27FC236}">
              <a16:creationId xmlns:a16="http://schemas.microsoft.com/office/drawing/2014/main" id="{C4608E20-2B02-E887-00EB-8D84CB0B1B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3933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53</xdr:row>
      <xdr:rowOff>0</xdr:rowOff>
    </xdr:from>
    <xdr:to>
      <xdr:col>0</xdr:col>
      <xdr:colOff>871538</xdr:colOff>
      <xdr:row>54</xdr:row>
      <xdr:rowOff>0</xdr:rowOff>
    </xdr:to>
    <xdr:pic>
      <xdr:nvPicPr>
        <xdr:cNvPr id="106" name="Obraz 105">
          <a:extLst>
            <a:ext uri="{FF2B5EF4-FFF2-40B4-BE49-F238E27FC236}">
              <a16:creationId xmlns:a16="http://schemas.microsoft.com/office/drawing/2014/main" id="{01512547-638F-43F6-323A-71C73BEA32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10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54</xdr:row>
      <xdr:rowOff>0</xdr:rowOff>
    </xdr:from>
    <xdr:to>
      <xdr:col>0</xdr:col>
      <xdr:colOff>871538</xdr:colOff>
      <xdr:row>55</xdr:row>
      <xdr:rowOff>0</xdr:rowOff>
    </xdr:to>
    <xdr:pic>
      <xdr:nvPicPr>
        <xdr:cNvPr id="108" name="Obraz 107">
          <a:extLst>
            <a:ext uri="{FF2B5EF4-FFF2-40B4-BE49-F238E27FC236}">
              <a16:creationId xmlns:a16="http://schemas.microsoft.com/office/drawing/2014/main" id="{E536593A-785C-B9DC-E204-1F19B4D3DD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086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55</xdr:row>
      <xdr:rowOff>0</xdr:rowOff>
    </xdr:from>
    <xdr:to>
      <xdr:col>0</xdr:col>
      <xdr:colOff>871538</xdr:colOff>
      <xdr:row>56</xdr:row>
      <xdr:rowOff>0</xdr:rowOff>
    </xdr:to>
    <xdr:pic>
      <xdr:nvPicPr>
        <xdr:cNvPr id="110" name="Obraz 109">
          <a:extLst>
            <a:ext uri="{FF2B5EF4-FFF2-40B4-BE49-F238E27FC236}">
              <a16:creationId xmlns:a16="http://schemas.microsoft.com/office/drawing/2014/main" id="{F5064F27-F772-8F62-F0D0-1DF16DB178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162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56</xdr:row>
      <xdr:rowOff>0</xdr:rowOff>
    </xdr:from>
    <xdr:to>
      <xdr:col>0</xdr:col>
      <xdr:colOff>871538</xdr:colOff>
      <xdr:row>57</xdr:row>
      <xdr:rowOff>0</xdr:rowOff>
    </xdr:to>
    <xdr:pic>
      <xdr:nvPicPr>
        <xdr:cNvPr id="112" name="Obraz 111">
          <a:extLst>
            <a:ext uri="{FF2B5EF4-FFF2-40B4-BE49-F238E27FC236}">
              <a16:creationId xmlns:a16="http://schemas.microsoft.com/office/drawing/2014/main" id="{7F764027-7B0C-3014-B23E-D05169D323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238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57</xdr:row>
      <xdr:rowOff>0</xdr:rowOff>
    </xdr:from>
    <xdr:to>
      <xdr:col>0</xdr:col>
      <xdr:colOff>871538</xdr:colOff>
      <xdr:row>58</xdr:row>
      <xdr:rowOff>0</xdr:rowOff>
    </xdr:to>
    <xdr:pic>
      <xdr:nvPicPr>
        <xdr:cNvPr id="114" name="Obraz 113">
          <a:extLst>
            <a:ext uri="{FF2B5EF4-FFF2-40B4-BE49-F238E27FC236}">
              <a16:creationId xmlns:a16="http://schemas.microsoft.com/office/drawing/2014/main" id="{ACC267D5-1C0A-AB22-74A5-6884582A31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14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58</xdr:row>
      <xdr:rowOff>0</xdr:rowOff>
    </xdr:from>
    <xdr:to>
      <xdr:col>0</xdr:col>
      <xdr:colOff>871538</xdr:colOff>
      <xdr:row>59</xdr:row>
      <xdr:rowOff>0</xdr:rowOff>
    </xdr:to>
    <xdr:pic>
      <xdr:nvPicPr>
        <xdr:cNvPr id="116" name="Obraz 115">
          <a:extLst>
            <a:ext uri="{FF2B5EF4-FFF2-40B4-BE49-F238E27FC236}">
              <a16:creationId xmlns:a16="http://schemas.microsoft.com/office/drawing/2014/main" id="{C5EC1C3A-13A2-C8BF-DA13-9C9B476116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391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59</xdr:row>
      <xdr:rowOff>0</xdr:rowOff>
    </xdr:from>
    <xdr:to>
      <xdr:col>0</xdr:col>
      <xdr:colOff>871538</xdr:colOff>
      <xdr:row>60</xdr:row>
      <xdr:rowOff>0</xdr:rowOff>
    </xdr:to>
    <xdr:pic>
      <xdr:nvPicPr>
        <xdr:cNvPr id="118" name="Obraz 117">
          <a:extLst>
            <a:ext uri="{FF2B5EF4-FFF2-40B4-BE49-F238E27FC236}">
              <a16:creationId xmlns:a16="http://schemas.microsoft.com/office/drawing/2014/main" id="{C3D179B5-0AA1-37C3-5CD0-CEEB7DB306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467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60</xdr:row>
      <xdr:rowOff>0</xdr:rowOff>
    </xdr:from>
    <xdr:to>
      <xdr:col>0</xdr:col>
      <xdr:colOff>871538</xdr:colOff>
      <xdr:row>61</xdr:row>
      <xdr:rowOff>0</xdr:rowOff>
    </xdr:to>
    <xdr:pic>
      <xdr:nvPicPr>
        <xdr:cNvPr id="120" name="Obraz 119">
          <a:extLst>
            <a:ext uri="{FF2B5EF4-FFF2-40B4-BE49-F238E27FC236}">
              <a16:creationId xmlns:a16="http://schemas.microsoft.com/office/drawing/2014/main" id="{EE6515D9-30D5-CEB7-FA00-DD4341C52D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543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61</xdr:row>
      <xdr:rowOff>0</xdr:rowOff>
    </xdr:from>
    <xdr:to>
      <xdr:col>0</xdr:col>
      <xdr:colOff>871538</xdr:colOff>
      <xdr:row>62</xdr:row>
      <xdr:rowOff>0</xdr:rowOff>
    </xdr:to>
    <xdr:pic>
      <xdr:nvPicPr>
        <xdr:cNvPr id="122" name="Obraz 121">
          <a:extLst>
            <a:ext uri="{FF2B5EF4-FFF2-40B4-BE49-F238E27FC236}">
              <a16:creationId xmlns:a16="http://schemas.microsoft.com/office/drawing/2014/main" id="{74EEA97D-1394-1703-1F55-E4F573653D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19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62</xdr:row>
      <xdr:rowOff>0</xdr:rowOff>
    </xdr:from>
    <xdr:to>
      <xdr:col>0</xdr:col>
      <xdr:colOff>871538</xdr:colOff>
      <xdr:row>63</xdr:row>
      <xdr:rowOff>0</xdr:rowOff>
    </xdr:to>
    <xdr:pic>
      <xdr:nvPicPr>
        <xdr:cNvPr id="124" name="Obraz 123">
          <a:extLst>
            <a:ext uri="{FF2B5EF4-FFF2-40B4-BE49-F238E27FC236}">
              <a16:creationId xmlns:a16="http://schemas.microsoft.com/office/drawing/2014/main" id="{44DF00ED-3380-7559-E3B8-23A10A6FAC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695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63</xdr:row>
      <xdr:rowOff>0</xdr:rowOff>
    </xdr:from>
    <xdr:to>
      <xdr:col>0</xdr:col>
      <xdr:colOff>871538</xdr:colOff>
      <xdr:row>64</xdr:row>
      <xdr:rowOff>0</xdr:rowOff>
    </xdr:to>
    <xdr:pic>
      <xdr:nvPicPr>
        <xdr:cNvPr id="126" name="Obraz 125">
          <a:extLst>
            <a:ext uri="{FF2B5EF4-FFF2-40B4-BE49-F238E27FC236}">
              <a16:creationId xmlns:a16="http://schemas.microsoft.com/office/drawing/2014/main" id="{4DDA1F8F-2B6C-B39D-9E0E-9D5F6288D4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772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64</xdr:row>
      <xdr:rowOff>0</xdr:rowOff>
    </xdr:from>
    <xdr:to>
      <xdr:col>0</xdr:col>
      <xdr:colOff>871538</xdr:colOff>
      <xdr:row>65</xdr:row>
      <xdr:rowOff>0</xdr:rowOff>
    </xdr:to>
    <xdr:pic>
      <xdr:nvPicPr>
        <xdr:cNvPr id="128" name="Obraz 127">
          <a:extLst>
            <a:ext uri="{FF2B5EF4-FFF2-40B4-BE49-F238E27FC236}">
              <a16:creationId xmlns:a16="http://schemas.microsoft.com/office/drawing/2014/main" id="{32DD0937-4088-A37F-B92D-1943A1E53C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848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65</xdr:row>
      <xdr:rowOff>0</xdr:rowOff>
    </xdr:from>
    <xdr:to>
      <xdr:col>0</xdr:col>
      <xdr:colOff>871538</xdr:colOff>
      <xdr:row>66</xdr:row>
      <xdr:rowOff>0</xdr:rowOff>
    </xdr:to>
    <xdr:pic>
      <xdr:nvPicPr>
        <xdr:cNvPr id="130" name="Obraz 129">
          <a:extLst>
            <a:ext uri="{FF2B5EF4-FFF2-40B4-BE49-F238E27FC236}">
              <a16:creationId xmlns:a16="http://schemas.microsoft.com/office/drawing/2014/main" id="{80DE57DB-172B-0592-12B9-9ADBC8CF31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4924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66</xdr:row>
      <xdr:rowOff>0</xdr:rowOff>
    </xdr:from>
    <xdr:to>
      <xdr:col>0</xdr:col>
      <xdr:colOff>871538</xdr:colOff>
      <xdr:row>67</xdr:row>
      <xdr:rowOff>0</xdr:rowOff>
    </xdr:to>
    <xdr:pic>
      <xdr:nvPicPr>
        <xdr:cNvPr id="132" name="Obraz 131">
          <a:extLst>
            <a:ext uri="{FF2B5EF4-FFF2-40B4-BE49-F238E27FC236}">
              <a16:creationId xmlns:a16="http://schemas.microsoft.com/office/drawing/2014/main" id="{DA893FBC-0F8F-E966-0E8D-8915AF7870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00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67</xdr:row>
      <xdr:rowOff>0</xdr:rowOff>
    </xdr:from>
    <xdr:to>
      <xdr:col>0</xdr:col>
      <xdr:colOff>871538</xdr:colOff>
      <xdr:row>68</xdr:row>
      <xdr:rowOff>0</xdr:rowOff>
    </xdr:to>
    <xdr:pic>
      <xdr:nvPicPr>
        <xdr:cNvPr id="134" name="Obraz 133">
          <a:extLst>
            <a:ext uri="{FF2B5EF4-FFF2-40B4-BE49-F238E27FC236}">
              <a16:creationId xmlns:a16="http://schemas.microsoft.com/office/drawing/2014/main" id="{3735AC0D-E278-F03C-CF42-9B2935361E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076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68</xdr:row>
      <xdr:rowOff>0</xdr:rowOff>
    </xdr:from>
    <xdr:to>
      <xdr:col>0</xdr:col>
      <xdr:colOff>871538</xdr:colOff>
      <xdr:row>69</xdr:row>
      <xdr:rowOff>0</xdr:rowOff>
    </xdr:to>
    <xdr:pic>
      <xdr:nvPicPr>
        <xdr:cNvPr id="136" name="Obraz 135">
          <a:extLst>
            <a:ext uri="{FF2B5EF4-FFF2-40B4-BE49-F238E27FC236}">
              <a16:creationId xmlns:a16="http://schemas.microsoft.com/office/drawing/2014/main" id="{B2E86C3C-75BE-7C29-31A7-C320FC05C3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153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69</xdr:row>
      <xdr:rowOff>0</xdr:rowOff>
    </xdr:from>
    <xdr:to>
      <xdr:col>0</xdr:col>
      <xdr:colOff>871538</xdr:colOff>
      <xdr:row>70</xdr:row>
      <xdr:rowOff>0</xdr:rowOff>
    </xdr:to>
    <xdr:pic>
      <xdr:nvPicPr>
        <xdr:cNvPr id="138" name="Obraz 137">
          <a:extLst>
            <a:ext uri="{FF2B5EF4-FFF2-40B4-BE49-F238E27FC236}">
              <a16:creationId xmlns:a16="http://schemas.microsoft.com/office/drawing/2014/main" id="{EEBC3E9D-7B74-7B95-8238-DFE356C05A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229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70</xdr:row>
      <xdr:rowOff>0</xdr:rowOff>
    </xdr:from>
    <xdr:to>
      <xdr:col>0</xdr:col>
      <xdr:colOff>871538</xdr:colOff>
      <xdr:row>71</xdr:row>
      <xdr:rowOff>0</xdr:rowOff>
    </xdr:to>
    <xdr:pic>
      <xdr:nvPicPr>
        <xdr:cNvPr id="140" name="Obraz 139">
          <a:extLst>
            <a:ext uri="{FF2B5EF4-FFF2-40B4-BE49-F238E27FC236}">
              <a16:creationId xmlns:a16="http://schemas.microsoft.com/office/drawing/2014/main" id="{6455D189-087E-C197-C288-C76BCBCA42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305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71</xdr:row>
      <xdr:rowOff>0</xdr:rowOff>
    </xdr:from>
    <xdr:to>
      <xdr:col>0</xdr:col>
      <xdr:colOff>871538</xdr:colOff>
      <xdr:row>72</xdr:row>
      <xdr:rowOff>0</xdr:rowOff>
    </xdr:to>
    <xdr:pic>
      <xdr:nvPicPr>
        <xdr:cNvPr id="142" name="Obraz 141">
          <a:extLst>
            <a:ext uri="{FF2B5EF4-FFF2-40B4-BE49-F238E27FC236}">
              <a16:creationId xmlns:a16="http://schemas.microsoft.com/office/drawing/2014/main" id="{31F3AAC5-4189-F964-20C4-7652C6C59E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381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72</xdr:row>
      <xdr:rowOff>0</xdr:rowOff>
    </xdr:from>
    <xdr:to>
      <xdr:col>0</xdr:col>
      <xdr:colOff>871538</xdr:colOff>
      <xdr:row>73</xdr:row>
      <xdr:rowOff>0</xdr:rowOff>
    </xdr:to>
    <xdr:pic>
      <xdr:nvPicPr>
        <xdr:cNvPr id="144" name="Obraz 143">
          <a:extLst>
            <a:ext uri="{FF2B5EF4-FFF2-40B4-BE49-F238E27FC236}">
              <a16:creationId xmlns:a16="http://schemas.microsoft.com/office/drawing/2014/main" id="{772E64ED-C0AE-071C-1673-868CA1578A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457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73</xdr:row>
      <xdr:rowOff>0</xdr:rowOff>
    </xdr:from>
    <xdr:to>
      <xdr:col>0</xdr:col>
      <xdr:colOff>871538</xdr:colOff>
      <xdr:row>74</xdr:row>
      <xdr:rowOff>0</xdr:rowOff>
    </xdr:to>
    <xdr:pic>
      <xdr:nvPicPr>
        <xdr:cNvPr id="146" name="Obraz 145">
          <a:extLst>
            <a:ext uri="{FF2B5EF4-FFF2-40B4-BE49-F238E27FC236}">
              <a16:creationId xmlns:a16="http://schemas.microsoft.com/office/drawing/2014/main" id="{18F28FC1-A2D6-14BE-CA8C-3C9CC203CF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534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74</xdr:row>
      <xdr:rowOff>0</xdr:rowOff>
    </xdr:from>
    <xdr:to>
      <xdr:col>0</xdr:col>
      <xdr:colOff>871538</xdr:colOff>
      <xdr:row>75</xdr:row>
      <xdr:rowOff>0</xdr:rowOff>
    </xdr:to>
    <xdr:pic>
      <xdr:nvPicPr>
        <xdr:cNvPr id="148" name="Obraz 147">
          <a:extLst>
            <a:ext uri="{FF2B5EF4-FFF2-40B4-BE49-F238E27FC236}">
              <a16:creationId xmlns:a16="http://schemas.microsoft.com/office/drawing/2014/main" id="{BDF0BD17-AB39-6BB2-35B3-6506346887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610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75</xdr:row>
      <xdr:rowOff>0</xdr:rowOff>
    </xdr:from>
    <xdr:to>
      <xdr:col>0</xdr:col>
      <xdr:colOff>871538</xdr:colOff>
      <xdr:row>76</xdr:row>
      <xdr:rowOff>0</xdr:rowOff>
    </xdr:to>
    <xdr:pic>
      <xdr:nvPicPr>
        <xdr:cNvPr id="150" name="Obraz 149">
          <a:extLst>
            <a:ext uri="{FF2B5EF4-FFF2-40B4-BE49-F238E27FC236}">
              <a16:creationId xmlns:a16="http://schemas.microsoft.com/office/drawing/2014/main" id="{B30175E1-6E05-3FCF-3955-4B70694DFB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686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76</xdr:row>
      <xdr:rowOff>0</xdr:rowOff>
    </xdr:from>
    <xdr:to>
      <xdr:col>0</xdr:col>
      <xdr:colOff>871538</xdr:colOff>
      <xdr:row>77</xdr:row>
      <xdr:rowOff>0</xdr:rowOff>
    </xdr:to>
    <xdr:pic>
      <xdr:nvPicPr>
        <xdr:cNvPr id="152" name="Obraz 151">
          <a:extLst>
            <a:ext uri="{FF2B5EF4-FFF2-40B4-BE49-F238E27FC236}">
              <a16:creationId xmlns:a16="http://schemas.microsoft.com/office/drawing/2014/main" id="{02C0A8F5-2F49-DCF5-30E1-32BA60C2B3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762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77</xdr:row>
      <xdr:rowOff>0</xdr:rowOff>
    </xdr:from>
    <xdr:to>
      <xdr:col>0</xdr:col>
      <xdr:colOff>871538</xdr:colOff>
      <xdr:row>78</xdr:row>
      <xdr:rowOff>0</xdr:rowOff>
    </xdr:to>
    <xdr:pic>
      <xdr:nvPicPr>
        <xdr:cNvPr id="154" name="Obraz 153">
          <a:extLst>
            <a:ext uri="{FF2B5EF4-FFF2-40B4-BE49-F238E27FC236}">
              <a16:creationId xmlns:a16="http://schemas.microsoft.com/office/drawing/2014/main" id="{C476C3F9-5272-ABBD-D6AF-FB05EE6CBF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838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78</xdr:row>
      <xdr:rowOff>0</xdr:rowOff>
    </xdr:from>
    <xdr:to>
      <xdr:col>0</xdr:col>
      <xdr:colOff>871538</xdr:colOff>
      <xdr:row>79</xdr:row>
      <xdr:rowOff>0</xdr:rowOff>
    </xdr:to>
    <xdr:pic>
      <xdr:nvPicPr>
        <xdr:cNvPr id="156" name="Obraz 155">
          <a:extLst>
            <a:ext uri="{FF2B5EF4-FFF2-40B4-BE49-F238E27FC236}">
              <a16:creationId xmlns:a16="http://schemas.microsoft.com/office/drawing/2014/main" id="{96F8C7E8-364E-C5D0-FAD3-718EED33CB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15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79</xdr:row>
      <xdr:rowOff>0</xdr:rowOff>
    </xdr:from>
    <xdr:to>
      <xdr:col>0</xdr:col>
      <xdr:colOff>871538</xdr:colOff>
      <xdr:row>80</xdr:row>
      <xdr:rowOff>0</xdr:rowOff>
    </xdr:to>
    <xdr:pic>
      <xdr:nvPicPr>
        <xdr:cNvPr id="158" name="Obraz 157">
          <a:extLst>
            <a:ext uri="{FF2B5EF4-FFF2-40B4-BE49-F238E27FC236}">
              <a16:creationId xmlns:a16="http://schemas.microsoft.com/office/drawing/2014/main" id="{2DE0E69D-2972-8D72-E2CD-41E7BC95B3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5991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80</xdr:row>
      <xdr:rowOff>0</xdr:rowOff>
    </xdr:from>
    <xdr:to>
      <xdr:col>0</xdr:col>
      <xdr:colOff>871538</xdr:colOff>
      <xdr:row>81</xdr:row>
      <xdr:rowOff>0</xdr:rowOff>
    </xdr:to>
    <xdr:pic>
      <xdr:nvPicPr>
        <xdr:cNvPr id="160" name="Obraz 159">
          <a:extLst>
            <a:ext uri="{FF2B5EF4-FFF2-40B4-BE49-F238E27FC236}">
              <a16:creationId xmlns:a16="http://schemas.microsoft.com/office/drawing/2014/main" id="{D1ECEF59-357C-1A69-BE8C-AABA26B1CE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067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81</xdr:row>
      <xdr:rowOff>0</xdr:rowOff>
    </xdr:from>
    <xdr:to>
      <xdr:col>0</xdr:col>
      <xdr:colOff>871538</xdr:colOff>
      <xdr:row>82</xdr:row>
      <xdr:rowOff>0</xdr:rowOff>
    </xdr:to>
    <xdr:pic>
      <xdr:nvPicPr>
        <xdr:cNvPr id="162" name="Obraz 161">
          <a:extLst>
            <a:ext uri="{FF2B5EF4-FFF2-40B4-BE49-F238E27FC236}">
              <a16:creationId xmlns:a16="http://schemas.microsoft.com/office/drawing/2014/main" id="{CFE66B99-8081-1A0E-3ACA-3F84E19CA5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143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82</xdr:row>
      <xdr:rowOff>0</xdr:rowOff>
    </xdr:from>
    <xdr:to>
      <xdr:col>0</xdr:col>
      <xdr:colOff>871538</xdr:colOff>
      <xdr:row>83</xdr:row>
      <xdr:rowOff>0</xdr:rowOff>
    </xdr:to>
    <xdr:pic>
      <xdr:nvPicPr>
        <xdr:cNvPr id="164" name="Obraz 163">
          <a:extLst>
            <a:ext uri="{FF2B5EF4-FFF2-40B4-BE49-F238E27FC236}">
              <a16:creationId xmlns:a16="http://schemas.microsoft.com/office/drawing/2014/main" id="{B1E37613-6B49-D198-0142-ED9E084400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19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83</xdr:row>
      <xdr:rowOff>0</xdr:rowOff>
    </xdr:from>
    <xdr:to>
      <xdr:col>0</xdr:col>
      <xdr:colOff>871538</xdr:colOff>
      <xdr:row>84</xdr:row>
      <xdr:rowOff>0</xdr:rowOff>
    </xdr:to>
    <xdr:pic>
      <xdr:nvPicPr>
        <xdr:cNvPr id="166" name="Obraz 165">
          <a:extLst>
            <a:ext uri="{FF2B5EF4-FFF2-40B4-BE49-F238E27FC236}">
              <a16:creationId xmlns:a16="http://schemas.microsoft.com/office/drawing/2014/main" id="{7503909C-F24B-A70C-E4CC-B6875991C5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296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84</xdr:row>
      <xdr:rowOff>0</xdr:rowOff>
    </xdr:from>
    <xdr:to>
      <xdr:col>0</xdr:col>
      <xdr:colOff>871538</xdr:colOff>
      <xdr:row>85</xdr:row>
      <xdr:rowOff>0</xdr:rowOff>
    </xdr:to>
    <xdr:pic>
      <xdr:nvPicPr>
        <xdr:cNvPr id="168" name="Obraz 167">
          <a:extLst>
            <a:ext uri="{FF2B5EF4-FFF2-40B4-BE49-F238E27FC236}">
              <a16:creationId xmlns:a16="http://schemas.microsoft.com/office/drawing/2014/main" id="{EEDC5605-2033-C16F-B9F0-D0CE396C0F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372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85</xdr:row>
      <xdr:rowOff>0</xdr:rowOff>
    </xdr:from>
    <xdr:to>
      <xdr:col>0</xdr:col>
      <xdr:colOff>871538</xdr:colOff>
      <xdr:row>86</xdr:row>
      <xdr:rowOff>0</xdr:rowOff>
    </xdr:to>
    <xdr:pic>
      <xdr:nvPicPr>
        <xdr:cNvPr id="170" name="Obraz 169">
          <a:extLst>
            <a:ext uri="{FF2B5EF4-FFF2-40B4-BE49-F238E27FC236}">
              <a16:creationId xmlns:a16="http://schemas.microsoft.com/office/drawing/2014/main" id="{4B17936E-B722-0A11-64C7-245DDA49B4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448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86</xdr:row>
      <xdr:rowOff>0</xdr:rowOff>
    </xdr:from>
    <xdr:to>
      <xdr:col>0</xdr:col>
      <xdr:colOff>871538</xdr:colOff>
      <xdr:row>87</xdr:row>
      <xdr:rowOff>0</xdr:rowOff>
    </xdr:to>
    <xdr:pic>
      <xdr:nvPicPr>
        <xdr:cNvPr id="172" name="Obraz 171">
          <a:extLst>
            <a:ext uri="{FF2B5EF4-FFF2-40B4-BE49-F238E27FC236}">
              <a16:creationId xmlns:a16="http://schemas.microsoft.com/office/drawing/2014/main" id="{2204F8D9-5A12-4E84-A34C-1CDD894082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524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87</xdr:row>
      <xdr:rowOff>0</xdr:rowOff>
    </xdr:from>
    <xdr:to>
      <xdr:col>0</xdr:col>
      <xdr:colOff>871538</xdr:colOff>
      <xdr:row>88</xdr:row>
      <xdr:rowOff>0</xdr:rowOff>
    </xdr:to>
    <xdr:pic>
      <xdr:nvPicPr>
        <xdr:cNvPr id="174" name="Obraz 173">
          <a:extLst>
            <a:ext uri="{FF2B5EF4-FFF2-40B4-BE49-F238E27FC236}">
              <a16:creationId xmlns:a16="http://schemas.microsoft.com/office/drawing/2014/main" id="{08E90C46-25AC-8932-EBBB-DFB8C2C4C1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00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88</xdr:row>
      <xdr:rowOff>0</xdr:rowOff>
    </xdr:from>
    <xdr:to>
      <xdr:col>0</xdr:col>
      <xdr:colOff>871538</xdr:colOff>
      <xdr:row>89</xdr:row>
      <xdr:rowOff>0</xdr:rowOff>
    </xdr:to>
    <xdr:pic>
      <xdr:nvPicPr>
        <xdr:cNvPr id="176" name="Obraz 175">
          <a:extLst>
            <a:ext uri="{FF2B5EF4-FFF2-40B4-BE49-F238E27FC236}">
              <a16:creationId xmlns:a16="http://schemas.microsoft.com/office/drawing/2014/main" id="{30D5AAC6-21B2-ACEE-80AA-5A72F350C4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677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89</xdr:row>
      <xdr:rowOff>0</xdr:rowOff>
    </xdr:from>
    <xdr:to>
      <xdr:col>0</xdr:col>
      <xdr:colOff>871538</xdr:colOff>
      <xdr:row>90</xdr:row>
      <xdr:rowOff>0</xdr:rowOff>
    </xdr:to>
    <xdr:pic>
      <xdr:nvPicPr>
        <xdr:cNvPr id="178" name="Obraz 177">
          <a:extLst>
            <a:ext uri="{FF2B5EF4-FFF2-40B4-BE49-F238E27FC236}">
              <a16:creationId xmlns:a16="http://schemas.microsoft.com/office/drawing/2014/main" id="{5B32BC55-B6FC-688B-0E8E-26E4CA64CD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753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90</xdr:row>
      <xdr:rowOff>0</xdr:rowOff>
    </xdr:from>
    <xdr:to>
      <xdr:col>0</xdr:col>
      <xdr:colOff>871538</xdr:colOff>
      <xdr:row>91</xdr:row>
      <xdr:rowOff>0</xdr:rowOff>
    </xdr:to>
    <xdr:pic>
      <xdr:nvPicPr>
        <xdr:cNvPr id="180" name="Obraz 179">
          <a:extLst>
            <a:ext uri="{FF2B5EF4-FFF2-40B4-BE49-F238E27FC236}">
              <a16:creationId xmlns:a16="http://schemas.microsoft.com/office/drawing/2014/main" id="{253C2220-F708-1216-5908-668DEFB011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829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91</xdr:row>
      <xdr:rowOff>0</xdr:rowOff>
    </xdr:from>
    <xdr:to>
      <xdr:col>0</xdr:col>
      <xdr:colOff>871538</xdr:colOff>
      <xdr:row>92</xdr:row>
      <xdr:rowOff>0</xdr:rowOff>
    </xdr:to>
    <xdr:pic>
      <xdr:nvPicPr>
        <xdr:cNvPr id="182" name="Obraz 181">
          <a:extLst>
            <a:ext uri="{FF2B5EF4-FFF2-40B4-BE49-F238E27FC236}">
              <a16:creationId xmlns:a16="http://schemas.microsoft.com/office/drawing/2014/main" id="{66E1EB93-8DB8-BD2A-EB14-17C446C967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05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92</xdr:row>
      <xdr:rowOff>0</xdr:rowOff>
    </xdr:from>
    <xdr:to>
      <xdr:col>0</xdr:col>
      <xdr:colOff>871538</xdr:colOff>
      <xdr:row>93</xdr:row>
      <xdr:rowOff>0</xdr:rowOff>
    </xdr:to>
    <xdr:pic>
      <xdr:nvPicPr>
        <xdr:cNvPr id="184" name="Obraz 183">
          <a:extLst>
            <a:ext uri="{FF2B5EF4-FFF2-40B4-BE49-F238E27FC236}">
              <a16:creationId xmlns:a16="http://schemas.microsoft.com/office/drawing/2014/main" id="{28820A4F-D73A-B4AF-FB42-D3C97540B5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6981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93</xdr:row>
      <xdr:rowOff>0</xdr:rowOff>
    </xdr:from>
    <xdr:to>
      <xdr:col>0</xdr:col>
      <xdr:colOff>871538</xdr:colOff>
      <xdr:row>94</xdr:row>
      <xdr:rowOff>0</xdr:rowOff>
    </xdr:to>
    <xdr:pic>
      <xdr:nvPicPr>
        <xdr:cNvPr id="186" name="Obraz 185">
          <a:extLst>
            <a:ext uri="{FF2B5EF4-FFF2-40B4-BE49-F238E27FC236}">
              <a16:creationId xmlns:a16="http://schemas.microsoft.com/office/drawing/2014/main" id="{578E6AFD-85ED-401D-3206-91ACF416EC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058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94</xdr:row>
      <xdr:rowOff>0</xdr:rowOff>
    </xdr:from>
    <xdr:to>
      <xdr:col>0</xdr:col>
      <xdr:colOff>871538</xdr:colOff>
      <xdr:row>95</xdr:row>
      <xdr:rowOff>0</xdr:rowOff>
    </xdr:to>
    <xdr:pic>
      <xdr:nvPicPr>
        <xdr:cNvPr id="188" name="Obraz 187">
          <a:extLst>
            <a:ext uri="{FF2B5EF4-FFF2-40B4-BE49-F238E27FC236}">
              <a16:creationId xmlns:a16="http://schemas.microsoft.com/office/drawing/2014/main" id="{524E129B-55D2-747F-AB4F-B934FDD518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134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95</xdr:row>
      <xdr:rowOff>0</xdr:rowOff>
    </xdr:from>
    <xdr:to>
      <xdr:col>0</xdr:col>
      <xdr:colOff>871538</xdr:colOff>
      <xdr:row>96</xdr:row>
      <xdr:rowOff>0</xdr:rowOff>
    </xdr:to>
    <xdr:pic>
      <xdr:nvPicPr>
        <xdr:cNvPr id="190" name="Obraz 189">
          <a:extLst>
            <a:ext uri="{FF2B5EF4-FFF2-40B4-BE49-F238E27FC236}">
              <a16:creationId xmlns:a16="http://schemas.microsoft.com/office/drawing/2014/main" id="{328814C0-A8DC-03A0-4DF5-E293F3457C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10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96</xdr:row>
      <xdr:rowOff>0</xdr:rowOff>
    </xdr:from>
    <xdr:to>
      <xdr:col>0</xdr:col>
      <xdr:colOff>871538</xdr:colOff>
      <xdr:row>97</xdr:row>
      <xdr:rowOff>0</xdr:rowOff>
    </xdr:to>
    <xdr:pic>
      <xdr:nvPicPr>
        <xdr:cNvPr id="192" name="Obraz 191">
          <a:extLst>
            <a:ext uri="{FF2B5EF4-FFF2-40B4-BE49-F238E27FC236}">
              <a16:creationId xmlns:a16="http://schemas.microsoft.com/office/drawing/2014/main" id="{4B593C2F-13E3-A430-1CDA-6754CB6746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286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97</xdr:row>
      <xdr:rowOff>0</xdr:rowOff>
    </xdr:from>
    <xdr:to>
      <xdr:col>0</xdr:col>
      <xdr:colOff>871538</xdr:colOff>
      <xdr:row>98</xdr:row>
      <xdr:rowOff>0</xdr:rowOff>
    </xdr:to>
    <xdr:pic>
      <xdr:nvPicPr>
        <xdr:cNvPr id="194" name="Obraz 193">
          <a:extLst>
            <a:ext uri="{FF2B5EF4-FFF2-40B4-BE49-F238E27FC236}">
              <a16:creationId xmlns:a16="http://schemas.microsoft.com/office/drawing/2014/main" id="{1096B279-F2ED-E59C-D7BF-64BA5323A7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362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98</xdr:row>
      <xdr:rowOff>0</xdr:rowOff>
    </xdr:from>
    <xdr:to>
      <xdr:col>0</xdr:col>
      <xdr:colOff>871538</xdr:colOff>
      <xdr:row>99</xdr:row>
      <xdr:rowOff>0</xdr:rowOff>
    </xdr:to>
    <xdr:pic>
      <xdr:nvPicPr>
        <xdr:cNvPr id="196" name="Obraz 195">
          <a:extLst>
            <a:ext uri="{FF2B5EF4-FFF2-40B4-BE49-F238E27FC236}">
              <a16:creationId xmlns:a16="http://schemas.microsoft.com/office/drawing/2014/main" id="{BF8D0723-6A28-CBC2-2AAE-F727924A6C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439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99</xdr:row>
      <xdr:rowOff>0</xdr:rowOff>
    </xdr:from>
    <xdr:to>
      <xdr:col>0</xdr:col>
      <xdr:colOff>871538</xdr:colOff>
      <xdr:row>100</xdr:row>
      <xdr:rowOff>0</xdr:rowOff>
    </xdr:to>
    <xdr:pic>
      <xdr:nvPicPr>
        <xdr:cNvPr id="198" name="Obraz 197">
          <a:extLst>
            <a:ext uri="{FF2B5EF4-FFF2-40B4-BE49-F238E27FC236}">
              <a16:creationId xmlns:a16="http://schemas.microsoft.com/office/drawing/2014/main" id="{06511FCF-AA96-EE86-5DDA-E18DB9A7F7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15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100</xdr:row>
      <xdr:rowOff>0</xdr:rowOff>
    </xdr:from>
    <xdr:to>
      <xdr:col>0</xdr:col>
      <xdr:colOff>871538</xdr:colOff>
      <xdr:row>101</xdr:row>
      <xdr:rowOff>0</xdr:rowOff>
    </xdr:to>
    <xdr:pic>
      <xdr:nvPicPr>
        <xdr:cNvPr id="200" name="Obraz 199">
          <a:extLst>
            <a:ext uri="{FF2B5EF4-FFF2-40B4-BE49-F238E27FC236}">
              <a16:creationId xmlns:a16="http://schemas.microsoft.com/office/drawing/2014/main" id="{69139D2D-A05E-9869-8428-198BFC6305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591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101</xdr:row>
      <xdr:rowOff>0</xdr:rowOff>
    </xdr:from>
    <xdr:to>
      <xdr:col>0</xdr:col>
      <xdr:colOff>871538</xdr:colOff>
      <xdr:row>102</xdr:row>
      <xdr:rowOff>0</xdr:rowOff>
    </xdr:to>
    <xdr:pic>
      <xdr:nvPicPr>
        <xdr:cNvPr id="202" name="Obraz 201">
          <a:extLst>
            <a:ext uri="{FF2B5EF4-FFF2-40B4-BE49-F238E27FC236}">
              <a16:creationId xmlns:a16="http://schemas.microsoft.com/office/drawing/2014/main" id="{B899A338-3CFF-9CF4-3134-240913375E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667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102</xdr:row>
      <xdr:rowOff>0</xdr:rowOff>
    </xdr:from>
    <xdr:to>
      <xdr:col>0</xdr:col>
      <xdr:colOff>871538</xdr:colOff>
      <xdr:row>103</xdr:row>
      <xdr:rowOff>0</xdr:rowOff>
    </xdr:to>
    <xdr:pic>
      <xdr:nvPicPr>
        <xdr:cNvPr id="204" name="Obraz 203">
          <a:extLst>
            <a:ext uri="{FF2B5EF4-FFF2-40B4-BE49-F238E27FC236}">
              <a16:creationId xmlns:a16="http://schemas.microsoft.com/office/drawing/2014/main" id="{9C46E6A8-DE9B-7795-3206-D9FAF4B78F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743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103</xdr:row>
      <xdr:rowOff>0</xdr:rowOff>
    </xdr:from>
    <xdr:to>
      <xdr:col>0</xdr:col>
      <xdr:colOff>871538</xdr:colOff>
      <xdr:row>104</xdr:row>
      <xdr:rowOff>0</xdr:rowOff>
    </xdr:to>
    <xdr:pic>
      <xdr:nvPicPr>
        <xdr:cNvPr id="206" name="Obraz 205">
          <a:extLst>
            <a:ext uri="{FF2B5EF4-FFF2-40B4-BE49-F238E27FC236}">
              <a16:creationId xmlns:a16="http://schemas.microsoft.com/office/drawing/2014/main" id="{C34F6AAF-A253-795F-AD87-4164087AA7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20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104</xdr:row>
      <xdr:rowOff>0</xdr:rowOff>
    </xdr:from>
    <xdr:to>
      <xdr:col>0</xdr:col>
      <xdr:colOff>871538</xdr:colOff>
      <xdr:row>105</xdr:row>
      <xdr:rowOff>0</xdr:rowOff>
    </xdr:to>
    <xdr:pic>
      <xdr:nvPicPr>
        <xdr:cNvPr id="208" name="Obraz 207">
          <a:extLst>
            <a:ext uri="{FF2B5EF4-FFF2-40B4-BE49-F238E27FC236}">
              <a16:creationId xmlns:a16="http://schemas.microsoft.com/office/drawing/2014/main" id="{3AAD1B3B-549A-E0CD-F075-B35AC69BA8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896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105</xdr:row>
      <xdr:rowOff>0</xdr:rowOff>
    </xdr:from>
    <xdr:to>
      <xdr:col>0</xdr:col>
      <xdr:colOff>871538</xdr:colOff>
      <xdr:row>106</xdr:row>
      <xdr:rowOff>0</xdr:rowOff>
    </xdr:to>
    <xdr:pic>
      <xdr:nvPicPr>
        <xdr:cNvPr id="210" name="Obraz 209">
          <a:extLst>
            <a:ext uri="{FF2B5EF4-FFF2-40B4-BE49-F238E27FC236}">
              <a16:creationId xmlns:a16="http://schemas.microsoft.com/office/drawing/2014/main" id="{C5C15C65-853A-F22C-7EC1-1D3936E888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7972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106</xdr:row>
      <xdr:rowOff>0</xdr:rowOff>
    </xdr:from>
    <xdr:to>
      <xdr:col>0</xdr:col>
      <xdr:colOff>871538</xdr:colOff>
      <xdr:row>107</xdr:row>
      <xdr:rowOff>0</xdr:rowOff>
    </xdr:to>
    <xdr:pic>
      <xdr:nvPicPr>
        <xdr:cNvPr id="212" name="Obraz 211">
          <a:extLst>
            <a:ext uri="{FF2B5EF4-FFF2-40B4-BE49-F238E27FC236}">
              <a16:creationId xmlns:a16="http://schemas.microsoft.com/office/drawing/2014/main" id="{F8AD9766-E872-6CCC-C7E4-77BBAFED42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048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107</xdr:row>
      <xdr:rowOff>0</xdr:rowOff>
    </xdr:from>
    <xdr:to>
      <xdr:col>0</xdr:col>
      <xdr:colOff>871538</xdr:colOff>
      <xdr:row>108</xdr:row>
      <xdr:rowOff>0</xdr:rowOff>
    </xdr:to>
    <xdr:pic>
      <xdr:nvPicPr>
        <xdr:cNvPr id="214" name="Obraz 213">
          <a:extLst>
            <a:ext uri="{FF2B5EF4-FFF2-40B4-BE49-F238E27FC236}">
              <a16:creationId xmlns:a16="http://schemas.microsoft.com/office/drawing/2014/main" id="{BDDFE366-8354-5C01-CE58-301B461AB8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124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108</xdr:row>
      <xdr:rowOff>0</xdr:rowOff>
    </xdr:from>
    <xdr:to>
      <xdr:col>0</xdr:col>
      <xdr:colOff>871538</xdr:colOff>
      <xdr:row>109</xdr:row>
      <xdr:rowOff>0</xdr:rowOff>
    </xdr:to>
    <xdr:pic>
      <xdr:nvPicPr>
        <xdr:cNvPr id="216" name="Obraz 215">
          <a:extLst>
            <a:ext uri="{FF2B5EF4-FFF2-40B4-BE49-F238E27FC236}">
              <a16:creationId xmlns:a16="http://schemas.microsoft.com/office/drawing/2014/main" id="{15A358B7-E636-48C0-CE56-E75CDCF8D6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01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109</xdr:row>
      <xdr:rowOff>0</xdr:rowOff>
    </xdr:from>
    <xdr:to>
      <xdr:col>0</xdr:col>
      <xdr:colOff>871538</xdr:colOff>
      <xdr:row>110</xdr:row>
      <xdr:rowOff>0</xdr:rowOff>
    </xdr:to>
    <xdr:pic>
      <xdr:nvPicPr>
        <xdr:cNvPr id="218" name="Obraz 217">
          <a:extLst>
            <a:ext uri="{FF2B5EF4-FFF2-40B4-BE49-F238E27FC236}">
              <a16:creationId xmlns:a16="http://schemas.microsoft.com/office/drawing/2014/main" id="{BA62CE7C-6CD9-E880-E623-A9D8D60B1E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277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110</xdr:row>
      <xdr:rowOff>0</xdr:rowOff>
    </xdr:from>
    <xdr:to>
      <xdr:col>0</xdr:col>
      <xdr:colOff>871538</xdr:colOff>
      <xdr:row>111</xdr:row>
      <xdr:rowOff>0</xdr:rowOff>
    </xdr:to>
    <xdr:pic>
      <xdr:nvPicPr>
        <xdr:cNvPr id="220" name="Obraz 219">
          <a:extLst>
            <a:ext uri="{FF2B5EF4-FFF2-40B4-BE49-F238E27FC236}">
              <a16:creationId xmlns:a16="http://schemas.microsoft.com/office/drawing/2014/main" id="{5D923B25-7355-49C9-40DB-E0B3D5F697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353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111</xdr:row>
      <xdr:rowOff>0</xdr:rowOff>
    </xdr:from>
    <xdr:to>
      <xdr:col>0</xdr:col>
      <xdr:colOff>871538</xdr:colOff>
      <xdr:row>112</xdr:row>
      <xdr:rowOff>0</xdr:rowOff>
    </xdr:to>
    <xdr:pic>
      <xdr:nvPicPr>
        <xdr:cNvPr id="222" name="Obraz 221">
          <a:extLst>
            <a:ext uri="{FF2B5EF4-FFF2-40B4-BE49-F238E27FC236}">
              <a16:creationId xmlns:a16="http://schemas.microsoft.com/office/drawing/2014/main" id="{86FCB4AC-6A93-C396-3867-556F2DF72F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429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112</xdr:row>
      <xdr:rowOff>0</xdr:rowOff>
    </xdr:from>
    <xdr:to>
      <xdr:col>0</xdr:col>
      <xdr:colOff>871538</xdr:colOff>
      <xdr:row>113</xdr:row>
      <xdr:rowOff>0</xdr:rowOff>
    </xdr:to>
    <xdr:pic>
      <xdr:nvPicPr>
        <xdr:cNvPr id="224" name="Obraz 223">
          <a:extLst>
            <a:ext uri="{FF2B5EF4-FFF2-40B4-BE49-F238E27FC236}">
              <a16:creationId xmlns:a16="http://schemas.microsoft.com/office/drawing/2014/main" id="{28EB366E-0CEE-2D93-F36E-A02B2E95EF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505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113</xdr:row>
      <xdr:rowOff>0</xdr:rowOff>
    </xdr:from>
    <xdr:to>
      <xdr:col>0</xdr:col>
      <xdr:colOff>871538</xdr:colOff>
      <xdr:row>114</xdr:row>
      <xdr:rowOff>0</xdr:rowOff>
    </xdr:to>
    <xdr:pic>
      <xdr:nvPicPr>
        <xdr:cNvPr id="226" name="Obraz 225">
          <a:extLst>
            <a:ext uri="{FF2B5EF4-FFF2-40B4-BE49-F238E27FC236}">
              <a16:creationId xmlns:a16="http://schemas.microsoft.com/office/drawing/2014/main" id="{B5C32967-1FC5-CCA6-7B70-BDB4FF98A7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582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114</xdr:row>
      <xdr:rowOff>0</xdr:rowOff>
    </xdr:from>
    <xdr:to>
      <xdr:col>0</xdr:col>
      <xdr:colOff>871538</xdr:colOff>
      <xdr:row>115</xdr:row>
      <xdr:rowOff>0</xdr:rowOff>
    </xdr:to>
    <xdr:pic>
      <xdr:nvPicPr>
        <xdr:cNvPr id="228" name="Obraz 227">
          <a:extLst>
            <a:ext uri="{FF2B5EF4-FFF2-40B4-BE49-F238E27FC236}">
              <a16:creationId xmlns:a16="http://schemas.microsoft.com/office/drawing/2014/main" id="{F64B4A97-358E-5654-9B4A-F39B169B22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658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115</xdr:row>
      <xdr:rowOff>0</xdr:rowOff>
    </xdr:from>
    <xdr:to>
      <xdr:col>0</xdr:col>
      <xdr:colOff>871538</xdr:colOff>
      <xdr:row>116</xdr:row>
      <xdr:rowOff>0</xdr:rowOff>
    </xdr:to>
    <xdr:pic>
      <xdr:nvPicPr>
        <xdr:cNvPr id="230" name="Obraz 229">
          <a:extLst>
            <a:ext uri="{FF2B5EF4-FFF2-40B4-BE49-F238E27FC236}">
              <a16:creationId xmlns:a16="http://schemas.microsoft.com/office/drawing/2014/main" id="{E907C2C6-9065-6916-A427-11E722355F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734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116</xdr:row>
      <xdr:rowOff>0</xdr:rowOff>
    </xdr:from>
    <xdr:to>
      <xdr:col>0</xdr:col>
      <xdr:colOff>871538</xdr:colOff>
      <xdr:row>117</xdr:row>
      <xdr:rowOff>0</xdr:rowOff>
    </xdr:to>
    <xdr:pic>
      <xdr:nvPicPr>
        <xdr:cNvPr id="232" name="Obraz 231">
          <a:extLst>
            <a:ext uri="{FF2B5EF4-FFF2-40B4-BE49-F238E27FC236}">
              <a16:creationId xmlns:a16="http://schemas.microsoft.com/office/drawing/2014/main" id="{2F2349FE-3D38-60ED-A888-854DBB2B69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810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117</xdr:row>
      <xdr:rowOff>0</xdr:rowOff>
    </xdr:from>
    <xdr:to>
      <xdr:col>0</xdr:col>
      <xdr:colOff>871538</xdr:colOff>
      <xdr:row>118</xdr:row>
      <xdr:rowOff>0</xdr:rowOff>
    </xdr:to>
    <xdr:pic>
      <xdr:nvPicPr>
        <xdr:cNvPr id="234" name="Obraz 233">
          <a:extLst>
            <a:ext uri="{FF2B5EF4-FFF2-40B4-BE49-F238E27FC236}">
              <a16:creationId xmlns:a16="http://schemas.microsoft.com/office/drawing/2014/main" id="{5B86360B-3E94-C580-240B-D0DEF46BD2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886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118</xdr:row>
      <xdr:rowOff>0</xdr:rowOff>
    </xdr:from>
    <xdr:to>
      <xdr:col>0</xdr:col>
      <xdr:colOff>871538</xdr:colOff>
      <xdr:row>119</xdr:row>
      <xdr:rowOff>0</xdr:rowOff>
    </xdr:to>
    <xdr:pic>
      <xdr:nvPicPr>
        <xdr:cNvPr id="236" name="Obraz 235">
          <a:extLst>
            <a:ext uri="{FF2B5EF4-FFF2-40B4-BE49-F238E27FC236}">
              <a16:creationId xmlns:a16="http://schemas.microsoft.com/office/drawing/2014/main" id="{56FB13C7-16E6-9D93-2D24-7F5E260D09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8963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119</xdr:row>
      <xdr:rowOff>0</xdr:rowOff>
    </xdr:from>
    <xdr:to>
      <xdr:col>0</xdr:col>
      <xdr:colOff>871538</xdr:colOff>
      <xdr:row>120</xdr:row>
      <xdr:rowOff>0</xdr:rowOff>
    </xdr:to>
    <xdr:pic>
      <xdr:nvPicPr>
        <xdr:cNvPr id="238" name="Obraz 237">
          <a:extLst>
            <a:ext uri="{FF2B5EF4-FFF2-40B4-BE49-F238E27FC236}">
              <a16:creationId xmlns:a16="http://schemas.microsoft.com/office/drawing/2014/main" id="{0D59B6C6-D328-90A3-399D-CEE6D3D580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039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120</xdr:row>
      <xdr:rowOff>0</xdr:rowOff>
    </xdr:from>
    <xdr:to>
      <xdr:col>0</xdr:col>
      <xdr:colOff>871538</xdr:colOff>
      <xdr:row>121</xdr:row>
      <xdr:rowOff>0</xdr:rowOff>
    </xdr:to>
    <xdr:pic>
      <xdr:nvPicPr>
        <xdr:cNvPr id="240" name="Obraz 239">
          <a:extLst>
            <a:ext uri="{FF2B5EF4-FFF2-40B4-BE49-F238E27FC236}">
              <a16:creationId xmlns:a16="http://schemas.microsoft.com/office/drawing/2014/main" id="{81779E2B-4741-7324-F6F6-9D26FEE80E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115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121</xdr:row>
      <xdr:rowOff>0</xdr:rowOff>
    </xdr:from>
    <xdr:to>
      <xdr:col>0</xdr:col>
      <xdr:colOff>871538</xdr:colOff>
      <xdr:row>122</xdr:row>
      <xdr:rowOff>0</xdr:rowOff>
    </xdr:to>
    <xdr:pic>
      <xdr:nvPicPr>
        <xdr:cNvPr id="242" name="Obraz 241">
          <a:extLst>
            <a:ext uri="{FF2B5EF4-FFF2-40B4-BE49-F238E27FC236}">
              <a16:creationId xmlns:a16="http://schemas.microsoft.com/office/drawing/2014/main" id="{947D0B02-953C-D2D1-E675-411B15FC27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191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122</xdr:row>
      <xdr:rowOff>0</xdr:rowOff>
    </xdr:from>
    <xdr:to>
      <xdr:col>0</xdr:col>
      <xdr:colOff>871538</xdr:colOff>
      <xdr:row>123</xdr:row>
      <xdr:rowOff>0</xdr:rowOff>
    </xdr:to>
    <xdr:pic>
      <xdr:nvPicPr>
        <xdr:cNvPr id="244" name="Obraz 243">
          <a:extLst>
            <a:ext uri="{FF2B5EF4-FFF2-40B4-BE49-F238E27FC236}">
              <a16:creationId xmlns:a16="http://schemas.microsoft.com/office/drawing/2014/main" id="{312F701F-F2B4-48AD-9CD1-74460FFE5B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267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123</xdr:row>
      <xdr:rowOff>0</xdr:rowOff>
    </xdr:from>
    <xdr:to>
      <xdr:col>0</xdr:col>
      <xdr:colOff>871538</xdr:colOff>
      <xdr:row>124</xdr:row>
      <xdr:rowOff>0</xdr:rowOff>
    </xdr:to>
    <xdr:pic>
      <xdr:nvPicPr>
        <xdr:cNvPr id="246" name="Obraz 245">
          <a:extLst>
            <a:ext uri="{FF2B5EF4-FFF2-40B4-BE49-F238E27FC236}">
              <a16:creationId xmlns:a16="http://schemas.microsoft.com/office/drawing/2014/main" id="{358DE0C9-3DE9-A4AA-B749-B8914BCCFB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344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124</xdr:row>
      <xdr:rowOff>0</xdr:rowOff>
    </xdr:from>
    <xdr:to>
      <xdr:col>0</xdr:col>
      <xdr:colOff>871538</xdr:colOff>
      <xdr:row>125</xdr:row>
      <xdr:rowOff>0</xdr:rowOff>
    </xdr:to>
    <xdr:pic>
      <xdr:nvPicPr>
        <xdr:cNvPr id="248" name="Obraz 247">
          <a:extLst>
            <a:ext uri="{FF2B5EF4-FFF2-40B4-BE49-F238E27FC236}">
              <a16:creationId xmlns:a16="http://schemas.microsoft.com/office/drawing/2014/main" id="{155B2F5F-3E82-F3F1-2CE4-D107310942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420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125</xdr:row>
      <xdr:rowOff>0</xdr:rowOff>
    </xdr:from>
    <xdr:to>
      <xdr:col>0</xdr:col>
      <xdr:colOff>871538</xdr:colOff>
      <xdr:row>126</xdr:row>
      <xdr:rowOff>0</xdr:rowOff>
    </xdr:to>
    <xdr:pic>
      <xdr:nvPicPr>
        <xdr:cNvPr id="250" name="Obraz 249">
          <a:extLst>
            <a:ext uri="{FF2B5EF4-FFF2-40B4-BE49-F238E27FC236}">
              <a16:creationId xmlns:a16="http://schemas.microsoft.com/office/drawing/2014/main" id="{919B1B22-8A02-3B38-1D61-84D9D1BF63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496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126</xdr:row>
      <xdr:rowOff>0</xdr:rowOff>
    </xdr:from>
    <xdr:to>
      <xdr:col>0</xdr:col>
      <xdr:colOff>871538</xdr:colOff>
      <xdr:row>127</xdr:row>
      <xdr:rowOff>0</xdr:rowOff>
    </xdr:to>
    <xdr:pic>
      <xdr:nvPicPr>
        <xdr:cNvPr id="252" name="Obraz 251">
          <a:extLst>
            <a:ext uri="{FF2B5EF4-FFF2-40B4-BE49-F238E27FC236}">
              <a16:creationId xmlns:a16="http://schemas.microsoft.com/office/drawing/2014/main" id="{CEC35306-657F-1BA1-40D3-FCEFF5E893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572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127</xdr:row>
      <xdr:rowOff>0</xdr:rowOff>
    </xdr:from>
    <xdr:to>
      <xdr:col>0</xdr:col>
      <xdr:colOff>871538</xdr:colOff>
      <xdr:row>128</xdr:row>
      <xdr:rowOff>0</xdr:rowOff>
    </xdr:to>
    <xdr:pic>
      <xdr:nvPicPr>
        <xdr:cNvPr id="254" name="Obraz 253">
          <a:extLst>
            <a:ext uri="{FF2B5EF4-FFF2-40B4-BE49-F238E27FC236}">
              <a16:creationId xmlns:a16="http://schemas.microsoft.com/office/drawing/2014/main" id="{7E9BBE29-8184-F469-098D-9945A49645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648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128</xdr:row>
      <xdr:rowOff>0</xdr:rowOff>
    </xdr:from>
    <xdr:to>
      <xdr:col>0</xdr:col>
      <xdr:colOff>871538</xdr:colOff>
      <xdr:row>129</xdr:row>
      <xdr:rowOff>0</xdr:rowOff>
    </xdr:to>
    <xdr:pic>
      <xdr:nvPicPr>
        <xdr:cNvPr id="256" name="Obraz 255">
          <a:extLst>
            <a:ext uri="{FF2B5EF4-FFF2-40B4-BE49-F238E27FC236}">
              <a16:creationId xmlns:a16="http://schemas.microsoft.com/office/drawing/2014/main" id="{87D50D4F-A2B5-EBF3-9EF3-0A62F66D56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725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129</xdr:row>
      <xdr:rowOff>0</xdr:rowOff>
    </xdr:from>
    <xdr:to>
      <xdr:col>0</xdr:col>
      <xdr:colOff>871538</xdr:colOff>
      <xdr:row>130</xdr:row>
      <xdr:rowOff>0</xdr:rowOff>
    </xdr:to>
    <xdr:pic>
      <xdr:nvPicPr>
        <xdr:cNvPr id="258" name="Obraz 257">
          <a:extLst>
            <a:ext uri="{FF2B5EF4-FFF2-40B4-BE49-F238E27FC236}">
              <a16:creationId xmlns:a16="http://schemas.microsoft.com/office/drawing/2014/main" id="{875E201B-B3CD-1559-A1FC-E378245B06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801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130</xdr:row>
      <xdr:rowOff>0</xdr:rowOff>
    </xdr:from>
    <xdr:to>
      <xdr:col>0</xdr:col>
      <xdr:colOff>871538</xdr:colOff>
      <xdr:row>131</xdr:row>
      <xdr:rowOff>0</xdr:rowOff>
    </xdr:to>
    <xdr:pic>
      <xdr:nvPicPr>
        <xdr:cNvPr id="260" name="Obraz 259">
          <a:extLst>
            <a:ext uri="{FF2B5EF4-FFF2-40B4-BE49-F238E27FC236}">
              <a16:creationId xmlns:a16="http://schemas.microsoft.com/office/drawing/2014/main" id="{2D7AC0E4-E5AC-0D51-20D9-4DCE7704CE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877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131</xdr:row>
      <xdr:rowOff>0</xdr:rowOff>
    </xdr:from>
    <xdr:to>
      <xdr:col>0</xdr:col>
      <xdr:colOff>871538</xdr:colOff>
      <xdr:row>132</xdr:row>
      <xdr:rowOff>0</xdr:rowOff>
    </xdr:to>
    <xdr:pic>
      <xdr:nvPicPr>
        <xdr:cNvPr id="262" name="Obraz 261">
          <a:extLst>
            <a:ext uri="{FF2B5EF4-FFF2-40B4-BE49-F238E27FC236}">
              <a16:creationId xmlns:a16="http://schemas.microsoft.com/office/drawing/2014/main" id="{779C6946-BFFF-03F8-B95C-D7466B20AE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9953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132</xdr:row>
      <xdr:rowOff>0</xdr:rowOff>
    </xdr:from>
    <xdr:to>
      <xdr:col>0</xdr:col>
      <xdr:colOff>871538</xdr:colOff>
      <xdr:row>133</xdr:row>
      <xdr:rowOff>0</xdr:rowOff>
    </xdr:to>
    <xdr:pic>
      <xdr:nvPicPr>
        <xdr:cNvPr id="264" name="Obraz 263">
          <a:extLst>
            <a:ext uri="{FF2B5EF4-FFF2-40B4-BE49-F238E27FC236}">
              <a16:creationId xmlns:a16="http://schemas.microsoft.com/office/drawing/2014/main" id="{1B273E64-E123-DAB8-668D-363B924BCC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029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133</xdr:row>
      <xdr:rowOff>0</xdr:rowOff>
    </xdr:from>
    <xdr:to>
      <xdr:col>0</xdr:col>
      <xdr:colOff>871538</xdr:colOff>
      <xdr:row>134</xdr:row>
      <xdr:rowOff>0</xdr:rowOff>
    </xdr:to>
    <xdr:pic>
      <xdr:nvPicPr>
        <xdr:cNvPr id="266" name="Obraz 265">
          <a:extLst>
            <a:ext uri="{FF2B5EF4-FFF2-40B4-BE49-F238E27FC236}">
              <a16:creationId xmlns:a16="http://schemas.microsoft.com/office/drawing/2014/main" id="{63CCF086-21E3-8F5A-89DC-4EF1300F04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106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134</xdr:row>
      <xdr:rowOff>0</xdr:rowOff>
    </xdr:from>
    <xdr:to>
      <xdr:col>0</xdr:col>
      <xdr:colOff>871538</xdr:colOff>
      <xdr:row>135</xdr:row>
      <xdr:rowOff>0</xdr:rowOff>
    </xdr:to>
    <xdr:pic>
      <xdr:nvPicPr>
        <xdr:cNvPr id="268" name="Obraz 267">
          <a:extLst>
            <a:ext uri="{FF2B5EF4-FFF2-40B4-BE49-F238E27FC236}">
              <a16:creationId xmlns:a16="http://schemas.microsoft.com/office/drawing/2014/main" id="{F9C78034-5408-9124-F7D3-B399D65F7B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182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135</xdr:row>
      <xdr:rowOff>0</xdr:rowOff>
    </xdr:from>
    <xdr:to>
      <xdr:col>0</xdr:col>
      <xdr:colOff>871538</xdr:colOff>
      <xdr:row>136</xdr:row>
      <xdr:rowOff>0</xdr:rowOff>
    </xdr:to>
    <xdr:pic>
      <xdr:nvPicPr>
        <xdr:cNvPr id="270" name="Obraz 269">
          <a:extLst>
            <a:ext uri="{FF2B5EF4-FFF2-40B4-BE49-F238E27FC236}">
              <a16:creationId xmlns:a16="http://schemas.microsoft.com/office/drawing/2014/main" id="{D44CC43B-8D7E-9C6D-CE95-A851C28055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258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136</xdr:row>
      <xdr:rowOff>0</xdr:rowOff>
    </xdr:from>
    <xdr:to>
      <xdr:col>0</xdr:col>
      <xdr:colOff>871538</xdr:colOff>
      <xdr:row>137</xdr:row>
      <xdr:rowOff>0</xdr:rowOff>
    </xdr:to>
    <xdr:pic>
      <xdr:nvPicPr>
        <xdr:cNvPr id="272" name="Obraz 271">
          <a:extLst>
            <a:ext uri="{FF2B5EF4-FFF2-40B4-BE49-F238E27FC236}">
              <a16:creationId xmlns:a16="http://schemas.microsoft.com/office/drawing/2014/main" id="{32F4E30E-EFE5-94FB-9453-C696984C58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334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137</xdr:row>
      <xdr:rowOff>0</xdr:rowOff>
    </xdr:from>
    <xdr:to>
      <xdr:col>0</xdr:col>
      <xdr:colOff>871538</xdr:colOff>
      <xdr:row>138</xdr:row>
      <xdr:rowOff>0</xdr:rowOff>
    </xdr:to>
    <xdr:pic>
      <xdr:nvPicPr>
        <xdr:cNvPr id="274" name="Obraz 273">
          <a:extLst>
            <a:ext uri="{FF2B5EF4-FFF2-40B4-BE49-F238E27FC236}">
              <a16:creationId xmlns:a16="http://schemas.microsoft.com/office/drawing/2014/main" id="{3E77CEF5-B85A-9251-4F5F-34273E190C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410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138</xdr:row>
      <xdr:rowOff>0</xdr:rowOff>
    </xdr:from>
    <xdr:to>
      <xdr:col>0</xdr:col>
      <xdr:colOff>871538</xdr:colOff>
      <xdr:row>139</xdr:row>
      <xdr:rowOff>0</xdr:rowOff>
    </xdr:to>
    <xdr:pic>
      <xdr:nvPicPr>
        <xdr:cNvPr id="276" name="Obraz 275">
          <a:extLst>
            <a:ext uri="{FF2B5EF4-FFF2-40B4-BE49-F238E27FC236}">
              <a16:creationId xmlns:a16="http://schemas.microsoft.com/office/drawing/2014/main" id="{E11AF85A-C65C-5CC0-CF8A-11ACE3C90F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487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139</xdr:row>
      <xdr:rowOff>0</xdr:rowOff>
    </xdr:from>
    <xdr:to>
      <xdr:col>0</xdr:col>
      <xdr:colOff>871538</xdr:colOff>
      <xdr:row>140</xdr:row>
      <xdr:rowOff>0</xdr:rowOff>
    </xdr:to>
    <xdr:pic>
      <xdr:nvPicPr>
        <xdr:cNvPr id="278" name="Obraz 277">
          <a:extLst>
            <a:ext uri="{FF2B5EF4-FFF2-40B4-BE49-F238E27FC236}">
              <a16:creationId xmlns:a16="http://schemas.microsoft.com/office/drawing/2014/main" id="{7634923B-B62A-ACD9-4FC6-ED9626FBFF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563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140</xdr:row>
      <xdr:rowOff>0</xdr:rowOff>
    </xdr:from>
    <xdr:to>
      <xdr:col>0</xdr:col>
      <xdr:colOff>871538</xdr:colOff>
      <xdr:row>141</xdr:row>
      <xdr:rowOff>0</xdr:rowOff>
    </xdr:to>
    <xdr:pic>
      <xdr:nvPicPr>
        <xdr:cNvPr id="280" name="Obraz 279">
          <a:extLst>
            <a:ext uri="{FF2B5EF4-FFF2-40B4-BE49-F238E27FC236}">
              <a16:creationId xmlns:a16="http://schemas.microsoft.com/office/drawing/2014/main" id="{A6F33679-71D9-F882-5948-7F9F60A202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639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141</xdr:row>
      <xdr:rowOff>0</xdr:rowOff>
    </xdr:from>
    <xdr:to>
      <xdr:col>0</xdr:col>
      <xdr:colOff>871538</xdr:colOff>
      <xdr:row>142</xdr:row>
      <xdr:rowOff>0</xdr:rowOff>
    </xdr:to>
    <xdr:pic>
      <xdr:nvPicPr>
        <xdr:cNvPr id="282" name="Obraz 281">
          <a:extLst>
            <a:ext uri="{FF2B5EF4-FFF2-40B4-BE49-F238E27FC236}">
              <a16:creationId xmlns:a16="http://schemas.microsoft.com/office/drawing/2014/main" id="{781E7E5D-5D63-FBA9-2FE2-4701DD7012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715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142</xdr:row>
      <xdr:rowOff>0</xdr:rowOff>
    </xdr:from>
    <xdr:to>
      <xdr:col>0</xdr:col>
      <xdr:colOff>871538</xdr:colOff>
      <xdr:row>143</xdr:row>
      <xdr:rowOff>0</xdr:rowOff>
    </xdr:to>
    <xdr:pic>
      <xdr:nvPicPr>
        <xdr:cNvPr id="284" name="Obraz 283">
          <a:extLst>
            <a:ext uri="{FF2B5EF4-FFF2-40B4-BE49-F238E27FC236}">
              <a16:creationId xmlns:a16="http://schemas.microsoft.com/office/drawing/2014/main" id="{77E51E80-B027-2A09-9F21-B1D8B48A66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791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143</xdr:row>
      <xdr:rowOff>0</xdr:rowOff>
    </xdr:from>
    <xdr:to>
      <xdr:col>0</xdr:col>
      <xdr:colOff>871538</xdr:colOff>
      <xdr:row>144</xdr:row>
      <xdr:rowOff>0</xdr:rowOff>
    </xdr:to>
    <xdr:pic>
      <xdr:nvPicPr>
        <xdr:cNvPr id="286" name="Obraz 285">
          <a:extLst>
            <a:ext uri="{FF2B5EF4-FFF2-40B4-BE49-F238E27FC236}">
              <a16:creationId xmlns:a16="http://schemas.microsoft.com/office/drawing/2014/main" id="{0E50BB5A-2960-546C-BA46-0D42F7EE72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868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144</xdr:row>
      <xdr:rowOff>0</xdr:rowOff>
    </xdr:from>
    <xdr:to>
      <xdr:col>0</xdr:col>
      <xdr:colOff>871538</xdr:colOff>
      <xdr:row>145</xdr:row>
      <xdr:rowOff>0</xdr:rowOff>
    </xdr:to>
    <xdr:pic>
      <xdr:nvPicPr>
        <xdr:cNvPr id="288" name="Obraz 287">
          <a:extLst>
            <a:ext uri="{FF2B5EF4-FFF2-40B4-BE49-F238E27FC236}">
              <a16:creationId xmlns:a16="http://schemas.microsoft.com/office/drawing/2014/main" id="{21E98F4C-27A9-E5D9-75D9-2621B73B14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0944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145</xdr:row>
      <xdr:rowOff>0</xdr:rowOff>
    </xdr:from>
    <xdr:to>
      <xdr:col>0</xdr:col>
      <xdr:colOff>871538</xdr:colOff>
      <xdr:row>146</xdr:row>
      <xdr:rowOff>0</xdr:rowOff>
    </xdr:to>
    <xdr:pic>
      <xdr:nvPicPr>
        <xdr:cNvPr id="290" name="Obraz 289">
          <a:extLst>
            <a:ext uri="{FF2B5EF4-FFF2-40B4-BE49-F238E27FC236}">
              <a16:creationId xmlns:a16="http://schemas.microsoft.com/office/drawing/2014/main" id="{1598A328-0360-B6EB-1208-E0E30637AF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020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146</xdr:row>
      <xdr:rowOff>0</xdr:rowOff>
    </xdr:from>
    <xdr:to>
      <xdr:col>0</xdr:col>
      <xdr:colOff>871538</xdr:colOff>
      <xdr:row>147</xdr:row>
      <xdr:rowOff>0</xdr:rowOff>
    </xdr:to>
    <xdr:pic>
      <xdr:nvPicPr>
        <xdr:cNvPr id="292" name="Obraz 291">
          <a:extLst>
            <a:ext uri="{FF2B5EF4-FFF2-40B4-BE49-F238E27FC236}">
              <a16:creationId xmlns:a16="http://schemas.microsoft.com/office/drawing/2014/main" id="{8134D8E0-6FC0-3105-E7D6-A0A846C742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096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147</xdr:row>
      <xdr:rowOff>0</xdr:rowOff>
    </xdr:from>
    <xdr:to>
      <xdr:col>0</xdr:col>
      <xdr:colOff>871538</xdr:colOff>
      <xdr:row>148</xdr:row>
      <xdr:rowOff>0</xdr:rowOff>
    </xdr:to>
    <xdr:pic>
      <xdr:nvPicPr>
        <xdr:cNvPr id="294" name="Obraz 293">
          <a:extLst>
            <a:ext uri="{FF2B5EF4-FFF2-40B4-BE49-F238E27FC236}">
              <a16:creationId xmlns:a16="http://schemas.microsoft.com/office/drawing/2014/main" id="{73C15820-87A5-DAA8-D9CC-920041715B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172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148</xdr:row>
      <xdr:rowOff>0</xdr:rowOff>
    </xdr:from>
    <xdr:to>
      <xdr:col>0</xdr:col>
      <xdr:colOff>871538</xdr:colOff>
      <xdr:row>149</xdr:row>
      <xdr:rowOff>0</xdr:rowOff>
    </xdr:to>
    <xdr:pic>
      <xdr:nvPicPr>
        <xdr:cNvPr id="296" name="Obraz 295">
          <a:extLst>
            <a:ext uri="{FF2B5EF4-FFF2-40B4-BE49-F238E27FC236}">
              <a16:creationId xmlns:a16="http://schemas.microsoft.com/office/drawing/2014/main" id="{8D749767-B8C1-B50C-F52F-1BDDB090C6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249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149</xdr:row>
      <xdr:rowOff>0</xdr:rowOff>
    </xdr:from>
    <xdr:to>
      <xdr:col>0</xdr:col>
      <xdr:colOff>871538</xdr:colOff>
      <xdr:row>150</xdr:row>
      <xdr:rowOff>0</xdr:rowOff>
    </xdr:to>
    <xdr:pic>
      <xdr:nvPicPr>
        <xdr:cNvPr id="298" name="Obraz 297">
          <a:extLst>
            <a:ext uri="{FF2B5EF4-FFF2-40B4-BE49-F238E27FC236}">
              <a16:creationId xmlns:a16="http://schemas.microsoft.com/office/drawing/2014/main" id="{D5787878-380F-C42F-F0AE-5D9ED00CBC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325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150</xdr:row>
      <xdr:rowOff>0</xdr:rowOff>
    </xdr:from>
    <xdr:to>
      <xdr:col>0</xdr:col>
      <xdr:colOff>871538</xdr:colOff>
      <xdr:row>151</xdr:row>
      <xdr:rowOff>0</xdr:rowOff>
    </xdr:to>
    <xdr:pic>
      <xdr:nvPicPr>
        <xdr:cNvPr id="300" name="Obraz 299">
          <a:extLst>
            <a:ext uri="{FF2B5EF4-FFF2-40B4-BE49-F238E27FC236}">
              <a16:creationId xmlns:a16="http://schemas.microsoft.com/office/drawing/2014/main" id="{F4F4B34E-59B7-AECF-365D-68C6713645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401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151</xdr:row>
      <xdr:rowOff>0</xdr:rowOff>
    </xdr:from>
    <xdr:to>
      <xdr:col>0</xdr:col>
      <xdr:colOff>871538</xdr:colOff>
      <xdr:row>152</xdr:row>
      <xdr:rowOff>0</xdr:rowOff>
    </xdr:to>
    <xdr:pic>
      <xdr:nvPicPr>
        <xdr:cNvPr id="302" name="Obraz 301">
          <a:extLst>
            <a:ext uri="{FF2B5EF4-FFF2-40B4-BE49-F238E27FC236}">
              <a16:creationId xmlns:a16="http://schemas.microsoft.com/office/drawing/2014/main" id="{6C0A291D-CAB1-EF51-6B50-FF41F96057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477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152</xdr:row>
      <xdr:rowOff>0</xdr:rowOff>
    </xdr:from>
    <xdr:to>
      <xdr:col>0</xdr:col>
      <xdr:colOff>871538</xdr:colOff>
      <xdr:row>153</xdr:row>
      <xdr:rowOff>0</xdr:rowOff>
    </xdr:to>
    <xdr:pic>
      <xdr:nvPicPr>
        <xdr:cNvPr id="304" name="Obraz 303">
          <a:extLst>
            <a:ext uri="{FF2B5EF4-FFF2-40B4-BE49-F238E27FC236}">
              <a16:creationId xmlns:a16="http://schemas.microsoft.com/office/drawing/2014/main" id="{4C78AF9C-BE08-E91C-DAF3-F0DC00F9D1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553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153</xdr:row>
      <xdr:rowOff>0</xdr:rowOff>
    </xdr:from>
    <xdr:to>
      <xdr:col>0</xdr:col>
      <xdr:colOff>871538</xdr:colOff>
      <xdr:row>154</xdr:row>
      <xdr:rowOff>0</xdr:rowOff>
    </xdr:to>
    <xdr:pic>
      <xdr:nvPicPr>
        <xdr:cNvPr id="306" name="Obraz 305">
          <a:extLst>
            <a:ext uri="{FF2B5EF4-FFF2-40B4-BE49-F238E27FC236}">
              <a16:creationId xmlns:a16="http://schemas.microsoft.com/office/drawing/2014/main" id="{5D83FA73-717C-81E7-01B3-037948C722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630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154</xdr:row>
      <xdr:rowOff>0</xdr:rowOff>
    </xdr:from>
    <xdr:to>
      <xdr:col>0</xdr:col>
      <xdr:colOff>871538</xdr:colOff>
      <xdr:row>155</xdr:row>
      <xdr:rowOff>0</xdr:rowOff>
    </xdr:to>
    <xdr:pic>
      <xdr:nvPicPr>
        <xdr:cNvPr id="308" name="Obraz 307">
          <a:extLst>
            <a:ext uri="{FF2B5EF4-FFF2-40B4-BE49-F238E27FC236}">
              <a16:creationId xmlns:a16="http://schemas.microsoft.com/office/drawing/2014/main" id="{0523B7B6-AF43-8800-9397-71707DB5F6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706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155</xdr:row>
      <xdr:rowOff>0</xdr:rowOff>
    </xdr:from>
    <xdr:to>
      <xdr:col>0</xdr:col>
      <xdr:colOff>871538</xdr:colOff>
      <xdr:row>156</xdr:row>
      <xdr:rowOff>0</xdr:rowOff>
    </xdr:to>
    <xdr:pic>
      <xdr:nvPicPr>
        <xdr:cNvPr id="310" name="Obraz 309">
          <a:extLst>
            <a:ext uri="{FF2B5EF4-FFF2-40B4-BE49-F238E27FC236}">
              <a16:creationId xmlns:a16="http://schemas.microsoft.com/office/drawing/2014/main" id="{4E587650-30AB-5FC3-7747-81ED005590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782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156</xdr:row>
      <xdr:rowOff>0</xdr:rowOff>
    </xdr:from>
    <xdr:to>
      <xdr:col>0</xdr:col>
      <xdr:colOff>871538</xdr:colOff>
      <xdr:row>157</xdr:row>
      <xdr:rowOff>0</xdr:rowOff>
    </xdr:to>
    <xdr:pic>
      <xdr:nvPicPr>
        <xdr:cNvPr id="312" name="Obraz 311">
          <a:extLst>
            <a:ext uri="{FF2B5EF4-FFF2-40B4-BE49-F238E27FC236}">
              <a16:creationId xmlns:a16="http://schemas.microsoft.com/office/drawing/2014/main" id="{956B73C7-5904-CFFC-39B1-3A73FB9745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858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157</xdr:row>
      <xdr:rowOff>0</xdr:rowOff>
    </xdr:from>
    <xdr:to>
      <xdr:col>0</xdr:col>
      <xdr:colOff>871538</xdr:colOff>
      <xdr:row>158</xdr:row>
      <xdr:rowOff>0</xdr:rowOff>
    </xdr:to>
    <xdr:pic>
      <xdr:nvPicPr>
        <xdr:cNvPr id="314" name="Obraz 313">
          <a:extLst>
            <a:ext uri="{FF2B5EF4-FFF2-40B4-BE49-F238E27FC236}">
              <a16:creationId xmlns:a16="http://schemas.microsoft.com/office/drawing/2014/main" id="{CBA86713-C1A7-3780-55C2-3C671DADC2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1934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158</xdr:row>
      <xdr:rowOff>0</xdr:rowOff>
    </xdr:from>
    <xdr:to>
      <xdr:col>0</xdr:col>
      <xdr:colOff>871538</xdr:colOff>
      <xdr:row>159</xdr:row>
      <xdr:rowOff>0</xdr:rowOff>
    </xdr:to>
    <xdr:pic>
      <xdr:nvPicPr>
        <xdr:cNvPr id="316" name="Obraz 315">
          <a:extLst>
            <a:ext uri="{FF2B5EF4-FFF2-40B4-BE49-F238E27FC236}">
              <a16:creationId xmlns:a16="http://schemas.microsoft.com/office/drawing/2014/main" id="{8C84B379-8D92-E70E-E920-2E014D58B8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011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159</xdr:row>
      <xdr:rowOff>0</xdr:rowOff>
    </xdr:from>
    <xdr:to>
      <xdr:col>0</xdr:col>
      <xdr:colOff>871538</xdr:colOff>
      <xdr:row>160</xdr:row>
      <xdr:rowOff>0</xdr:rowOff>
    </xdr:to>
    <xdr:pic>
      <xdr:nvPicPr>
        <xdr:cNvPr id="318" name="Obraz 317">
          <a:extLst>
            <a:ext uri="{FF2B5EF4-FFF2-40B4-BE49-F238E27FC236}">
              <a16:creationId xmlns:a16="http://schemas.microsoft.com/office/drawing/2014/main" id="{623F1B55-246D-837C-D11A-43DB54AE74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087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160</xdr:row>
      <xdr:rowOff>0</xdr:rowOff>
    </xdr:from>
    <xdr:to>
      <xdr:col>0</xdr:col>
      <xdr:colOff>871538</xdr:colOff>
      <xdr:row>161</xdr:row>
      <xdr:rowOff>0</xdr:rowOff>
    </xdr:to>
    <xdr:pic>
      <xdr:nvPicPr>
        <xdr:cNvPr id="320" name="Obraz 319">
          <a:extLst>
            <a:ext uri="{FF2B5EF4-FFF2-40B4-BE49-F238E27FC236}">
              <a16:creationId xmlns:a16="http://schemas.microsoft.com/office/drawing/2014/main" id="{B24A564C-424E-3D30-F09E-FAB4D0EFC9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163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161</xdr:row>
      <xdr:rowOff>0</xdr:rowOff>
    </xdr:from>
    <xdr:to>
      <xdr:col>0</xdr:col>
      <xdr:colOff>871538</xdr:colOff>
      <xdr:row>162</xdr:row>
      <xdr:rowOff>0</xdr:rowOff>
    </xdr:to>
    <xdr:pic>
      <xdr:nvPicPr>
        <xdr:cNvPr id="322" name="Obraz 321">
          <a:extLst>
            <a:ext uri="{FF2B5EF4-FFF2-40B4-BE49-F238E27FC236}">
              <a16:creationId xmlns:a16="http://schemas.microsoft.com/office/drawing/2014/main" id="{F625FE70-9EB6-DAF4-195B-ABAC230E14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239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162</xdr:row>
      <xdr:rowOff>0</xdr:rowOff>
    </xdr:from>
    <xdr:to>
      <xdr:col>0</xdr:col>
      <xdr:colOff>871538</xdr:colOff>
      <xdr:row>163</xdr:row>
      <xdr:rowOff>0</xdr:rowOff>
    </xdr:to>
    <xdr:pic>
      <xdr:nvPicPr>
        <xdr:cNvPr id="324" name="Obraz 323">
          <a:extLst>
            <a:ext uri="{FF2B5EF4-FFF2-40B4-BE49-F238E27FC236}">
              <a16:creationId xmlns:a16="http://schemas.microsoft.com/office/drawing/2014/main" id="{994AF2C4-FF48-97BC-556A-E816628359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315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163</xdr:row>
      <xdr:rowOff>0</xdr:rowOff>
    </xdr:from>
    <xdr:to>
      <xdr:col>0</xdr:col>
      <xdr:colOff>871538</xdr:colOff>
      <xdr:row>164</xdr:row>
      <xdr:rowOff>0</xdr:rowOff>
    </xdr:to>
    <xdr:pic>
      <xdr:nvPicPr>
        <xdr:cNvPr id="326" name="Obraz 325">
          <a:extLst>
            <a:ext uri="{FF2B5EF4-FFF2-40B4-BE49-F238E27FC236}">
              <a16:creationId xmlns:a16="http://schemas.microsoft.com/office/drawing/2014/main" id="{5255BA4E-F564-9CFC-71D5-180EA87C6C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392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164</xdr:row>
      <xdr:rowOff>0</xdr:rowOff>
    </xdr:from>
    <xdr:to>
      <xdr:col>0</xdr:col>
      <xdr:colOff>871538</xdr:colOff>
      <xdr:row>165</xdr:row>
      <xdr:rowOff>0</xdr:rowOff>
    </xdr:to>
    <xdr:pic>
      <xdr:nvPicPr>
        <xdr:cNvPr id="328" name="Obraz 327">
          <a:extLst>
            <a:ext uri="{FF2B5EF4-FFF2-40B4-BE49-F238E27FC236}">
              <a16:creationId xmlns:a16="http://schemas.microsoft.com/office/drawing/2014/main" id="{831DF2C4-CEDC-1481-157B-891BF3A49C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468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165</xdr:row>
      <xdr:rowOff>0</xdr:rowOff>
    </xdr:from>
    <xdr:to>
      <xdr:col>0</xdr:col>
      <xdr:colOff>871538</xdr:colOff>
      <xdr:row>166</xdr:row>
      <xdr:rowOff>0</xdr:rowOff>
    </xdr:to>
    <xdr:pic>
      <xdr:nvPicPr>
        <xdr:cNvPr id="330" name="Obraz 329">
          <a:extLst>
            <a:ext uri="{FF2B5EF4-FFF2-40B4-BE49-F238E27FC236}">
              <a16:creationId xmlns:a16="http://schemas.microsoft.com/office/drawing/2014/main" id="{FB8A4965-6415-F85A-5CBC-D43F98D19D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544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166</xdr:row>
      <xdr:rowOff>0</xdr:rowOff>
    </xdr:from>
    <xdr:to>
      <xdr:col>0</xdr:col>
      <xdr:colOff>871538</xdr:colOff>
      <xdr:row>167</xdr:row>
      <xdr:rowOff>0</xdr:rowOff>
    </xdr:to>
    <xdr:pic>
      <xdr:nvPicPr>
        <xdr:cNvPr id="332" name="Obraz 331">
          <a:extLst>
            <a:ext uri="{FF2B5EF4-FFF2-40B4-BE49-F238E27FC236}">
              <a16:creationId xmlns:a16="http://schemas.microsoft.com/office/drawing/2014/main" id="{F1322D28-7DA2-01ED-5C12-6826E13198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620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167</xdr:row>
      <xdr:rowOff>0</xdr:rowOff>
    </xdr:from>
    <xdr:to>
      <xdr:col>0</xdr:col>
      <xdr:colOff>871538</xdr:colOff>
      <xdr:row>168</xdr:row>
      <xdr:rowOff>0</xdr:rowOff>
    </xdr:to>
    <xdr:pic>
      <xdr:nvPicPr>
        <xdr:cNvPr id="334" name="Obraz 333">
          <a:extLst>
            <a:ext uri="{FF2B5EF4-FFF2-40B4-BE49-F238E27FC236}">
              <a16:creationId xmlns:a16="http://schemas.microsoft.com/office/drawing/2014/main" id="{D9506DD8-91BA-463F-BA8C-34F840EFE3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696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168</xdr:row>
      <xdr:rowOff>0</xdr:rowOff>
    </xdr:from>
    <xdr:to>
      <xdr:col>0</xdr:col>
      <xdr:colOff>871538</xdr:colOff>
      <xdr:row>169</xdr:row>
      <xdr:rowOff>0</xdr:rowOff>
    </xdr:to>
    <xdr:pic>
      <xdr:nvPicPr>
        <xdr:cNvPr id="336" name="Obraz 335">
          <a:extLst>
            <a:ext uri="{FF2B5EF4-FFF2-40B4-BE49-F238E27FC236}">
              <a16:creationId xmlns:a16="http://schemas.microsoft.com/office/drawing/2014/main" id="{9F41B843-DFB8-3A9E-1D82-2FB07D24A3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773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169</xdr:row>
      <xdr:rowOff>0</xdr:rowOff>
    </xdr:from>
    <xdr:to>
      <xdr:col>0</xdr:col>
      <xdr:colOff>871538</xdr:colOff>
      <xdr:row>170</xdr:row>
      <xdr:rowOff>0</xdr:rowOff>
    </xdr:to>
    <xdr:pic>
      <xdr:nvPicPr>
        <xdr:cNvPr id="338" name="Obraz 337">
          <a:extLst>
            <a:ext uri="{FF2B5EF4-FFF2-40B4-BE49-F238E27FC236}">
              <a16:creationId xmlns:a16="http://schemas.microsoft.com/office/drawing/2014/main" id="{50A4A6E7-F20A-598C-D267-E4BA41EFE5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849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170</xdr:row>
      <xdr:rowOff>0</xdr:rowOff>
    </xdr:from>
    <xdr:to>
      <xdr:col>0</xdr:col>
      <xdr:colOff>871538</xdr:colOff>
      <xdr:row>171</xdr:row>
      <xdr:rowOff>0</xdr:rowOff>
    </xdr:to>
    <xdr:pic>
      <xdr:nvPicPr>
        <xdr:cNvPr id="340" name="Obraz 339">
          <a:extLst>
            <a:ext uri="{FF2B5EF4-FFF2-40B4-BE49-F238E27FC236}">
              <a16:creationId xmlns:a16="http://schemas.microsoft.com/office/drawing/2014/main" id="{C175BE63-296C-5F9C-F68D-B4A9126B9A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2925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171</xdr:row>
      <xdr:rowOff>0</xdr:rowOff>
    </xdr:from>
    <xdr:to>
      <xdr:col>0</xdr:col>
      <xdr:colOff>871538</xdr:colOff>
      <xdr:row>172</xdr:row>
      <xdr:rowOff>0</xdr:rowOff>
    </xdr:to>
    <xdr:pic>
      <xdr:nvPicPr>
        <xdr:cNvPr id="342" name="Obraz 341">
          <a:extLst>
            <a:ext uri="{FF2B5EF4-FFF2-40B4-BE49-F238E27FC236}">
              <a16:creationId xmlns:a16="http://schemas.microsoft.com/office/drawing/2014/main" id="{005B3974-0DB5-ED81-9516-5ACD5FE062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001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172</xdr:row>
      <xdr:rowOff>0</xdr:rowOff>
    </xdr:from>
    <xdr:to>
      <xdr:col>0</xdr:col>
      <xdr:colOff>871538</xdr:colOff>
      <xdr:row>173</xdr:row>
      <xdr:rowOff>0</xdr:rowOff>
    </xdr:to>
    <xdr:pic>
      <xdr:nvPicPr>
        <xdr:cNvPr id="344" name="Obraz 343">
          <a:extLst>
            <a:ext uri="{FF2B5EF4-FFF2-40B4-BE49-F238E27FC236}">
              <a16:creationId xmlns:a16="http://schemas.microsoft.com/office/drawing/2014/main" id="{AB6F09B8-8829-7A72-63F4-DA0B565FEB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077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173</xdr:row>
      <xdr:rowOff>0</xdr:rowOff>
    </xdr:from>
    <xdr:to>
      <xdr:col>0</xdr:col>
      <xdr:colOff>871538</xdr:colOff>
      <xdr:row>174</xdr:row>
      <xdr:rowOff>0</xdr:rowOff>
    </xdr:to>
    <xdr:pic>
      <xdr:nvPicPr>
        <xdr:cNvPr id="346" name="Obraz 345">
          <a:extLst>
            <a:ext uri="{FF2B5EF4-FFF2-40B4-BE49-F238E27FC236}">
              <a16:creationId xmlns:a16="http://schemas.microsoft.com/office/drawing/2014/main" id="{C4584B1F-EC68-8BFC-9422-3069432E33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154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174</xdr:row>
      <xdr:rowOff>0</xdr:rowOff>
    </xdr:from>
    <xdr:to>
      <xdr:col>0</xdr:col>
      <xdr:colOff>871538</xdr:colOff>
      <xdr:row>175</xdr:row>
      <xdr:rowOff>0</xdr:rowOff>
    </xdr:to>
    <xdr:pic>
      <xdr:nvPicPr>
        <xdr:cNvPr id="348" name="Obraz 347">
          <a:extLst>
            <a:ext uri="{FF2B5EF4-FFF2-40B4-BE49-F238E27FC236}">
              <a16:creationId xmlns:a16="http://schemas.microsoft.com/office/drawing/2014/main" id="{5AEA1A48-5DCA-E55E-7465-731EB82F6B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230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175</xdr:row>
      <xdr:rowOff>0</xdr:rowOff>
    </xdr:from>
    <xdr:to>
      <xdr:col>0</xdr:col>
      <xdr:colOff>871538</xdr:colOff>
      <xdr:row>176</xdr:row>
      <xdr:rowOff>0</xdr:rowOff>
    </xdr:to>
    <xdr:pic>
      <xdr:nvPicPr>
        <xdr:cNvPr id="350" name="Obraz 349">
          <a:extLst>
            <a:ext uri="{FF2B5EF4-FFF2-40B4-BE49-F238E27FC236}">
              <a16:creationId xmlns:a16="http://schemas.microsoft.com/office/drawing/2014/main" id="{08A7C526-B590-6D44-1F4C-4BC3BAFA4C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306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176</xdr:row>
      <xdr:rowOff>0</xdr:rowOff>
    </xdr:from>
    <xdr:to>
      <xdr:col>0</xdr:col>
      <xdr:colOff>871538</xdr:colOff>
      <xdr:row>177</xdr:row>
      <xdr:rowOff>0</xdr:rowOff>
    </xdr:to>
    <xdr:pic>
      <xdr:nvPicPr>
        <xdr:cNvPr id="352" name="Obraz 351">
          <a:extLst>
            <a:ext uri="{FF2B5EF4-FFF2-40B4-BE49-F238E27FC236}">
              <a16:creationId xmlns:a16="http://schemas.microsoft.com/office/drawing/2014/main" id="{BC77A1D3-ED45-DA2E-BA19-62244FABFE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382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177</xdr:row>
      <xdr:rowOff>0</xdr:rowOff>
    </xdr:from>
    <xdr:to>
      <xdr:col>0</xdr:col>
      <xdr:colOff>871538</xdr:colOff>
      <xdr:row>178</xdr:row>
      <xdr:rowOff>0</xdr:rowOff>
    </xdr:to>
    <xdr:pic>
      <xdr:nvPicPr>
        <xdr:cNvPr id="354" name="Obraz 353">
          <a:extLst>
            <a:ext uri="{FF2B5EF4-FFF2-40B4-BE49-F238E27FC236}">
              <a16:creationId xmlns:a16="http://schemas.microsoft.com/office/drawing/2014/main" id="{6311BA46-1AA2-532F-97CD-DF2859508C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4588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178</xdr:row>
      <xdr:rowOff>0</xdr:rowOff>
    </xdr:from>
    <xdr:to>
      <xdr:col>0</xdr:col>
      <xdr:colOff>871538</xdr:colOff>
      <xdr:row>179</xdr:row>
      <xdr:rowOff>0</xdr:rowOff>
    </xdr:to>
    <xdr:pic>
      <xdr:nvPicPr>
        <xdr:cNvPr id="356" name="Obraz 355">
          <a:extLst>
            <a:ext uri="{FF2B5EF4-FFF2-40B4-BE49-F238E27FC236}">
              <a16:creationId xmlns:a16="http://schemas.microsoft.com/office/drawing/2014/main" id="{437B1361-3174-A08E-A409-FF18C043D7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5350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179</xdr:row>
      <xdr:rowOff>0</xdr:rowOff>
    </xdr:from>
    <xdr:to>
      <xdr:col>0</xdr:col>
      <xdr:colOff>871538</xdr:colOff>
      <xdr:row>180</xdr:row>
      <xdr:rowOff>0</xdr:rowOff>
    </xdr:to>
    <xdr:pic>
      <xdr:nvPicPr>
        <xdr:cNvPr id="358" name="Obraz 357">
          <a:extLst>
            <a:ext uri="{FF2B5EF4-FFF2-40B4-BE49-F238E27FC236}">
              <a16:creationId xmlns:a16="http://schemas.microsoft.com/office/drawing/2014/main" id="{93913967-ACA2-3267-2235-A627D0FBA3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6112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180</xdr:row>
      <xdr:rowOff>0</xdr:rowOff>
    </xdr:from>
    <xdr:to>
      <xdr:col>0</xdr:col>
      <xdr:colOff>871538</xdr:colOff>
      <xdr:row>181</xdr:row>
      <xdr:rowOff>0</xdr:rowOff>
    </xdr:to>
    <xdr:pic>
      <xdr:nvPicPr>
        <xdr:cNvPr id="360" name="Obraz 359">
          <a:extLst>
            <a:ext uri="{FF2B5EF4-FFF2-40B4-BE49-F238E27FC236}">
              <a16:creationId xmlns:a16="http://schemas.microsoft.com/office/drawing/2014/main" id="{A3E5CDEF-C074-8369-1207-22CB71595E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6874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181</xdr:row>
      <xdr:rowOff>0</xdr:rowOff>
    </xdr:from>
    <xdr:to>
      <xdr:col>0</xdr:col>
      <xdr:colOff>871538</xdr:colOff>
      <xdr:row>182</xdr:row>
      <xdr:rowOff>0</xdr:rowOff>
    </xdr:to>
    <xdr:pic>
      <xdr:nvPicPr>
        <xdr:cNvPr id="362" name="Obraz 361">
          <a:extLst>
            <a:ext uri="{FF2B5EF4-FFF2-40B4-BE49-F238E27FC236}">
              <a16:creationId xmlns:a16="http://schemas.microsoft.com/office/drawing/2014/main" id="{46AA60DB-E336-BABC-A006-9AE7A408E3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7636250"/>
          <a:ext cx="762000" cy="762000"/>
        </a:xfrm>
        <a:prstGeom prst="rect">
          <a:avLst/>
        </a:prstGeom>
      </xdr:spPr>
    </xdr:pic>
    <xdr:clientData/>
  </xdr:twoCellAnchor>
  <xdr:twoCellAnchor>
    <xdr:from>
      <xdr:col>0</xdr:col>
      <xdr:colOff>109538</xdr:colOff>
      <xdr:row>182</xdr:row>
      <xdr:rowOff>0</xdr:rowOff>
    </xdr:from>
    <xdr:to>
      <xdr:col>0</xdr:col>
      <xdr:colOff>871538</xdr:colOff>
      <xdr:row>183</xdr:row>
      <xdr:rowOff>0</xdr:rowOff>
    </xdr:to>
    <xdr:pic>
      <xdr:nvPicPr>
        <xdr:cNvPr id="364" name="Obraz 363">
          <a:extLst>
            <a:ext uri="{FF2B5EF4-FFF2-40B4-BE49-F238E27FC236}">
              <a16:creationId xmlns:a16="http://schemas.microsoft.com/office/drawing/2014/main" id="{1B6A7F66-BCC3-0B59-C0AF-885F20764F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8" y="138398250"/>
          <a:ext cx="762000" cy="762000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3">
  <rv s="0">
    <v>0</v>
    <v>5</v>
  </rv>
  <rv s="0">
    <v>1</v>
    <v>5</v>
  </rv>
  <rv s="0">
    <v>2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</richValueRels>
</file>

<file path=xl/theme/theme1.xml><?xml version="1.0" encoding="utf-8"?>
<a:theme xmlns:a="http://schemas.openxmlformats.org/drawingml/2006/main" name="Motyw pakietu Office 2013–2022">
  <a:themeElements>
    <a:clrScheme name="Pakiet Office 2013–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Pakiet Office 2013–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Pakiet Office 2013–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ebextensions/_rels/taskpanes.xml.rels><?xml version="1.0" encoding="UTF-8" standalone="yes"?>
<Relationships xmlns="http://schemas.openxmlformats.org/package/2006/relationships"><Relationship Id="rId1" Type="http://schemas.microsoft.com/office/2011/relationships/webextension" Target="webextension1.xml"/></Relationships>
</file>

<file path=xl/webextensions/taskpanes.xml><?xml version="1.0" encoding="utf-8"?>
<wetp:taskpanes xmlns:wetp="http://schemas.microsoft.com/office/webextensions/taskpanes/2010/11">
  <wetp:taskpane dockstate="right" visibility="0" width="0" row="0">
    <wetp:webextensionref xmlns:r="http://schemas.openxmlformats.org/officeDocument/2006/relationships" r:id="rId1"/>
  </wetp:taskpane>
</wetp:taskpanes>
</file>

<file path=xl/webextensions/webextension1.xml><?xml version="1.0" encoding="utf-8"?>
<we:webextension xmlns:we="http://schemas.microsoft.com/office/webextensions/webextension/2010/11" id="{2D633785-351D-47E3-8C55-2D9D49951312}">
  <we:reference id="wa200003696" version="1.3.0.0" store="pl-PL" storeType="OMEX"/>
  <we:alternateReferences>
    <we:reference id="wa200003696" version="1.3.0.0" store="" storeType="OMEX"/>
  </we:alternateReferences>
  <we:properties/>
  <we:bindings/>
  <we:snapshot xmlns:r="http://schemas.openxmlformats.org/officeDocument/2006/relationships"/>
  <we:extLst>
    <a:ext xmlns:a="http://schemas.openxmlformats.org/drawingml/2006/main" uri="{D87F86FE-615C-45B5-9D79-34F1136793EB}">
      <we:containsCustomFunctions/>
    </a:ext>
    <a:ext xmlns:a="http://schemas.openxmlformats.org/drawingml/2006/main" uri="{7C84B067-C214-45C3-A712-C9D94CD141B2}">
      <we:customFunctionIdList>
        <we:customFunctionIds>_xldudf_LABS_GENERATIVEAI</we:customFunctionIds>
      </we:customFunctionIdList>
    </a:ext>
  </we:extLst>
</we:webextension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hyperlink" Target="http://www.kobi.pl/" TargetMode="Externa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kobi.pl/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C89F00-B4E8-4D18-A1BE-091147BD3151}">
  <sheetPr codeName="Arkusz1"/>
  <dimension ref="A1:AD55"/>
  <sheetViews>
    <sheetView zoomScale="90" zoomScaleNormal="90" workbookViewId="0">
      <selection activeCell="C6" sqref="C6"/>
    </sheetView>
  </sheetViews>
  <sheetFormatPr defaultRowHeight="15" x14ac:dyDescent="0.25"/>
  <cols>
    <col min="1" max="1" width="9.140625" style="17"/>
    <col min="2" max="2" width="30.5703125" style="17" customWidth="1"/>
    <col min="3" max="3" width="40.5703125" style="17" customWidth="1"/>
    <col min="4" max="4" width="30.5703125" style="18" customWidth="1"/>
    <col min="5" max="30" width="10.5703125" style="17" customWidth="1"/>
  </cols>
  <sheetData>
    <row r="1" spans="1:30" s="47" customFormat="1" ht="18.95" customHeight="1" x14ac:dyDescent="0.25">
      <c r="D1" s="46"/>
      <c r="E1" s="17"/>
      <c r="F1" s="17"/>
      <c r="G1" s="17"/>
      <c r="H1" s="17"/>
      <c r="I1" s="17"/>
      <c r="J1" s="17"/>
      <c r="K1" s="17"/>
      <c r="L1" s="17"/>
      <c r="M1" s="17"/>
      <c r="N1" s="17"/>
      <c r="O1" s="17"/>
      <c r="P1" s="17"/>
      <c r="Q1" s="17"/>
      <c r="R1" s="17"/>
      <c r="S1" s="17"/>
      <c r="T1" s="17"/>
      <c r="U1" s="17"/>
      <c r="V1" s="17"/>
      <c r="W1" s="17"/>
      <c r="X1" s="17"/>
      <c r="Y1" s="17"/>
      <c r="Z1" s="17"/>
      <c r="AA1" s="17"/>
      <c r="AB1" s="17"/>
      <c r="AC1" s="17"/>
      <c r="AD1" s="17"/>
    </row>
    <row r="2" spans="1:30" s="17" customFormat="1" ht="117.6" customHeight="1" x14ac:dyDescent="0.25">
      <c r="B2" s="47"/>
      <c r="C2" s="47"/>
      <c r="D2" s="46"/>
    </row>
    <row r="3" spans="1:30" ht="45" customHeight="1" x14ac:dyDescent="0.25">
      <c r="A3" s="20"/>
      <c r="B3" s="49" t="s">
        <v>3735</v>
      </c>
      <c r="C3" s="50"/>
      <c r="D3" s="50"/>
      <c r="E3" s="21"/>
    </row>
    <row r="4" spans="1:30" ht="24.95" customHeight="1" x14ac:dyDescent="0.25">
      <c r="A4" s="18"/>
      <c r="B4" s="51" t="s">
        <v>13</v>
      </c>
      <c r="C4" s="51"/>
      <c r="D4" s="51"/>
      <c r="E4" s="21"/>
      <c r="F4" s="38"/>
    </row>
    <row r="5" spans="1:30" ht="15" customHeight="1" x14ac:dyDescent="0.25">
      <c r="A5" s="18"/>
      <c r="B5"/>
      <c r="C5"/>
      <c r="D5"/>
      <c r="E5" s="21"/>
      <c r="F5" s="38"/>
    </row>
    <row r="6" spans="1:30" ht="15" customHeight="1" x14ac:dyDescent="0.25">
      <c r="A6" s="18"/>
      <c r="B6" s="45" t="s">
        <v>0</v>
      </c>
      <c r="C6" s="44">
        <v>46267</v>
      </c>
      <c r="D6"/>
      <c r="E6" s="21"/>
      <c r="F6" s="1"/>
    </row>
    <row r="7" spans="1:30" ht="15" customHeight="1" x14ac:dyDescent="0.25">
      <c r="A7" s="18"/>
      <c r="B7"/>
      <c r="C7"/>
      <c r="D7"/>
      <c r="E7" s="21"/>
      <c r="F7" s="43"/>
    </row>
    <row r="8" spans="1:30" ht="24.95" customHeight="1" x14ac:dyDescent="0.25">
      <c r="A8" s="18"/>
      <c r="B8" s="42"/>
      <c r="C8" s="41" t="s">
        <v>1</v>
      </c>
      <c r="D8" s="40" t="s">
        <v>2</v>
      </c>
      <c r="E8" s="21"/>
      <c r="F8" s="38"/>
    </row>
    <row r="9" spans="1:30" ht="15" customHeight="1" x14ac:dyDescent="0.25">
      <c r="A9" s="18"/>
      <c r="B9" s="37" t="s">
        <v>11</v>
      </c>
      <c r="C9" s="39" t="s">
        <v>1385</v>
      </c>
      <c r="D9" s="31">
        <v>0</v>
      </c>
      <c r="E9" s="21"/>
      <c r="F9" s="38"/>
    </row>
    <row r="10" spans="1:30" ht="15" customHeight="1" x14ac:dyDescent="0.25">
      <c r="A10" s="18"/>
      <c r="B10" s="37"/>
      <c r="C10" s="39" t="s">
        <v>1413</v>
      </c>
      <c r="D10" s="31">
        <v>0</v>
      </c>
      <c r="E10" s="21"/>
      <c r="F10" s="38"/>
    </row>
    <row r="11" spans="1:30" ht="15" customHeight="1" x14ac:dyDescent="0.25">
      <c r="A11" s="18"/>
      <c r="B11" s="37"/>
      <c r="C11" s="39" t="s">
        <v>1436</v>
      </c>
      <c r="D11" s="31">
        <v>0</v>
      </c>
      <c r="E11" s="21"/>
      <c r="F11" s="38"/>
    </row>
    <row r="12" spans="1:30" ht="15" customHeight="1" x14ac:dyDescent="0.25">
      <c r="A12" s="18"/>
      <c r="B12" s="35"/>
      <c r="C12" s="34"/>
      <c r="D12" s="33"/>
      <c r="E12" s="21"/>
      <c r="F12" s="38"/>
    </row>
    <row r="13" spans="1:30" ht="15" customHeight="1" x14ac:dyDescent="0.25">
      <c r="A13" s="18"/>
      <c r="B13" s="37" t="s">
        <v>3</v>
      </c>
      <c r="C13" s="36" t="s">
        <v>576</v>
      </c>
      <c r="D13" s="31">
        <v>0</v>
      </c>
      <c r="E13" s="21"/>
      <c r="F13" s="38"/>
    </row>
    <row r="14" spans="1:30" ht="15" customHeight="1" x14ac:dyDescent="0.25">
      <c r="A14" s="18"/>
      <c r="B14" s="37"/>
      <c r="C14" s="36" t="s">
        <v>577</v>
      </c>
      <c r="D14" s="31">
        <v>0</v>
      </c>
      <c r="E14" s="21"/>
      <c r="F14" s="38"/>
    </row>
    <row r="15" spans="1:30" ht="15" customHeight="1" x14ac:dyDescent="0.25">
      <c r="A15" s="18"/>
      <c r="B15" s="37"/>
      <c r="C15" s="36" t="s">
        <v>578</v>
      </c>
      <c r="D15" s="31">
        <v>0</v>
      </c>
      <c r="E15" s="21"/>
      <c r="F15" s="38"/>
    </row>
    <row r="16" spans="1:30" ht="15" customHeight="1" x14ac:dyDescent="0.25">
      <c r="A16" s="18"/>
      <c r="B16" s="37"/>
      <c r="C16" s="36" t="s">
        <v>579</v>
      </c>
      <c r="D16" s="31">
        <v>0</v>
      </c>
      <c r="E16" s="21"/>
    </row>
    <row r="17" spans="1:13" ht="15" customHeight="1" x14ac:dyDescent="0.25">
      <c r="A17" s="18"/>
      <c r="B17" s="37"/>
      <c r="C17" s="36" t="s">
        <v>586</v>
      </c>
      <c r="D17" s="31">
        <v>0</v>
      </c>
      <c r="E17" s="21"/>
    </row>
    <row r="18" spans="1:13" ht="15" customHeight="1" x14ac:dyDescent="0.25">
      <c r="A18" s="18"/>
      <c r="B18" s="37"/>
      <c r="C18" s="36" t="s">
        <v>609</v>
      </c>
      <c r="D18" s="31">
        <v>0</v>
      </c>
      <c r="E18" s="21"/>
    </row>
    <row r="19" spans="1:13" ht="15" customHeight="1" x14ac:dyDescent="0.25">
      <c r="A19" s="18"/>
      <c r="B19" s="37"/>
      <c r="C19" s="36" t="s">
        <v>926</v>
      </c>
      <c r="D19" s="31">
        <v>0</v>
      </c>
      <c r="E19" s="21"/>
    </row>
    <row r="20" spans="1:13" ht="15" customHeight="1" x14ac:dyDescent="0.25">
      <c r="A20" s="18"/>
      <c r="B20" s="37"/>
      <c r="C20" s="36" t="s">
        <v>947</v>
      </c>
      <c r="D20" s="31">
        <v>0</v>
      </c>
      <c r="E20" s="21"/>
      <c r="M20" s="17" t="s">
        <v>14</v>
      </c>
    </row>
    <row r="21" spans="1:13" ht="15" customHeight="1" x14ac:dyDescent="0.25">
      <c r="A21" s="18"/>
      <c r="B21" s="37"/>
      <c r="C21" s="36" t="s">
        <v>957</v>
      </c>
      <c r="D21" s="31">
        <v>0</v>
      </c>
      <c r="E21" s="21"/>
    </row>
    <row r="22" spans="1:13" ht="15" customHeight="1" x14ac:dyDescent="0.25">
      <c r="A22" s="18"/>
      <c r="B22" s="37"/>
      <c r="C22" s="36" t="s">
        <v>975</v>
      </c>
      <c r="D22" s="31">
        <v>0</v>
      </c>
      <c r="E22" s="21"/>
    </row>
    <row r="23" spans="1:13" ht="15" customHeight="1" x14ac:dyDescent="0.25">
      <c r="A23" s="18"/>
      <c r="B23" s="37"/>
      <c r="C23" s="36" t="s">
        <v>1005</v>
      </c>
      <c r="D23" s="31">
        <v>0</v>
      </c>
      <c r="E23" s="21"/>
    </row>
    <row r="24" spans="1:13" ht="15" customHeight="1" x14ac:dyDescent="0.25">
      <c r="A24" s="18"/>
      <c r="B24" s="37"/>
      <c r="C24" s="36" t="s">
        <v>1149</v>
      </c>
      <c r="D24" s="31">
        <v>0</v>
      </c>
      <c r="E24" s="21"/>
    </row>
    <row r="25" spans="1:13" ht="15" customHeight="1" x14ac:dyDescent="0.25">
      <c r="A25" s="18"/>
      <c r="B25" s="37"/>
      <c r="C25" s="36" t="s">
        <v>1189</v>
      </c>
      <c r="D25" s="31">
        <v>0</v>
      </c>
      <c r="E25" s="21"/>
    </row>
    <row r="26" spans="1:13" ht="15" customHeight="1" x14ac:dyDescent="0.25">
      <c r="A26" s="18"/>
      <c r="B26" s="37"/>
      <c r="C26" s="36" t="s">
        <v>1328</v>
      </c>
      <c r="D26" s="31">
        <v>0</v>
      </c>
      <c r="E26" s="21"/>
    </row>
    <row r="27" spans="1:13" ht="15" customHeight="1" x14ac:dyDescent="0.25">
      <c r="A27" s="18"/>
      <c r="B27" s="35"/>
      <c r="C27" s="34"/>
      <c r="D27" s="33"/>
      <c r="E27" s="21"/>
    </row>
    <row r="28" spans="1:13" ht="15" customHeight="1" x14ac:dyDescent="0.25">
      <c r="A28" s="18"/>
      <c r="B28" s="37" t="s">
        <v>4</v>
      </c>
      <c r="C28" s="36" t="s">
        <v>641</v>
      </c>
      <c r="D28" s="31">
        <v>0</v>
      </c>
      <c r="E28" s="21"/>
    </row>
    <row r="29" spans="1:13" ht="15" customHeight="1" x14ac:dyDescent="0.25">
      <c r="A29" s="18"/>
      <c r="B29" s="37"/>
      <c r="C29" s="36" t="s">
        <v>647</v>
      </c>
      <c r="D29" s="31">
        <v>0</v>
      </c>
      <c r="E29" s="21"/>
    </row>
    <row r="30" spans="1:13" ht="15" customHeight="1" x14ac:dyDescent="0.25">
      <c r="A30" s="18"/>
      <c r="B30" s="37"/>
      <c r="C30" s="36" t="s">
        <v>678</v>
      </c>
      <c r="D30" s="31">
        <v>0</v>
      </c>
      <c r="E30" s="21"/>
    </row>
    <row r="31" spans="1:13" ht="15" customHeight="1" x14ac:dyDescent="0.25">
      <c r="A31" s="18"/>
      <c r="B31" s="37"/>
      <c r="C31" s="36" t="s">
        <v>692</v>
      </c>
      <c r="D31" s="31">
        <v>0</v>
      </c>
      <c r="E31" s="21"/>
    </row>
    <row r="32" spans="1:13" ht="15" customHeight="1" x14ac:dyDescent="0.25">
      <c r="A32" s="18"/>
      <c r="B32" s="37"/>
      <c r="C32" s="36" t="s">
        <v>738</v>
      </c>
      <c r="D32" s="31">
        <v>0</v>
      </c>
      <c r="E32" s="21"/>
    </row>
    <row r="33" spans="1:5" ht="15" customHeight="1" x14ac:dyDescent="0.25">
      <c r="A33" s="18"/>
      <c r="B33" s="37"/>
      <c r="C33" s="36" t="s">
        <v>746</v>
      </c>
      <c r="D33" s="31">
        <v>0</v>
      </c>
      <c r="E33" s="21"/>
    </row>
    <row r="34" spans="1:5" ht="15" customHeight="1" x14ac:dyDescent="0.25">
      <c r="A34" s="18"/>
      <c r="B34" s="37"/>
      <c r="C34" s="36" t="s">
        <v>784</v>
      </c>
      <c r="D34" s="31">
        <v>0</v>
      </c>
      <c r="E34" s="21"/>
    </row>
    <row r="35" spans="1:5" ht="15" customHeight="1" x14ac:dyDescent="0.25">
      <c r="A35" s="18"/>
      <c r="B35" s="37"/>
      <c r="C35" s="36" t="s">
        <v>1102</v>
      </c>
      <c r="D35" s="31">
        <v>0</v>
      </c>
      <c r="E35" s="21"/>
    </row>
    <row r="36" spans="1:5" ht="15" customHeight="1" x14ac:dyDescent="0.25">
      <c r="A36" s="18"/>
      <c r="B36" s="37"/>
      <c r="C36" s="36" t="s">
        <v>1219</v>
      </c>
      <c r="D36" s="31">
        <v>0</v>
      </c>
      <c r="E36" s="21"/>
    </row>
    <row r="37" spans="1:5" ht="15" customHeight="1" x14ac:dyDescent="0.25">
      <c r="A37" s="18"/>
      <c r="B37" s="35"/>
      <c r="C37" s="34"/>
      <c r="D37" s="33"/>
      <c r="E37" s="21"/>
    </row>
    <row r="38" spans="1:5" ht="15" customHeight="1" x14ac:dyDescent="0.25">
      <c r="A38" s="18"/>
      <c r="B38" s="37" t="s">
        <v>5</v>
      </c>
      <c r="C38" s="36" t="s">
        <v>620</v>
      </c>
      <c r="D38" s="31">
        <v>0</v>
      </c>
      <c r="E38" s="21"/>
    </row>
    <row r="39" spans="1:5" ht="15" customHeight="1" x14ac:dyDescent="0.25">
      <c r="A39" s="18"/>
      <c r="B39" s="37"/>
      <c r="C39" s="36" t="s">
        <v>3414</v>
      </c>
      <c r="D39" s="31">
        <v>0</v>
      </c>
      <c r="E39" s="21"/>
    </row>
    <row r="40" spans="1:5" ht="15" customHeight="1" x14ac:dyDescent="0.25">
      <c r="A40" s="18"/>
      <c r="B40" s="35"/>
      <c r="C40" s="34"/>
      <c r="D40" s="33"/>
      <c r="E40" s="21"/>
    </row>
    <row r="41" spans="1:5" ht="15" customHeight="1" x14ac:dyDescent="0.25">
      <c r="A41" s="18"/>
      <c r="B41" s="37" t="s">
        <v>2198</v>
      </c>
      <c r="C41" s="36" t="s">
        <v>2136</v>
      </c>
      <c r="D41" s="31">
        <v>0</v>
      </c>
      <c r="E41" s="21"/>
    </row>
    <row r="42" spans="1:5" ht="15" customHeight="1" x14ac:dyDescent="0.25">
      <c r="A42" s="18"/>
      <c r="B42" s="35"/>
      <c r="C42" s="34"/>
      <c r="D42" s="33"/>
      <c r="E42" s="21"/>
    </row>
    <row r="43" spans="1:5" ht="15" customHeight="1" x14ac:dyDescent="0.25">
      <c r="A43" s="18"/>
      <c r="B43"/>
      <c r="C43" s="32" t="s">
        <v>3531</v>
      </c>
      <c r="D43" s="31">
        <v>0</v>
      </c>
      <c r="E43" s="21"/>
    </row>
    <row r="44" spans="1:5" ht="15" customHeight="1" x14ac:dyDescent="0.25">
      <c r="A44" s="18"/>
      <c r="B44" s="30"/>
      <c r="C44" s="29"/>
      <c r="D44" s="28"/>
      <c r="E44" s="21"/>
    </row>
    <row r="45" spans="1:5" ht="15" customHeight="1" x14ac:dyDescent="0.25">
      <c r="A45" s="18"/>
      <c r="B45" s="27"/>
      <c r="D45" s="17"/>
      <c r="E45" s="21"/>
    </row>
    <row r="46" spans="1:5" ht="15" customHeight="1" x14ac:dyDescent="0.25">
      <c r="A46" s="18"/>
      <c r="B46" s="25" t="s">
        <v>6</v>
      </c>
      <c r="C46" s="27"/>
      <c r="D46" s="26"/>
      <c r="E46" s="21"/>
    </row>
    <row r="47" spans="1:5" ht="15" customHeight="1" x14ac:dyDescent="0.25">
      <c r="A47" s="18"/>
      <c r="B47" s="25" t="s">
        <v>7</v>
      </c>
      <c r="D47" s="17"/>
      <c r="E47" s="21"/>
    </row>
    <row r="48" spans="1:5" ht="15" customHeight="1" x14ac:dyDescent="0.25">
      <c r="A48" s="18"/>
      <c r="D48" s="17"/>
      <c r="E48" s="21"/>
    </row>
    <row r="49" spans="1:6" ht="15" customHeight="1" x14ac:dyDescent="0.25">
      <c r="A49" s="18"/>
      <c r="B49" s="24" t="s">
        <v>8</v>
      </c>
      <c r="D49" s="23" t="s">
        <v>9</v>
      </c>
      <c r="E49" s="21"/>
    </row>
    <row r="50" spans="1:6" ht="15" customHeight="1" x14ac:dyDescent="0.25">
      <c r="A50" s="18"/>
      <c r="D50" s="17"/>
      <c r="E50" s="21"/>
    </row>
    <row r="51" spans="1:6" ht="15" customHeight="1" x14ac:dyDescent="0.25">
      <c r="A51" s="18"/>
      <c r="E51" s="22"/>
    </row>
    <row r="52" spans="1:6" x14ac:dyDescent="0.25">
      <c r="A52" s="18"/>
      <c r="B52" s="19"/>
      <c r="C52" s="19"/>
      <c r="D52" s="19"/>
      <c r="F52" s="21"/>
    </row>
    <row r="53" spans="1:6" x14ac:dyDescent="0.25">
      <c r="A53" s="18"/>
      <c r="D53" s="17"/>
      <c r="F53" s="21"/>
    </row>
    <row r="54" spans="1:6" x14ac:dyDescent="0.25">
      <c r="A54" s="18"/>
      <c r="D54" s="17"/>
      <c r="F54" s="21"/>
    </row>
    <row r="55" spans="1:6" x14ac:dyDescent="0.25">
      <c r="B55" s="19"/>
      <c r="C55" s="19"/>
      <c r="D55" s="20"/>
      <c r="E55" s="19"/>
    </row>
  </sheetData>
  <mergeCells count="2">
    <mergeCell ref="B3:D3"/>
    <mergeCell ref="B4:D4"/>
  </mergeCells>
  <hyperlinks>
    <hyperlink ref="D49" r:id="rId1" xr:uid="{8F32FCBC-F010-4351-8FC9-1630B14C20FB}"/>
  </hyperlinks>
  <pageMargins left="0.7" right="0.7" top="0.75" bottom="0.75" header="0.3" footer="0.3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30C59C-CC81-4406-80CB-055CAA8011E0}">
  <sheetPr codeName="Arkusz2"/>
  <dimension ref="A1:Y1206"/>
  <sheetViews>
    <sheetView showGridLines="0" tabSelected="1" zoomScale="90" zoomScaleNormal="90" workbookViewId="0">
      <pane ySplit="2" topLeftCell="A3" activePane="bottomLeft" state="frozen"/>
      <selection pane="bottomLeft" activeCell="A5" sqref="A5"/>
    </sheetView>
  </sheetViews>
  <sheetFormatPr defaultColWidth="9.140625" defaultRowHeight="12.75" x14ac:dyDescent="0.2"/>
  <cols>
    <col min="1" max="1" width="14.7109375" style="2" customWidth="1"/>
    <col min="2" max="2" width="25.140625" style="2" bestFit="1" customWidth="1"/>
    <col min="3" max="3" width="27.85546875" style="2" bestFit="1" customWidth="1"/>
    <col min="4" max="4" width="19.42578125" style="2" bestFit="1" customWidth="1"/>
    <col min="5" max="5" width="47.85546875" style="2" bestFit="1" customWidth="1"/>
    <col min="6" max="6" width="16.5703125" style="2" bestFit="1" customWidth="1"/>
    <col min="7" max="7" width="13.5703125" style="2" bestFit="1" customWidth="1"/>
    <col min="8" max="8" width="13.85546875" style="3" bestFit="1" customWidth="1"/>
    <col min="9" max="9" width="13.85546875" style="3" customWidth="1"/>
    <col min="10" max="10" width="10.5703125" style="2" bestFit="1" customWidth="1"/>
    <col min="11" max="11" width="17.42578125" style="2" customWidth="1"/>
    <col min="12" max="12" width="13.42578125" style="2" bestFit="1" customWidth="1"/>
    <col min="13" max="13" width="13.5703125" style="2" customWidth="1"/>
    <col min="14" max="14" width="12.5703125" style="2" customWidth="1"/>
    <col min="15" max="15" width="18" style="2" customWidth="1"/>
    <col min="16" max="16" width="125" style="2" bestFit="1" customWidth="1"/>
    <col min="17" max="17" width="39.42578125" style="2" bestFit="1" customWidth="1"/>
    <col min="18" max="16384" width="9.140625" style="2"/>
  </cols>
  <sheetData>
    <row r="1" spans="1:25" ht="45" customHeight="1" x14ac:dyDescent="0.2">
      <c r="C1" s="8" t="s">
        <v>10</v>
      </c>
      <c r="D1" s="15">
        <f>Rabat!C6</f>
        <v>46267</v>
      </c>
      <c r="E1" s="9" t="s">
        <v>9</v>
      </c>
      <c r="K1" s="4"/>
      <c r="O1" s="5"/>
    </row>
    <row r="2" spans="1:25" ht="38.25" x14ac:dyDescent="0.2">
      <c r="A2" s="6" t="s">
        <v>3734</v>
      </c>
      <c r="B2" s="6" t="s">
        <v>563</v>
      </c>
      <c r="C2" s="6" t="s">
        <v>564</v>
      </c>
      <c r="D2" s="6" t="s">
        <v>561</v>
      </c>
      <c r="E2" s="6" t="s">
        <v>565</v>
      </c>
      <c r="F2" s="6" t="s">
        <v>562</v>
      </c>
      <c r="G2" s="6" t="s">
        <v>566</v>
      </c>
      <c r="H2" s="7" t="s">
        <v>567</v>
      </c>
      <c r="I2" s="7" t="s">
        <v>568</v>
      </c>
      <c r="J2" s="6" t="s">
        <v>12</v>
      </c>
      <c r="K2" s="6" t="s">
        <v>569</v>
      </c>
      <c r="L2" s="6" t="s">
        <v>570</v>
      </c>
      <c r="M2" s="6" t="s">
        <v>571</v>
      </c>
      <c r="N2" s="6" t="s">
        <v>572</v>
      </c>
      <c r="O2" s="6" t="s">
        <v>573</v>
      </c>
      <c r="P2" s="6" t="s">
        <v>3164</v>
      </c>
      <c r="Q2" s="6" t="s">
        <v>574</v>
      </c>
      <c r="R2" s="6" t="s">
        <v>1946</v>
      </c>
      <c r="S2" s="6" t="s">
        <v>2494</v>
      </c>
      <c r="T2" s="6" t="s">
        <v>2495</v>
      </c>
      <c r="U2" s="6" t="s">
        <v>2492</v>
      </c>
      <c r="V2" s="6" t="s">
        <v>2493</v>
      </c>
      <c r="W2" s="6" t="s">
        <v>2633</v>
      </c>
      <c r="X2" s="6" t="s">
        <v>2634</v>
      </c>
      <c r="Y2" s="6" t="s">
        <v>2635</v>
      </c>
    </row>
    <row r="3" spans="1:25" ht="60" customHeight="1" x14ac:dyDescent="0.25">
      <c r="A3" t="e" vm="1">
        <v>#VALUE!</v>
      </c>
      <c r="B3" t="s">
        <v>4</v>
      </c>
      <c r="C3" t="s">
        <v>3736</v>
      </c>
      <c r="D3" t="s">
        <v>644</v>
      </c>
      <c r="E3" t="s">
        <v>3737</v>
      </c>
      <c r="F3" t="s">
        <v>3738</v>
      </c>
      <c r="G3" t="s">
        <v>784</v>
      </c>
      <c r="H3" s="11">
        <v>44.46</v>
      </c>
      <c r="I3" s="10">
        <f>H3*(1-IFERROR(VLOOKUP(G3,Rabat!$C$9:$D$43,2,0),0))</f>
        <v>44.46</v>
      </c>
      <c r="J3" t="s">
        <v>1815</v>
      </c>
      <c r="K3" t="s">
        <v>4100</v>
      </c>
      <c r="L3" t="s">
        <v>1813</v>
      </c>
      <c r="M3">
        <v>50</v>
      </c>
      <c r="N3"/>
      <c r="O3" t="s">
        <v>1818</v>
      </c>
      <c r="P3" s="12" t="str">
        <f>HYPERLINK("https://b2b.kobi.pl/pl/product/13437,lampka-nocna-led-dream-ball-1-kobi-design?currency=PLN")</f>
        <v>https://b2b.kobi.pl/pl/product/13437,lampka-nocna-led-dream-ball-1-kobi-design?currency=PLN</v>
      </c>
      <c r="Q3" t="s">
        <v>14</v>
      </c>
      <c r="R3" t="s">
        <v>4101</v>
      </c>
      <c r="S3" t="s">
        <v>4102</v>
      </c>
      <c r="T3">
        <v>0.16</v>
      </c>
      <c r="U3">
        <v>0.19</v>
      </c>
      <c r="V3">
        <v>0.22800000000000001</v>
      </c>
      <c r="W3">
        <v>11</v>
      </c>
      <c r="X3">
        <v>13.3</v>
      </c>
      <c r="Y3">
        <v>10.5</v>
      </c>
    </row>
    <row r="4" spans="1:25" ht="60" customHeight="1" x14ac:dyDescent="0.25">
      <c r="A4" t="e" vm="2">
        <v>#VALUE!</v>
      </c>
      <c r="B4" t="s">
        <v>4</v>
      </c>
      <c r="C4" t="s">
        <v>3736</v>
      </c>
      <c r="D4" t="s">
        <v>644</v>
      </c>
      <c r="E4" t="s">
        <v>3739</v>
      </c>
      <c r="F4" t="s">
        <v>3740</v>
      </c>
      <c r="G4" t="s">
        <v>784</v>
      </c>
      <c r="H4" s="11">
        <v>39.25</v>
      </c>
      <c r="I4" s="10">
        <f>H4*(1-IFERROR(VLOOKUP(G4,Rabat!$C$9:$D$43,2,0),0))</f>
        <v>39.25</v>
      </c>
      <c r="J4" t="s">
        <v>1815</v>
      </c>
      <c r="K4" t="s">
        <v>4103</v>
      </c>
      <c r="L4" t="s">
        <v>1813</v>
      </c>
      <c r="M4">
        <v>50</v>
      </c>
      <c r="N4"/>
      <c r="O4" t="s">
        <v>1818</v>
      </c>
      <c r="P4" s="12" t="str">
        <f>HYPERLINK("https://b2b.kobi.pl/pl/product/13438,lampka-nocna-led-dream-ball-2-kobi-design?currency=PLN")</f>
        <v>https://b2b.kobi.pl/pl/product/13438,lampka-nocna-led-dream-ball-2-kobi-design?currency=PLN</v>
      </c>
      <c r="Q4" t="s">
        <v>14</v>
      </c>
      <c r="R4" t="s">
        <v>4101</v>
      </c>
      <c r="S4" t="s">
        <v>4102</v>
      </c>
      <c r="T4">
        <v>0.13</v>
      </c>
      <c r="U4">
        <v>0.158</v>
      </c>
      <c r="V4">
        <v>0.19700000000000001</v>
      </c>
      <c r="W4">
        <v>13.5</v>
      </c>
      <c r="X4">
        <v>10.5</v>
      </c>
      <c r="Y4">
        <v>8.3000000000000007</v>
      </c>
    </row>
    <row r="5" spans="1:25" ht="60" customHeight="1" x14ac:dyDescent="0.25">
      <c r="A5" t="e" vm="3">
        <v>#VALUE!</v>
      </c>
      <c r="B5" t="s">
        <v>4</v>
      </c>
      <c r="C5" t="s">
        <v>3736</v>
      </c>
      <c r="D5" t="s">
        <v>644</v>
      </c>
      <c r="E5" t="s">
        <v>3741</v>
      </c>
      <c r="F5" t="s">
        <v>3742</v>
      </c>
      <c r="G5" t="s">
        <v>784</v>
      </c>
      <c r="H5" s="11">
        <v>43.17</v>
      </c>
      <c r="I5" s="10">
        <f>H5*(1-IFERROR(VLOOKUP(G5,Rabat!$C$9:$D$43,2,0),0))</f>
        <v>43.17</v>
      </c>
      <c r="J5" t="s">
        <v>1815</v>
      </c>
      <c r="K5" t="s">
        <v>4104</v>
      </c>
      <c r="L5" t="s">
        <v>1813</v>
      </c>
      <c r="M5">
        <v>50</v>
      </c>
      <c r="N5"/>
      <c r="O5" t="s">
        <v>1818</v>
      </c>
      <c r="P5" s="12" t="str">
        <f>HYPERLINK("https://b2b.kobi.pl/pl/product/13470,lampka-nocna-led-dream-cat-kobi-design?currency=PLN")</f>
        <v>https://b2b.kobi.pl/pl/product/13470,lampka-nocna-led-dream-cat-kobi-design?currency=PLN</v>
      </c>
      <c r="Q5" t="s">
        <v>14</v>
      </c>
      <c r="R5" t="s">
        <v>4101</v>
      </c>
      <c r="S5" t="s">
        <v>4102</v>
      </c>
      <c r="T5">
        <v>0.14000000000000001</v>
      </c>
      <c r="U5">
        <v>0.16500000000000001</v>
      </c>
      <c r="V5">
        <v>0.2</v>
      </c>
      <c r="W5">
        <v>14</v>
      </c>
      <c r="X5">
        <v>9</v>
      </c>
      <c r="Y5">
        <v>7.5</v>
      </c>
    </row>
    <row r="6" spans="1:25" ht="60" customHeight="1" x14ac:dyDescent="0.25">
      <c r="A6"/>
      <c r="B6" t="s">
        <v>3743</v>
      </c>
      <c r="C6" t="s">
        <v>3744</v>
      </c>
      <c r="D6" t="s">
        <v>1004</v>
      </c>
      <c r="E6" t="s">
        <v>1386</v>
      </c>
      <c r="F6" t="s">
        <v>1387</v>
      </c>
      <c r="G6" t="s">
        <v>1385</v>
      </c>
      <c r="H6" s="11">
        <v>8.42</v>
      </c>
      <c r="I6" s="10">
        <f>H6*(1-IFERROR(VLOOKUP(G6,Rabat!$C$9:$D$43,2,0),0))</f>
        <v>8.42</v>
      </c>
      <c r="J6" t="s">
        <v>1816</v>
      </c>
      <c r="K6" t="s">
        <v>136</v>
      </c>
      <c r="L6" t="s">
        <v>1813</v>
      </c>
      <c r="M6">
        <v>25</v>
      </c>
      <c r="N6">
        <v>1575</v>
      </c>
      <c r="O6" t="s">
        <v>1818</v>
      </c>
      <c r="P6" s="12" t="str">
        <f>HYPERLINK("https://b2b.kobi.pl/pl/product/12247,swietlowka-led-t8-9w-60cm-4000k-led2b-red?currency=PLN")</f>
        <v>https://b2b.kobi.pl/pl/product/12247,swietlowka-led-t8-9w-60cm-4000k-led2b-red?currency=PLN</v>
      </c>
      <c r="Q6" s="12" t="str">
        <f>HYPERLINK("https://eprel.ec.europa.eu/qr/1694474")</f>
        <v>https://eprel.ec.europa.eu/qr/1694474</v>
      </c>
      <c r="R6"/>
      <c r="S6" t="s">
        <v>2569</v>
      </c>
      <c r="T6">
        <v>0.08</v>
      </c>
      <c r="U6">
        <v>9.0999999999999998E-2</v>
      </c>
      <c r="V6">
        <v>9.2999999999999999E-2</v>
      </c>
      <c r="W6">
        <v>60</v>
      </c>
      <c r="X6">
        <v>2.8</v>
      </c>
      <c r="Y6">
        <v>2.8</v>
      </c>
    </row>
    <row r="7" spans="1:25" ht="60" customHeight="1" x14ac:dyDescent="0.25">
      <c r="A7"/>
      <c r="B7" t="s">
        <v>3743</v>
      </c>
      <c r="C7" t="s">
        <v>3744</v>
      </c>
      <c r="D7" t="s">
        <v>1004</v>
      </c>
      <c r="E7" t="s">
        <v>1388</v>
      </c>
      <c r="F7" t="s">
        <v>1389</v>
      </c>
      <c r="G7" t="s">
        <v>1385</v>
      </c>
      <c r="H7" s="11">
        <v>8.42</v>
      </c>
      <c r="I7" s="10">
        <f>H7*(1-IFERROR(VLOOKUP(G7,Rabat!$C$9:$D$43,2,0),0))</f>
        <v>8.42</v>
      </c>
      <c r="J7" t="s">
        <v>1816</v>
      </c>
      <c r="K7" t="s">
        <v>137</v>
      </c>
      <c r="L7" t="s">
        <v>1813</v>
      </c>
      <c r="M7">
        <v>25</v>
      </c>
      <c r="N7">
        <v>1575</v>
      </c>
      <c r="O7" t="s">
        <v>1818</v>
      </c>
      <c r="P7" s="12" t="str">
        <f>HYPERLINK("https://b2b.kobi.pl/pl/product/12248,swietlowka-led-t8-9w-60cm-6500k-led2b-red?currency=PLN")</f>
        <v>https://b2b.kobi.pl/pl/product/12248,swietlowka-led-t8-9w-60cm-6500k-led2b-red?currency=PLN</v>
      </c>
      <c r="Q7" s="12" t="str">
        <f>HYPERLINK("https://eprel.ec.europa.eu/qr/1694534")</f>
        <v>https://eprel.ec.europa.eu/qr/1694534</v>
      </c>
      <c r="R7"/>
      <c r="S7" t="s">
        <v>2569</v>
      </c>
      <c r="T7">
        <v>0.08</v>
      </c>
      <c r="U7">
        <v>9.0999999999999998E-2</v>
      </c>
      <c r="V7">
        <v>9.2999999999999999E-2</v>
      </c>
      <c r="W7">
        <v>60</v>
      </c>
      <c r="X7">
        <v>2.8</v>
      </c>
      <c r="Y7">
        <v>2.8</v>
      </c>
    </row>
    <row r="8" spans="1:25" ht="60" customHeight="1" x14ac:dyDescent="0.25">
      <c r="A8"/>
      <c r="B8" t="s">
        <v>3743</v>
      </c>
      <c r="C8" t="s">
        <v>3744</v>
      </c>
      <c r="D8" t="s">
        <v>1004</v>
      </c>
      <c r="E8" t="s">
        <v>1390</v>
      </c>
      <c r="F8" t="s">
        <v>1391</v>
      </c>
      <c r="G8" t="s">
        <v>1385</v>
      </c>
      <c r="H8" s="11">
        <v>10.67</v>
      </c>
      <c r="I8" s="10">
        <f>H8*(1-IFERROR(VLOOKUP(G8,Rabat!$C$9:$D$43,2,0),0))</f>
        <v>10.67</v>
      </c>
      <c r="J8" t="s">
        <v>1816</v>
      </c>
      <c r="K8" t="s">
        <v>138</v>
      </c>
      <c r="L8" t="s">
        <v>1813</v>
      </c>
      <c r="M8">
        <v>25</v>
      </c>
      <c r="N8">
        <v>1080</v>
      </c>
      <c r="O8" t="s">
        <v>1818</v>
      </c>
      <c r="P8" s="12" t="str">
        <f>HYPERLINK("https://b2b.kobi.pl/pl/product/12243,swietlowka-led-t8-18w-120cm-4000k-led2b-red?currency=PLN")</f>
        <v>https://b2b.kobi.pl/pl/product/12243,swietlowka-led-t8-18w-120cm-4000k-led2b-red?currency=PLN</v>
      </c>
      <c r="Q8" s="12" t="str">
        <f>HYPERLINK("https://eprel.ec.europa.eu/qr/1694581")</f>
        <v>https://eprel.ec.europa.eu/qr/1694581</v>
      </c>
      <c r="R8"/>
      <c r="S8" t="s">
        <v>2569</v>
      </c>
      <c r="T8">
        <v>0.15</v>
      </c>
      <c r="U8">
        <v>0.18</v>
      </c>
      <c r="V8">
        <v>0.2</v>
      </c>
      <c r="W8">
        <v>120</v>
      </c>
      <c r="X8">
        <v>2.8</v>
      </c>
      <c r="Y8">
        <v>2.8</v>
      </c>
    </row>
    <row r="9" spans="1:25" ht="60" customHeight="1" x14ac:dyDescent="0.25">
      <c r="A9"/>
      <c r="B9" t="s">
        <v>3743</v>
      </c>
      <c r="C9" t="s">
        <v>3744</v>
      </c>
      <c r="D9" t="s">
        <v>1004</v>
      </c>
      <c r="E9" t="s">
        <v>1392</v>
      </c>
      <c r="F9" t="s">
        <v>1393</v>
      </c>
      <c r="G9" t="s">
        <v>1385</v>
      </c>
      <c r="H9" s="11">
        <v>10.67</v>
      </c>
      <c r="I9" s="10">
        <f>H9*(1-IFERROR(VLOOKUP(G9,Rabat!$C$9:$D$43,2,0),0))</f>
        <v>10.67</v>
      </c>
      <c r="J9" t="s">
        <v>1816</v>
      </c>
      <c r="K9" t="s">
        <v>139</v>
      </c>
      <c r="L9" t="s">
        <v>1813</v>
      </c>
      <c r="M9">
        <v>25</v>
      </c>
      <c r="N9">
        <v>900</v>
      </c>
      <c r="O9" t="s">
        <v>1818</v>
      </c>
      <c r="P9" s="12" t="str">
        <f>HYPERLINK("https://b2b.kobi.pl/pl/product/12244,swietlowka-led-t8-18w-120cm-6500k-led2b-red?currency=PLN")</f>
        <v>https://b2b.kobi.pl/pl/product/12244,swietlowka-led-t8-18w-120cm-6500k-led2b-red?currency=PLN</v>
      </c>
      <c r="Q9" s="12" t="str">
        <f>HYPERLINK("https://eprel.ec.europa.eu/qr/1694744")</f>
        <v>https://eprel.ec.europa.eu/qr/1694744</v>
      </c>
      <c r="R9"/>
      <c r="S9" t="s">
        <v>2569</v>
      </c>
      <c r="T9">
        <v>0.15</v>
      </c>
      <c r="U9">
        <v>0.18</v>
      </c>
      <c r="V9">
        <v>0.2</v>
      </c>
      <c r="W9">
        <v>120</v>
      </c>
      <c r="X9">
        <v>2.8</v>
      </c>
      <c r="Y9">
        <v>2.8</v>
      </c>
    </row>
    <row r="10" spans="1:25" ht="60" customHeight="1" x14ac:dyDescent="0.25">
      <c r="A10"/>
      <c r="B10" t="s">
        <v>3743</v>
      </c>
      <c r="C10" t="s">
        <v>3744</v>
      </c>
      <c r="D10" t="s">
        <v>1004</v>
      </c>
      <c r="E10" t="s">
        <v>1394</v>
      </c>
      <c r="F10" t="s">
        <v>1395</v>
      </c>
      <c r="G10" t="s">
        <v>1385</v>
      </c>
      <c r="H10" s="11">
        <v>14.42</v>
      </c>
      <c r="I10" s="10">
        <f>H10*(1-IFERROR(VLOOKUP(G10,Rabat!$C$9:$D$43,2,0),0))</f>
        <v>14.42</v>
      </c>
      <c r="J10" t="s">
        <v>1816</v>
      </c>
      <c r="K10" t="s">
        <v>140</v>
      </c>
      <c r="L10" t="s">
        <v>1813</v>
      </c>
      <c r="M10">
        <v>25</v>
      </c>
      <c r="N10">
        <v>840</v>
      </c>
      <c r="O10" t="s">
        <v>1818</v>
      </c>
      <c r="P10" s="12" t="str">
        <f>HYPERLINK("https://b2b.kobi.pl/pl/product/12245,swietlowka-led-t8-22w-150cm-4000k-led2b-red?currency=PLN")</f>
        <v>https://b2b.kobi.pl/pl/product/12245,swietlowka-led-t8-22w-150cm-4000k-led2b-red?currency=PLN</v>
      </c>
      <c r="Q10" s="12" t="str">
        <f>HYPERLINK("https://eprel.ec.europa.eu/qr/1694757")</f>
        <v>https://eprel.ec.europa.eu/qr/1694757</v>
      </c>
      <c r="R10"/>
      <c r="S10" t="s">
        <v>2569</v>
      </c>
      <c r="T10">
        <v>0.14000000000000001</v>
      </c>
      <c r="U10">
        <v>0.16800000000000001</v>
      </c>
      <c r="V10">
        <v>0.17199999999999999</v>
      </c>
      <c r="W10">
        <v>150</v>
      </c>
      <c r="X10">
        <v>2.8</v>
      </c>
      <c r="Y10">
        <v>2.8</v>
      </c>
    </row>
    <row r="11" spans="1:25" ht="60" customHeight="1" x14ac:dyDescent="0.25">
      <c r="A11"/>
      <c r="B11" t="s">
        <v>3743</v>
      </c>
      <c r="C11" t="s">
        <v>3744</v>
      </c>
      <c r="D11" t="s">
        <v>1004</v>
      </c>
      <c r="E11" t="s">
        <v>1396</v>
      </c>
      <c r="F11" t="s">
        <v>1397</v>
      </c>
      <c r="G11" t="s">
        <v>1385</v>
      </c>
      <c r="H11" s="11">
        <v>14.42</v>
      </c>
      <c r="I11" s="10">
        <f>H11*(1-IFERROR(VLOOKUP(G11,Rabat!$C$9:$D$43,2,0),0))</f>
        <v>14.42</v>
      </c>
      <c r="J11" t="s">
        <v>1816</v>
      </c>
      <c r="K11" t="s">
        <v>141</v>
      </c>
      <c r="L11" t="s">
        <v>1813</v>
      </c>
      <c r="M11">
        <v>25</v>
      </c>
      <c r="N11">
        <v>700</v>
      </c>
      <c r="O11" t="s">
        <v>1818</v>
      </c>
      <c r="P11" s="12" t="str">
        <f>HYPERLINK("https://b2b.kobi.pl/pl/product/12246,swietlowka-led-t8-22w-150cm-6500k-led2b-red?currency=PLN")</f>
        <v>https://b2b.kobi.pl/pl/product/12246,swietlowka-led-t8-22w-150cm-6500k-led2b-red?currency=PLN</v>
      </c>
      <c r="Q11" s="12" t="str">
        <f>HYPERLINK("https://eprel.ec.europa.eu/qr/1694771")</f>
        <v>https://eprel.ec.europa.eu/qr/1694771</v>
      </c>
      <c r="R11"/>
      <c r="S11" t="s">
        <v>2569</v>
      </c>
      <c r="T11">
        <v>0.14000000000000001</v>
      </c>
      <c r="U11">
        <v>0.16800000000000001</v>
      </c>
      <c r="V11">
        <v>0.17199999999999999</v>
      </c>
      <c r="W11">
        <v>150</v>
      </c>
      <c r="X11">
        <v>2.8</v>
      </c>
      <c r="Y11">
        <v>2.8</v>
      </c>
    </row>
    <row r="12" spans="1:25" ht="60" customHeight="1" x14ac:dyDescent="0.25">
      <c r="A12"/>
      <c r="B12" t="s">
        <v>3743</v>
      </c>
      <c r="C12" t="s">
        <v>3744</v>
      </c>
      <c r="D12" t="s">
        <v>606</v>
      </c>
      <c r="E12" t="s">
        <v>1398</v>
      </c>
      <c r="F12" t="s">
        <v>1399</v>
      </c>
      <c r="G12" t="s">
        <v>1385</v>
      </c>
      <c r="H12" s="11">
        <v>16.440000000000001</v>
      </c>
      <c r="I12" s="10">
        <f>H12*(1-IFERROR(VLOOKUP(G12,Rabat!$C$9:$D$43,2,0),0))</f>
        <v>16.440000000000001</v>
      </c>
      <c r="J12" t="s">
        <v>1817</v>
      </c>
      <c r="K12" t="s">
        <v>1890</v>
      </c>
      <c r="L12" t="s">
        <v>1813</v>
      </c>
      <c r="M12">
        <v>25</v>
      </c>
      <c r="N12">
        <v>1575</v>
      </c>
      <c r="O12" t="s">
        <v>1819</v>
      </c>
      <c r="P12" s="12" t="str">
        <f>HYPERLINK("https://b2b.kobi.pl/pl/product/12367,swietlowka-led-t8-g2-9w-60cm-4000k-kobi-premium?currency=PLN")</f>
        <v>https://b2b.kobi.pl/pl/product/12367,swietlowka-led-t8-g2-9w-60cm-4000k-kobi-premium?currency=PLN</v>
      </c>
      <c r="Q12" s="12" t="str">
        <f>HYPERLINK("https://eprel.ec.europa.eu/qr/2219283")</f>
        <v>https://eprel.ec.europa.eu/qr/2219283</v>
      </c>
      <c r="R12"/>
      <c r="S12" t="s">
        <v>2569</v>
      </c>
      <c r="T12">
        <v>0.08</v>
      </c>
      <c r="U12">
        <v>0.09</v>
      </c>
      <c r="V12">
        <v>0.13400000000000001</v>
      </c>
      <c r="W12">
        <v>61.4</v>
      </c>
      <c r="X12">
        <v>4</v>
      </c>
      <c r="Y12">
        <v>3.3</v>
      </c>
    </row>
    <row r="13" spans="1:25" ht="60" customHeight="1" x14ac:dyDescent="0.25">
      <c r="A13"/>
      <c r="B13" t="s">
        <v>3743</v>
      </c>
      <c r="C13" t="s">
        <v>3744</v>
      </c>
      <c r="D13" t="s">
        <v>606</v>
      </c>
      <c r="E13" t="s">
        <v>1400</v>
      </c>
      <c r="F13" t="s">
        <v>1401</v>
      </c>
      <c r="G13" t="s">
        <v>1385</v>
      </c>
      <c r="H13" s="11">
        <v>16.440000000000001</v>
      </c>
      <c r="I13" s="10">
        <f>H13*(1-IFERROR(VLOOKUP(G13,Rabat!$C$9:$D$43,2,0),0))</f>
        <v>16.440000000000001</v>
      </c>
      <c r="J13" t="s">
        <v>1817</v>
      </c>
      <c r="K13" t="s">
        <v>1891</v>
      </c>
      <c r="L13" t="s">
        <v>1813</v>
      </c>
      <c r="M13">
        <v>25</v>
      </c>
      <c r="N13">
        <v>1575</v>
      </c>
      <c r="O13" t="s">
        <v>1819</v>
      </c>
      <c r="P13" s="12" t="str">
        <f>HYPERLINK("https://b2b.kobi.pl/pl/product/12368,swietlowka-led-t8-g2-9w-60cm-6500k-kobi-premium?currency=PLN")</f>
        <v>https://b2b.kobi.pl/pl/product/12368,swietlowka-led-t8-g2-9w-60cm-6500k-kobi-premium?currency=PLN</v>
      </c>
      <c r="Q13" s="12" t="str">
        <f>HYPERLINK("https://eprel.ec.europa.eu/qr/2219314")</f>
        <v>https://eprel.ec.europa.eu/qr/2219314</v>
      </c>
      <c r="R13"/>
      <c r="S13" t="s">
        <v>2569</v>
      </c>
      <c r="T13">
        <v>0.08</v>
      </c>
      <c r="U13">
        <v>0.09</v>
      </c>
      <c r="V13">
        <v>0.13400000000000001</v>
      </c>
      <c r="W13">
        <v>61.4</v>
      </c>
      <c r="X13">
        <v>4</v>
      </c>
      <c r="Y13">
        <v>3.3</v>
      </c>
    </row>
    <row r="14" spans="1:25" ht="60" customHeight="1" x14ac:dyDescent="0.25">
      <c r="A14"/>
      <c r="B14" t="s">
        <v>3743</v>
      </c>
      <c r="C14" t="s">
        <v>3744</v>
      </c>
      <c r="D14" t="s">
        <v>606</v>
      </c>
      <c r="E14" t="s">
        <v>1402</v>
      </c>
      <c r="F14" t="s">
        <v>1403</v>
      </c>
      <c r="G14" t="s">
        <v>1385</v>
      </c>
      <c r="H14" s="11">
        <v>22</v>
      </c>
      <c r="I14" s="10">
        <f>H14*(1-IFERROR(VLOOKUP(G14,Rabat!$C$9:$D$43,2,0),0))</f>
        <v>22</v>
      </c>
      <c r="J14" t="s">
        <v>1823</v>
      </c>
      <c r="K14" t="s">
        <v>1892</v>
      </c>
      <c r="L14" t="s">
        <v>1813</v>
      </c>
      <c r="M14">
        <v>25</v>
      </c>
      <c r="N14">
        <v>900</v>
      </c>
      <c r="O14" t="s">
        <v>1819</v>
      </c>
      <c r="P14" s="12" t="str">
        <f>HYPERLINK("https://b2b.kobi.pl/pl/product/12369,swietlowka-led-t8-g2-18w-120cm-3000k-kobi-premium?currency=PLN")</f>
        <v>https://b2b.kobi.pl/pl/product/12369,swietlowka-led-t8-g2-18w-120cm-3000k-kobi-premium?currency=PLN</v>
      </c>
      <c r="Q14" s="12" t="str">
        <f>HYPERLINK("https://eprel.ec.europa.eu/qr/2214880")</f>
        <v>https://eprel.ec.europa.eu/qr/2214880</v>
      </c>
      <c r="R14"/>
      <c r="S14" t="s">
        <v>2569</v>
      </c>
      <c r="T14">
        <v>0.15</v>
      </c>
      <c r="U14">
        <v>0.17499999999999999</v>
      </c>
      <c r="V14">
        <v>0.26</v>
      </c>
      <c r="W14">
        <v>122.4</v>
      </c>
      <c r="X14">
        <v>4</v>
      </c>
      <c r="Y14">
        <v>3.3</v>
      </c>
    </row>
    <row r="15" spans="1:25" ht="60" customHeight="1" x14ac:dyDescent="0.25">
      <c r="A15"/>
      <c r="B15" t="s">
        <v>3743</v>
      </c>
      <c r="C15" t="s">
        <v>3744</v>
      </c>
      <c r="D15" t="s">
        <v>606</v>
      </c>
      <c r="E15" t="s">
        <v>1404</v>
      </c>
      <c r="F15" t="s">
        <v>1405</v>
      </c>
      <c r="G15" t="s">
        <v>1385</v>
      </c>
      <c r="H15" s="11">
        <v>19.98</v>
      </c>
      <c r="I15" s="10">
        <f>H15*(1-IFERROR(VLOOKUP(G15,Rabat!$C$9:$D$43,2,0),0))</f>
        <v>19.98</v>
      </c>
      <c r="J15" t="s">
        <v>1817</v>
      </c>
      <c r="K15" t="s">
        <v>1893</v>
      </c>
      <c r="L15" t="s">
        <v>1813</v>
      </c>
      <c r="M15">
        <v>25</v>
      </c>
      <c r="N15">
        <v>900</v>
      </c>
      <c r="O15" t="s">
        <v>1819</v>
      </c>
      <c r="P15" s="12" t="str">
        <f>HYPERLINK("https://b2b.kobi.pl/pl/product/12370,swietlowka-led-t8-g2-18w-120cm-4000k-kobi-premium?currency=PLN")</f>
        <v>https://b2b.kobi.pl/pl/product/12370,swietlowka-led-t8-g2-18w-120cm-4000k-kobi-premium?currency=PLN</v>
      </c>
      <c r="Q15" s="12" t="str">
        <f>HYPERLINK("https://eprel.ec.europa.eu/qr/2214801")</f>
        <v>https://eprel.ec.europa.eu/qr/2214801</v>
      </c>
      <c r="R15"/>
      <c r="S15" t="s">
        <v>2569</v>
      </c>
      <c r="T15">
        <v>0.15</v>
      </c>
      <c r="U15">
        <v>0.17499999999999999</v>
      </c>
      <c r="V15">
        <v>0.26</v>
      </c>
      <c r="W15">
        <v>122.4</v>
      </c>
      <c r="X15">
        <v>4</v>
      </c>
      <c r="Y15">
        <v>3.3</v>
      </c>
    </row>
    <row r="16" spans="1:25" ht="60" customHeight="1" x14ac:dyDescent="0.25">
      <c r="A16"/>
      <c r="B16" t="s">
        <v>3743</v>
      </c>
      <c r="C16" t="s">
        <v>3744</v>
      </c>
      <c r="D16" t="s">
        <v>606</v>
      </c>
      <c r="E16" t="s">
        <v>1406</v>
      </c>
      <c r="F16" t="s">
        <v>1407</v>
      </c>
      <c r="G16" t="s">
        <v>1385</v>
      </c>
      <c r="H16" s="11">
        <v>19.98</v>
      </c>
      <c r="I16" s="10">
        <f>H16*(1-IFERROR(VLOOKUP(G16,Rabat!$C$9:$D$43,2,0),0))</f>
        <v>19.98</v>
      </c>
      <c r="J16" t="s">
        <v>1817</v>
      </c>
      <c r="K16" t="s">
        <v>1894</v>
      </c>
      <c r="L16" t="s">
        <v>1813</v>
      </c>
      <c r="M16">
        <v>25</v>
      </c>
      <c r="N16">
        <v>900</v>
      </c>
      <c r="O16" t="s">
        <v>1819</v>
      </c>
      <c r="P16" s="12" t="str">
        <f>HYPERLINK("https://b2b.kobi.pl/pl/product/12371,swietlowka-led-t8-g2-18w-120cm-6500k-kobi-premium?currency=PLN")</f>
        <v>https://b2b.kobi.pl/pl/product/12371,swietlowka-led-t8-g2-18w-120cm-6500k-kobi-premium?currency=PLN</v>
      </c>
      <c r="Q16" s="12" t="str">
        <f>HYPERLINK("https://eprel.ec.europa.eu/qr/2214807")</f>
        <v>https://eprel.ec.europa.eu/qr/2214807</v>
      </c>
      <c r="R16"/>
      <c r="S16" t="s">
        <v>2569</v>
      </c>
      <c r="T16">
        <v>0.15</v>
      </c>
      <c r="U16">
        <v>0.17499999999999999</v>
      </c>
      <c r="V16">
        <v>0.26</v>
      </c>
      <c r="W16">
        <v>122.4</v>
      </c>
      <c r="X16">
        <v>4</v>
      </c>
      <c r="Y16">
        <v>3.3</v>
      </c>
    </row>
    <row r="17" spans="1:25" ht="60" customHeight="1" x14ac:dyDescent="0.25">
      <c r="A17"/>
      <c r="B17" t="s">
        <v>3743</v>
      </c>
      <c r="C17" t="s">
        <v>3744</v>
      </c>
      <c r="D17" t="s">
        <v>606</v>
      </c>
      <c r="E17" t="s">
        <v>3214</v>
      </c>
      <c r="F17" t="s">
        <v>3215</v>
      </c>
      <c r="G17" t="s">
        <v>1385</v>
      </c>
      <c r="H17" s="11">
        <v>23.33</v>
      </c>
      <c r="I17" s="10">
        <f>H17*(1-IFERROR(VLOOKUP(G17,Rabat!$C$9:$D$43,2,0),0))</f>
        <v>23.33</v>
      </c>
      <c r="J17" t="s">
        <v>1817</v>
      </c>
      <c r="K17" t="s">
        <v>3247</v>
      </c>
      <c r="L17" t="s">
        <v>1813</v>
      </c>
      <c r="M17">
        <v>25</v>
      </c>
      <c r="N17"/>
      <c r="O17" t="s">
        <v>1819</v>
      </c>
      <c r="P17" s="12" t="str">
        <f>HYPERLINK("https://b2b.kobi.pl/pl/product/12983,swietlowka-led-t8-g2-22w-120cm-4000k-kobi-premium?currency=PLN")</f>
        <v>https://b2b.kobi.pl/pl/product/12983,swietlowka-led-t8-g2-22w-120cm-4000k-kobi-premium?currency=PLN</v>
      </c>
      <c r="Q17" s="12" t="str">
        <f>HYPERLINK("https://eprel.ec.europa.eu/qr/2417562")</f>
        <v>https://eprel.ec.europa.eu/qr/2417562</v>
      </c>
      <c r="R17"/>
      <c r="S17" t="s">
        <v>2569</v>
      </c>
      <c r="T17">
        <v>0.15</v>
      </c>
      <c r="U17">
        <v>0.17399999999999999</v>
      </c>
      <c r="V17">
        <v>0.249</v>
      </c>
      <c r="W17">
        <v>122</v>
      </c>
      <c r="X17">
        <v>3</v>
      </c>
      <c r="Y17">
        <v>3</v>
      </c>
    </row>
    <row r="18" spans="1:25" ht="60" customHeight="1" x14ac:dyDescent="0.25">
      <c r="A18"/>
      <c r="B18" t="s">
        <v>3743</v>
      </c>
      <c r="C18" t="s">
        <v>3744</v>
      </c>
      <c r="D18" t="s">
        <v>606</v>
      </c>
      <c r="E18" t="s">
        <v>3216</v>
      </c>
      <c r="F18" t="s">
        <v>3217</v>
      </c>
      <c r="G18" t="s">
        <v>1385</v>
      </c>
      <c r="H18" s="11">
        <v>23.33</v>
      </c>
      <c r="I18" s="10">
        <f>H18*(1-IFERROR(VLOOKUP(G18,Rabat!$C$9:$D$43,2,0),0))</f>
        <v>23.33</v>
      </c>
      <c r="J18" t="s">
        <v>1817</v>
      </c>
      <c r="K18" t="s">
        <v>3248</v>
      </c>
      <c r="L18" t="s">
        <v>1813</v>
      </c>
      <c r="M18">
        <v>25</v>
      </c>
      <c r="N18"/>
      <c r="O18" t="s">
        <v>1819</v>
      </c>
      <c r="P18" s="12" t="str">
        <f>HYPERLINK("https://b2b.kobi.pl/pl/product/12984,swietlowka-led-t8-g2-22w-120cm-6500k-kobi-premium?currency=PLN")</f>
        <v>https://b2b.kobi.pl/pl/product/12984,swietlowka-led-t8-g2-22w-120cm-6500k-kobi-premium?currency=PLN</v>
      </c>
      <c r="Q18" s="12" t="str">
        <f>HYPERLINK("https://eprel.ec.europa.eu/qr/2417592")</f>
        <v>https://eprel.ec.europa.eu/qr/2417592</v>
      </c>
      <c r="R18"/>
      <c r="S18" t="s">
        <v>2569</v>
      </c>
      <c r="T18">
        <v>0.15</v>
      </c>
      <c r="U18">
        <v>0.17399999999999999</v>
      </c>
      <c r="V18">
        <v>0.249</v>
      </c>
      <c r="W18">
        <v>122</v>
      </c>
      <c r="X18">
        <v>3</v>
      </c>
      <c r="Y18">
        <v>3</v>
      </c>
    </row>
    <row r="19" spans="1:25" ht="60" customHeight="1" x14ac:dyDescent="0.25">
      <c r="A19"/>
      <c r="B19" t="s">
        <v>3743</v>
      </c>
      <c r="C19" t="s">
        <v>3744</v>
      </c>
      <c r="D19" t="s">
        <v>606</v>
      </c>
      <c r="E19" t="s">
        <v>1408</v>
      </c>
      <c r="F19" t="s">
        <v>1409</v>
      </c>
      <c r="G19" t="s">
        <v>1385</v>
      </c>
      <c r="H19" s="11">
        <v>27.78</v>
      </c>
      <c r="I19" s="10">
        <f>H19*(1-IFERROR(VLOOKUP(G19,Rabat!$C$9:$D$43,2,0),0))</f>
        <v>27.78</v>
      </c>
      <c r="J19" t="s">
        <v>1817</v>
      </c>
      <c r="K19" t="s">
        <v>1895</v>
      </c>
      <c r="L19" t="s">
        <v>1813</v>
      </c>
      <c r="M19">
        <v>25</v>
      </c>
      <c r="N19">
        <v>700</v>
      </c>
      <c r="O19" t="s">
        <v>1819</v>
      </c>
      <c r="P19" s="12" t="str">
        <f>HYPERLINK("https://b2b.kobi.pl/pl/product/12372,swietlowka-led-t8-g2-22w-150cm-4000k-kobi-premium?currency=PLN")</f>
        <v>https://b2b.kobi.pl/pl/product/12372,swietlowka-led-t8-g2-22w-150cm-4000k-kobi-premium?currency=PLN</v>
      </c>
      <c r="Q19" s="12" t="str">
        <f>HYPERLINK("https://eprel.ec.europa.eu/qr/2214816")</f>
        <v>https://eprel.ec.europa.eu/qr/2214816</v>
      </c>
      <c r="R19"/>
      <c r="S19" t="s">
        <v>2569</v>
      </c>
      <c r="T19">
        <v>0.18</v>
      </c>
      <c r="U19">
        <v>0.218</v>
      </c>
      <c r="V19">
        <v>0.32100000000000001</v>
      </c>
      <c r="W19">
        <v>152.4</v>
      </c>
      <c r="X19">
        <v>4</v>
      </c>
      <c r="Y19">
        <v>3.3</v>
      </c>
    </row>
    <row r="20" spans="1:25" ht="60" customHeight="1" x14ac:dyDescent="0.25">
      <c r="A20"/>
      <c r="B20" t="s">
        <v>3743</v>
      </c>
      <c r="C20" t="s">
        <v>3744</v>
      </c>
      <c r="D20" t="s">
        <v>606</v>
      </c>
      <c r="E20" t="s">
        <v>1410</v>
      </c>
      <c r="F20" t="s">
        <v>1411</v>
      </c>
      <c r="G20" t="s">
        <v>1385</v>
      </c>
      <c r="H20" s="11">
        <v>27.78</v>
      </c>
      <c r="I20" s="10">
        <f>H20*(1-IFERROR(VLOOKUP(G20,Rabat!$C$9:$D$43,2,0),0))</f>
        <v>27.78</v>
      </c>
      <c r="J20" t="s">
        <v>1817</v>
      </c>
      <c r="K20" t="s">
        <v>1896</v>
      </c>
      <c r="L20" t="s">
        <v>1813</v>
      </c>
      <c r="M20">
        <v>25</v>
      </c>
      <c r="N20">
        <v>700</v>
      </c>
      <c r="O20" t="s">
        <v>1819</v>
      </c>
      <c r="P20" s="12" t="str">
        <f>HYPERLINK("https://b2b.kobi.pl/pl/product/12373,swietlowka-led-t8-g2-22w-150cm-6500k-kobi-premium?currency=PLN")</f>
        <v>https://b2b.kobi.pl/pl/product/12373,swietlowka-led-t8-g2-22w-150cm-6500k-kobi-premium?currency=PLN</v>
      </c>
      <c r="Q20" s="12" t="str">
        <f>HYPERLINK("https://eprel.ec.europa.eu/qr/2214839")</f>
        <v>https://eprel.ec.europa.eu/qr/2214839</v>
      </c>
      <c r="R20"/>
      <c r="S20" t="s">
        <v>2569</v>
      </c>
      <c r="T20">
        <v>0.18</v>
      </c>
      <c r="U20">
        <v>0.218</v>
      </c>
      <c r="V20">
        <v>0.32100000000000001</v>
      </c>
      <c r="W20">
        <v>152.4</v>
      </c>
      <c r="X20">
        <v>4</v>
      </c>
      <c r="Y20">
        <v>3.3</v>
      </c>
    </row>
    <row r="21" spans="1:25" ht="60" customHeight="1" x14ac:dyDescent="0.25">
      <c r="A21"/>
      <c r="B21" t="s">
        <v>3743</v>
      </c>
      <c r="C21" t="s">
        <v>3745</v>
      </c>
      <c r="D21" t="s">
        <v>618</v>
      </c>
      <c r="E21" t="s">
        <v>1562</v>
      </c>
      <c r="F21" t="s">
        <v>1563</v>
      </c>
      <c r="G21" t="s">
        <v>1436</v>
      </c>
      <c r="H21" s="11">
        <v>7.55</v>
      </c>
      <c r="I21" s="10">
        <f>H21*(1-IFERROR(VLOOKUP(G21,Rabat!$C$9:$D$43,2,0),0))</f>
        <v>7.55</v>
      </c>
      <c r="J21" t="s">
        <v>1816</v>
      </c>
      <c r="K21" t="s">
        <v>63</v>
      </c>
      <c r="L21" t="s">
        <v>1813</v>
      </c>
      <c r="M21">
        <v>100</v>
      </c>
      <c r="N21">
        <v>6000</v>
      </c>
      <c r="O21" t="s">
        <v>1818</v>
      </c>
      <c r="P21" s="12" t="str">
        <f>HYPERLINK("https://b2b.kobi.pl/pl/product/9536,zarowka-led-gu10-1w-3000k-kobi?currency=PLN")</f>
        <v>https://b2b.kobi.pl/pl/product/9536,zarowka-led-gu10-1w-3000k-kobi?currency=PLN</v>
      </c>
      <c r="Q21" s="12" t="str">
        <f>HYPERLINK("https://eprel.ec.europa.eu/qr/659854")</f>
        <v>https://eprel.ec.europa.eu/qr/659854</v>
      </c>
      <c r="R21"/>
      <c r="S21" t="s">
        <v>2569</v>
      </c>
      <c r="T21">
        <v>0.02</v>
      </c>
      <c r="U21">
        <v>1.7999999999999999E-2</v>
      </c>
      <c r="V21">
        <v>2.2599999999999999E-2</v>
      </c>
      <c r="W21">
        <v>5.0999999999999996</v>
      </c>
      <c r="X21">
        <v>5.0999999999999996</v>
      </c>
      <c r="Y21">
        <v>6.5</v>
      </c>
    </row>
    <row r="22" spans="1:25" ht="60" customHeight="1" x14ac:dyDescent="0.25">
      <c r="A22"/>
      <c r="B22" t="s">
        <v>3743</v>
      </c>
      <c r="C22" t="s">
        <v>3745</v>
      </c>
      <c r="D22" t="s">
        <v>618</v>
      </c>
      <c r="E22" t="s">
        <v>1564</v>
      </c>
      <c r="F22" t="s">
        <v>1565</v>
      </c>
      <c r="G22" t="s">
        <v>1436</v>
      </c>
      <c r="H22" s="11">
        <v>7.55</v>
      </c>
      <c r="I22" s="10">
        <f>H22*(1-IFERROR(VLOOKUP(G22,Rabat!$C$9:$D$43,2,0),0))</f>
        <v>7.55</v>
      </c>
      <c r="J22" t="s">
        <v>1816</v>
      </c>
      <c r="K22" t="s">
        <v>64</v>
      </c>
      <c r="L22" t="s">
        <v>1813</v>
      </c>
      <c r="M22">
        <v>100</v>
      </c>
      <c r="N22">
        <v>6000</v>
      </c>
      <c r="O22" t="s">
        <v>1818</v>
      </c>
      <c r="P22" s="12" t="str">
        <f>HYPERLINK("https://b2b.kobi.pl/pl/product/9537,zarowka-led-gu10-1w-4000k-kobi?currency=PLN")</f>
        <v>https://b2b.kobi.pl/pl/product/9537,zarowka-led-gu10-1w-4000k-kobi?currency=PLN</v>
      </c>
      <c r="Q22" s="12" t="str">
        <f>HYPERLINK("https://eprel.ec.europa.eu/qr/659856")</f>
        <v>https://eprel.ec.europa.eu/qr/659856</v>
      </c>
      <c r="R22"/>
      <c r="S22" t="s">
        <v>2569</v>
      </c>
      <c r="T22">
        <v>0.02</v>
      </c>
      <c r="U22">
        <v>1.7999999999999999E-2</v>
      </c>
      <c r="V22">
        <v>2.2599999999999999E-2</v>
      </c>
      <c r="W22">
        <v>5.0999999999999996</v>
      </c>
      <c r="X22">
        <v>5.0999999999999996</v>
      </c>
      <c r="Y22">
        <v>6.5</v>
      </c>
    </row>
    <row r="23" spans="1:25" ht="60" customHeight="1" x14ac:dyDescent="0.25">
      <c r="A23"/>
      <c r="B23" t="s">
        <v>3743</v>
      </c>
      <c r="C23" t="s">
        <v>3745</v>
      </c>
      <c r="D23" t="s">
        <v>618</v>
      </c>
      <c r="E23" t="s">
        <v>1566</v>
      </c>
      <c r="F23" t="s">
        <v>1567</v>
      </c>
      <c r="G23" t="s">
        <v>1436</v>
      </c>
      <c r="H23" s="11">
        <v>7.55</v>
      </c>
      <c r="I23" s="10">
        <f>H23*(1-IFERROR(VLOOKUP(G23,Rabat!$C$9:$D$43,2,0),0))</f>
        <v>7.55</v>
      </c>
      <c r="J23" t="s">
        <v>1816</v>
      </c>
      <c r="K23" t="s">
        <v>65</v>
      </c>
      <c r="L23" t="s">
        <v>1813</v>
      </c>
      <c r="M23">
        <v>100</v>
      </c>
      <c r="N23">
        <v>6000</v>
      </c>
      <c r="O23" t="s">
        <v>1818</v>
      </c>
      <c r="P23" s="12" t="str">
        <f>HYPERLINK("https://b2b.kobi.pl/pl/product/9538,zarowka-led-gu10-1w-6000k-kobi?currency=PLN")</f>
        <v>https://b2b.kobi.pl/pl/product/9538,zarowka-led-gu10-1w-6000k-kobi?currency=PLN</v>
      </c>
      <c r="Q23" s="12" t="str">
        <f>HYPERLINK("https://eprel.ec.europa.eu/qr/659858")</f>
        <v>https://eprel.ec.europa.eu/qr/659858</v>
      </c>
      <c r="R23"/>
      <c r="S23" t="s">
        <v>2569</v>
      </c>
      <c r="T23">
        <v>0.02</v>
      </c>
      <c r="U23">
        <v>1.7999999999999999E-2</v>
      </c>
      <c r="V23">
        <v>2.2599999999999999E-2</v>
      </c>
      <c r="W23">
        <v>5.0999999999999996</v>
      </c>
      <c r="X23">
        <v>5.0999999999999996</v>
      </c>
      <c r="Y23">
        <v>6.5</v>
      </c>
    </row>
    <row r="24" spans="1:25" ht="60" customHeight="1" x14ac:dyDescent="0.25">
      <c r="A24"/>
      <c r="B24" t="s">
        <v>3743</v>
      </c>
      <c r="C24" t="s">
        <v>3745</v>
      </c>
      <c r="D24" t="s">
        <v>618</v>
      </c>
      <c r="E24" t="s">
        <v>1574</v>
      </c>
      <c r="F24" t="s">
        <v>1575</v>
      </c>
      <c r="G24" t="s">
        <v>1436</v>
      </c>
      <c r="H24" s="11">
        <v>8.52</v>
      </c>
      <c r="I24" s="10">
        <f>H24*(1-IFERROR(VLOOKUP(G24,Rabat!$C$9:$D$43,2,0),0))</f>
        <v>8.52</v>
      </c>
      <c r="J24" t="s">
        <v>1820</v>
      </c>
      <c r="K24" t="s">
        <v>69</v>
      </c>
      <c r="L24" t="s">
        <v>1813</v>
      </c>
      <c r="M24">
        <v>100</v>
      </c>
      <c r="N24">
        <v>6000</v>
      </c>
      <c r="O24" t="s">
        <v>1818</v>
      </c>
      <c r="P24" s="12" t="str">
        <f>HYPERLINK("https://b2b.kobi.pl/pl/product/9552,zarowka-led-gu10-5w-3000k-kobi?currency=PLN")</f>
        <v>https://b2b.kobi.pl/pl/product/9552,zarowka-led-gu10-5w-3000k-kobi?currency=PLN</v>
      </c>
      <c r="Q24" s="12" t="str">
        <f>HYPERLINK("https://eprel.ec.europa.eu/qr/659894")</f>
        <v>https://eprel.ec.europa.eu/qr/659894</v>
      </c>
      <c r="R24"/>
      <c r="S24" t="s">
        <v>2569</v>
      </c>
      <c r="T24">
        <v>0.02</v>
      </c>
      <c r="U24">
        <v>2.1000000000000001E-2</v>
      </c>
      <c r="V24">
        <v>2.3E-2</v>
      </c>
      <c r="W24">
        <v>5.0999999999999996</v>
      </c>
      <c r="X24">
        <v>5.0999999999999996</v>
      </c>
      <c r="Y24">
        <v>6.5</v>
      </c>
    </row>
    <row r="25" spans="1:25" ht="60" customHeight="1" x14ac:dyDescent="0.25">
      <c r="A25"/>
      <c r="B25" t="s">
        <v>3743</v>
      </c>
      <c r="C25" t="s">
        <v>3745</v>
      </c>
      <c r="D25" t="s">
        <v>618</v>
      </c>
      <c r="E25" t="s">
        <v>1580</v>
      </c>
      <c r="F25" t="s">
        <v>1581</v>
      </c>
      <c r="G25" t="s">
        <v>1436</v>
      </c>
      <c r="H25" s="11">
        <v>8.52</v>
      </c>
      <c r="I25" s="10">
        <f>H25*(1-IFERROR(VLOOKUP(G25,Rabat!$C$9:$D$43,2,0),0))</f>
        <v>8.52</v>
      </c>
      <c r="J25" t="s">
        <v>1820</v>
      </c>
      <c r="K25" t="s">
        <v>70</v>
      </c>
      <c r="L25" t="s">
        <v>1813</v>
      </c>
      <c r="M25">
        <v>100</v>
      </c>
      <c r="N25">
        <v>6600</v>
      </c>
      <c r="O25" t="s">
        <v>1818</v>
      </c>
      <c r="P25" s="12" t="str">
        <f>HYPERLINK("https://b2b.kobi.pl/pl/product/9554,zarowka-led-gu10-5w-4000k-kobi?currency=PLN")</f>
        <v>https://b2b.kobi.pl/pl/product/9554,zarowka-led-gu10-5w-4000k-kobi?currency=PLN</v>
      </c>
      <c r="Q25" s="12" t="str">
        <f>HYPERLINK("https://eprel.ec.europa.eu/qr/659904")</f>
        <v>https://eprel.ec.europa.eu/qr/659904</v>
      </c>
      <c r="R25"/>
      <c r="S25" t="s">
        <v>2569</v>
      </c>
      <c r="T25">
        <v>0.02</v>
      </c>
      <c r="U25">
        <v>2.1000000000000001E-2</v>
      </c>
      <c r="V25">
        <v>2.3E-2</v>
      </c>
      <c r="W25">
        <v>5.0999999999999996</v>
      </c>
      <c r="X25">
        <v>5.0999999999999996</v>
      </c>
      <c r="Y25">
        <v>6.5</v>
      </c>
    </row>
    <row r="26" spans="1:25" ht="60" customHeight="1" x14ac:dyDescent="0.25">
      <c r="A26"/>
      <c r="B26" t="s">
        <v>3743</v>
      </c>
      <c r="C26" t="s">
        <v>3745</v>
      </c>
      <c r="D26" t="s">
        <v>618</v>
      </c>
      <c r="E26" t="s">
        <v>1582</v>
      </c>
      <c r="F26" t="s">
        <v>1583</v>
      </c>
      <c r="G26" t="s">
        <v>1436</v>
      </c>
      <c r="H26" s="11">
        <v>8.52</v>
      </c>
      <c r="I26" s="10">
        <f>H26*(1-IFERROR(VLOOKUP(G26,Rabat!$C$9:$D$43,2,0),0))</f>
        <v>8.52</v>
      </c>
      <c r="J26" t="s">
        <v>1820</v>
      </c>
      <c r="K26" t="s">
        <v>71</v>
      </c>
      <c r="L26" t="s">
        <v>1813</v>
      </c>
      <c r="M26">
        <v>100</v>
      </c>
      <c r="N26">
        <v>6000</v>
      </c>
      <c r="O26" t="s">
        <v>1818</v>
      </c>
      <c r="P26" s="12" t="str">
        <f>HYPERLINK("https://b2b.kobi.pl/pl/product/9557,zarowka-led-gu10-5w-6000k-kobi?currency=PLN")</f>
        <v>https://b2b.kobi.pl/pl/product/9557,zarowka-led-gu10-5w-6000k-kobi?currency=PLN</v>
      </c>
      <c r="Q26" s="12" t="str">
        <f>HYPERLINK("https://eprel.ec.europa.eu/qr/660091")</f>
        <v>https://eprel.ec.europa.eu/qr/660091</v>
      </c>
      <c r="R26"/>
      <c r="S26" t="s">
        <v>2569</v>
      </c>
      <c r="T26">
        <v>0.02</v>
      </c>
      <c r="U26">
        <v>2.1000000000000001E-2</v>
      </c>
      <c r="V26">
        <v>2.3E-2</v>
      </c>
      <c r="W26">
        <v>5.0999999999999996</v>
      </c>
      <c r="X26">
        <v>5.0999999999999996</v>
      </c>
      <c r="Y26">
        <v>6.5</v>
      </c>
    </row>
    <row r="27" spans="1:25" ht="60" customHeight="1" x14ac:dyDescent="0.25">
      <c r="A27"/>
      <c r="B27" t="s">
        <v>3743</v>
      </c>
      <c r="C27" t="s">
        <v>3745</v>
      </c>
      <c r="D27" t="s">
        <v>618</v>
      </c>
      <c r="E27" t="s">
        <v>1586</v>
      </c>
      <c r="F27" t="s">
        <v>1587</v>
      </c>
      <c r="G27" t="s">
        <v>1436</v>
      </c>
      <c r="H27" s="11">
        <v>10.71</v>
      </c>
      <c r="I27" s="10">
        <f>H27*(1-IFERROR(VLOOKUP(G27,Rabat!$C$9:$D$43,2,0),0))</f>
        <v>10.71</v>
      </c>
      <c r="J27" t="s">
        <v>1816</v>
      </c>
      <c r="K27" t="s">
        <v>75</v>
      </c>
      <c r="L27" t="s">
        <v>1813</v>
      </c>
      <c r="M27">
        <v>100</v>
      </c>
      <c r="N27">
        <v>6000</v>
      </c>
      <c r="O27" t="s">
        <v>1818</v>
      </c>
      <c r="P27" s="12" t="str">
        <f>HYPERLINK("https://b2b.kobi.pl/pl/product/9563,zarowka-led-gu10-7w-3000k-kobi?currency=PLN")</f>
        <v>https://b2b.kobi.pl/pl/product/9563,zarowka-led-gu10-7w-3000k-kobi?currency=PLN</v>
      </c>
      <c r="Q27" s="12" t="str">
        <f>HYPERLINK("https://eprel.ec.europa.eu/qr/660097")</f>
        <v>https://eprel.ec.europa.eu/qr/660097</v>
      </c>
      <c r="R27"/>
      <c r="S27" t="s">
        <v>2569</v>
      </c>
      <c r="T27">
        <v>0.02</v>
      </c>
      <c r="U27">
        <v>2.1999999999999999E-2</v>
      </c>
      <c r="V27">
        <v>2.7900000000000001E-2</v>
      </c>
      <c r="W27">
        <v>5.0999999999999996</v>
      </c>
      <c r="X27">
        <v>5.0999999999999996</v>
      </c>
      <c r="Y27">
        <v>6.5</v>
      </c>
    </row>
    <row r="28" spans="1:25" ht="60" customHeight="1" x14ac:dyDescent="0.25">
      <c r="A28"/>
      <c r="B28" t="s">
        <v>3743</v>
      </c>
      <c r="C28" t="s">
        <v>3745</v>
      </c>
      <c r="D28" t="s">
        <v>618</v>
      </c>
      <c r="E28" t="s">
        <v>1590</v>
      </c>
      <c r="F28" t="s">
        <v>1591</v>
      </c>
      <c r="G28" t="s">
        <v>1436</v>
      </c>
      <c r="H28" s="11">
        <v>10.71</v>
      </c>
      <c r="I28" s="10">
        <f>H28*(1-IFERROR(VLOOKUP(G28,Rabat!$C$9:$D$43,2,0),0))</f>
        <v>10.71</v>
      </c>
      <c r="J28" t="s">
        <v>1816</v>
      </c>
      <c r="K28" t="s">
        <v>76</v>
      </c>
      <c r="L28" t="s">
        <v>1813</v>
      </c>
      <c r="M28">
        <v>100</v>
      </c>
      <c r="N28">
        <v>6000</v>
      </c>
      <c r="O28" t="s">
        <v>1818</v>
      </c>
      <c r="P28" s="12" t="str">
        <f>HYPERLINK("https://b2b.kobi.pl/pl/product/9565,zarowka-led-gu10-7w-4000k-kobi?currency=PLN")</f>
        <v>https://b2b.kobi.pl/pl/product/9565,zarowka-led-gu10-7w-4000k-kobi?currency=PLN</v>
      </c>
      <c r="Q28" s="12" t="str">
        <f>HYPERLINK("https://eprel.ec.europa.eu/qr/660103")</f>
        <v>https://eprel.ec.europa.eu/qr/660103</v>
      </c>
      <c r="R28"/>
      <c r="S28" t="s">
        <v>2569</v>
      </c>
      <c r="T28">
        <v>0.02</v>
      </c>
      <c r="U28">
        <v>2.1999999999999999E-2</v>
      </c>
      <c r="V28">
        <v>2.7900000000000001E-2</v>
      </c>
      <c r="W28">
        <v>5.0999999999999996</v>
      </c>
      <c r="X28">
        <v>5.0999999999999996</v>
      </c>
      <c r="Y28">
        <v>6.5</v>
      </c>
    </row>
    <row r="29" spans="1:25" ht="60" customHeight="1" x14ac:dyDescent="0.25">
      <c r="A29"/>
      <c r="B29" t="s">
        <v>3743</v>
      </c>
      <c r="C29" t="s">
        <v>3745</v>
      </c>
      <c r="D29" t="s">
        <v>618</v>
      </c>
      <c r="E29" t="s">
        <v>1594</v>
      </c>
      <c r="F29" t="s">
        <v>1595</v>
      </c>
      <c r="G29" t="s">
        <v>1436</v>
      </c>
      <c r="H29" s="11">
        <v>10.71</v>
      </c>
      <c r="I29" s="10">
        <f>H29*(1-IFERROR(VLOOKUP(G29,Rabat!$C$9:$D$43,2,0),0))</f>
        <v>10.71</v>
      </c>
      <c r="J29" t="s">
        <v>1816</v>
      </c>
      <c r="K29" t="s">
        <v>77</v>
      </c>
      <c r="L29" t="s">
        <v>1813</v>
      </c>
      <c r="M29">
        <v>100</v>
      </c>
      <c r="N29">
        <v>6000</v>
      </c>
      <c r="O29" t="s">
        <v>1818</v>
      </c>
      <c r="P29" s="12" t="str">
        <f>HYPERLINK("https://b2b.kobi.pl/pl/product/9567,zarowka-led-gu10-7w-6000k-kobi?currency=PLN")</f>
        <v>https://b2b.kobi.pl/pl/product/9567,zarowka-led-gu10-7w-6000k-kobi?currency=PLN</v>
      </c>
      <c r="Q29" s="12" t="str">
        <f>HYPERLINK("https://eprel.ec.europa.eu/qr/660110")</f>
        <v>https://eprel.ec.europa.eu/qr/660110</v>
      </c>
      <c r="R29"/>
      <c r="S29" t="s">
        <v>2569</v>
      </c>
      <c r="T29">
        <v>0.02</v>
      </c>
      <c r="U29">
        <v>2.1999999999999999E-2</v>
      </c>
      <c r="V29">
        <v>2.7900000000000001E-2</v>
      </c>
      <c r="W29">
        <v>5.0999999999999996</v>
      </c>
      <c r="X29">
        <v>5.0999999999999996</v>
      </c>
      <c r="Y29">
        <v>6.5</v>
      </c>
    </row>
    <row r="30" spans="1:25" ht="60" customHeight="1" x14ac:dyDescent="0.25">
      <c r="A30"/>
      <c r="B30" t="s">
        <v>3743</v>
      </c>
      <c r="C30" t="s">
        <v>3745</v>
      </c>
      <c r="D30" t="s">
        <v>606</v>
      </c>
      <c r="E30" t="s">
        <v>1568</v>
      </c>
      <c r="F30" t="s">
        <v>1569</v>
      </c>
      <c r="G30" t="s">
        <v>1436</v>
      </c>
      <c r="H30" s="11">
        <v>10.210000000000001</v>
      </c>
      <c r="I30" s="10">
        <f>H30*(1-IFERROR(VLOOKUP(G30,Rabat!$C$9:$D$43,2,0),0))</f>
        <v>10.210000000000001</v>
      </c>
      <c r="J30" t="s">
        <v>1816</v>
      </c>
      <c r="K30" t="s">
        <v>66</v>
      </c>
      <c r="L30" t="s">
        <v>1813</v>
      </c>
      <c r="M30">
        <v>100</v>
      </c>
      <c r="N30">
        <v>7200</v>
      </c>
      <c r="O30" t="s">
        <v>1819</v>
      </c>
      <c r="P30" s="12" t="str">
        <f>HYPERLINK("https://b2b.kobi.pl/pl/product/9542,zarowka-led-gu10-3w-3000k-kobi-premium?currency=PLN")</f>
        <v>https://b2b.kobi.pl/pl/product/9542,zarowka-led-gu10-3w-3000k-kobi-premium?currency=PLN</v>
      </c>
      <c r="Q30" s="12" t="str">
        <f>HYPERLINK("https://eprel.ec.europa.eu/qr/659875")</f>
        <v>https://eprel.ec.europa.eu/qr/659875</v>
      </c>
      <c r="R30"/>
      <c r="S30" t="s">
        <v>2569</v>
      </c>
      <c r="T30">
        <v>0.02</v>
      </c>
      <c r="U30">
        <v>2.5999999999999999E-2</v>
      </c>
      <c r="V30">
        <v>3.6999999999999998E-2</v>
      </c>
      <c r="W30">
        <v>5</v>
      </c>
      <c r="X30">
        <v>6.5</v>
      </c>
      <c r="Y30">
        <v>5</v>
      </c>
    </row>
    <row r="31" spans="1:25" ht="60" customHeight="1" x14ac:dyDescent="0.25">
      <c r="A31"/>
      <c r="B31" t="s">
        <v>3743</v>
      </c>
      <c r="C31" t="s">
        <v>3745</v>
      </c>
      <c r="D31" t="s">
        <v>606</v>
      </c>
      <c r="E31" t="s">
        <v>1570</v>
      </c>
      <c r="F31" t="s">
        <v>1571</v>
      </c>
      <c r="G31" t="s">
        <v>1436</v>
      </c>
      <c r="H31" s="11">
        <v>10.210000000000001</v>
      </c>
      <c r="I31" s="10">
        <f>H31*(1-IFERROR(VLOOKUP(G31,Rabat!$C$9:$D$43,2,0),0))</f>
        <v>10.210000000000001</v>
      </c>
      <c r="J31" t="s">
        <v>1816</v>
      </c>
      <c r="K31" t="s">
        <v>67</v>
      </c>
      <c r="L31" t="s">
        <v>1813</v>
      </c>
      <c r="M31">
        <v>100</v>
      </c>
      <c r="N31">
        <v>7200</v>
      </c>
      <c r="O31" t="s">
        <v>1819</v>
      </c>
      <c r="P31" s="12" t="str">
        <f>HYPERLINK("https://b2b.kobi.pl/pl/product/9543,zarowka-led-gu10-3w-4000k-kobi-premium?currency=PLN")</f>
        <v>https://b2b.kobi.pl/pl/product/9543,zarowka-led-gu10-3w-4000k-kobi-premium?currency=PLN</v>
      </c>
      <c r="Q31" s="12" t="str">
        <f>HYPERLINK("https://eprel.ec.europa.eu/qr/659878")</f>
        <v>https://eprel.ec.europa.eu/qr/659878</v>
      </c>
      <c r="R31"/>
      <c r="S31" t="s">
        <v>2569</v>
      </c>
      <c r="T31">
        <v>0.02</v>
      </c>
      <c r="U31">
        <v>2.5999999999999999E-2</v>
      </c>
      <c r="V31">
        <v>3.6999999999999998E-2</v>
      </c>
      <c r="W31">
        <v>5</v>
      </c>
      <c r="X31">
        <v>6.5</v>
      </c>
      <c r="Y31">
        <v>5</v>
      </c>
    </row>
    <row r="32" spans="1:25" ht="60" customHeight="1" x14ac:dyDescent="0.25">
      <c r="A32"/>
      <c r="B32" t="s">
        <v>3743</v>
      </c>
      <c r="C32" t="s">
        <v>3745</v>
      </c>
      <c r="D32" t="s">
        <v>606</v>
      </c>
      <c r="E32" t="s">
        <v>1572</v>
      </c>
      <c r="F32" t="s">
        <v>1573</v>
      </c>
      <c r="G32" t="s">
        <v>1436</v>
      </c>
      <c r="H32" s="11">
        <v>10.210000000000001</v>
      </c>
      <c r="I32" s="10">
        <f>H32*(1-IFERROR(VLOOKUP(G32,Rabat!$C$9:$D$43,2,0),0))</f>
        <v>10.210000000000001</v>
      </c>
      <c r="J32" t="s">
        <v>1816</v>
      </c>
      <c r="K32" t="s">
        <v>68</v>
      </c>
      <c r="L32" t="s">
        <v>1813</v>
      </c>
      <c r="M32">
        <v>100</v>
      </c>
      <c r="N32">
        <v>7200</v>
      </c>
      <c r="O32" t="s">
        <v>1819</v>
      </c>
      <c r="P32" s="12" t="str">
        <f>HYPERLINK("https://b2b.kobi.pl/pl/product/9545,zarowka-led-gu10-3w-6200k-kobi-premium?currency=PLN")</f>
        <v>https://b2b.kobi.pl/pl/product/9545,zarowka-led-gu10-3w-6200k-kobi-premium?currency=PLN</v>
      </c>
      <c r="Q32" s="12" t="str">
        <f>HYPERLINK("https://eprel.ec.europa.eu/qr/659881")</f>
        <v>https://eprel.ec.europa.eu/qr/659881</v>
      </c>
      <c r="R32"/>
      <c r="S32" t="s">
        <v>2569</v>
      </c>
      <c r="T32">
        <v>0.02</v>
      </c>
      <c r="U32">
        <v>2.5999999999999999E-2</v>
      </c>
      <c r="V32">
        <v>3.6999999999999998E-2</v>
      </c>
      <c r="W32">
        <v>5</v>
      </c>
      <c r="X32">
        <v>6.5</v>
      </c>
      <c r="Y32">
        <v>5</v>
      </c>
    </row>
    <row r="33" spans="1:25" ht="60" customHeight="1" x14ac:dyDescent="0.25">
      <c r="A33"/>
      <c r="B33" t="s">
        <v>3743</v>
      </c>
      <c r="C33" t="s">
        <v>3745</v>
      </c>
      <c r="D33" t="s">
        <v>606</v>
      </c>
      <c r="E33" t="s">
        <v>1576</v>
      </c>
      <c r="F33" t="s">
        <v>1577</v>
      </c>
      <c r="G33" t="s">
        <v>1436</v>
      </c>
      <c r="H33" s="11">
        <v>10.95</v>
      </c>
      <c r="I33" s="10">
        <f>H33*(1-IFERROR(VLOOKUP(G33,Rabat!$C$9:$D$43,2,0),0))</f>
        <v>10.95</v>
      </c>
      <c r="J33" t="s">
        <v>1816</v>
      </c>
      <c r="K33" t="s">
        <v>72</v>
      </c>
      <c r="L33" t="s">
        <v>1813</v>
      </c>
      <c r="M33">
        <v>100</v>
      </c>
      <c r="N33">
        <v>7200</v>
      </c>
      <c r="O33" t="s">
        <v>1819</v>
      </c>
      <c r="P33" s="12" t="str">
        <f>HYPERLINK("https://b2b.kobi.pl/pl/product/9553,zarowka-led-gu10-5w-3000k-kobi-premium?currency=PLN")</f>
        <v>https://b2b.kobi.pl/pl/product/9553,zarowka-led-gu10-5w-3000k-kobi-premium?currency=PLN</v>
      </c>
      <c r="Q33" s="12" t="str">
        <f>HYPERLINK("https://eprel.ec.europa.eu/qr/659902")</f>
        <v>https://eprel.ec.europa.eu/qr/659902</v>
      </c>
      <c r="R33"/>
      <c r="S33" t="s">
        <v>2569</v>
      </c>
      <c r="T33">
        <v>0.02</v>
      </c>
      <c r="U33">
        <v>2.5000000000000001E-2</v>
      </c>
      <c r="V33">
        <v>3.6999999999999998E-2</v>
      </c>
      <c r="W33">
        <v>5</v>
      </c>
      <c r="X33">
        <v>6.5</v>
      </c>
      <c r="Y33">
        <v>5</v>
      </c>
    </row>
    <row r="34" spans="1:25" ht="60" customHeight="1" x14ac:dyDescent="0.25">
      <c r="A34"/>
      <c r="B34" t="s">
        <v>3743</v>
      </c>
      <c r="C34" t="s">
        <v>3745</v>
      </c>
      <c r="D34" t="s">
        <v>606</v>
      </c>
      <c r="E34" t="s">
        <v>1578</v>
      </c>
      <c r="F34" t="s">
        <v>1579</v>
      </c>
      <c r="G34" t="s">
        <v>1436</v>
      </c>
      <c r="H34" s="11">
        <v>10.95</v>
      </c>
      <c r="I34" s="10">
        <f>H34*(1-IFERROR(VLOOKUP(G34,Rabat!$C$9:$D$43,2,0),0))</f>
        <v>10.95</v>
      </c>
      <c r="J34" t="s">
        <v>1816</v>
      </c>
      <c r="K34" t="s">
        <v>73</v>
      </c>
      <c r="L34" t="s">
        <v>1813</v>
      </c>
      <c r="M34">
        <v>100</v>
      </c>
      <c r="N34">
        <v>7200</v>
      </c>
      <c r="O34" t="s">
        <v>1819</v>
      </c>
      <c r="P34" s="12" t="str">
        <f>HYPERLINK("https://b2b.kobi.pl/pl/product/9555,zarowka-led-gu10-5w-4000k-kobi-premium?currency=PLN")</f>
        <v>https://b2b.kobi.pl/pl/product/9555,zarowka-led-gu10-5w-4000k-kobi-premium?currency=PLN</v>
      </c>
      <c r="Q34" s="12" t="str">
        <f>HYPERLINK("https://eprel.ec.europa.eu/qr/660087")</f>
        <v>https://eprel.ec.europa.eu/qr/660087</v>
      </c>
      <c r="R34"/>
      <c r="S34" t="s">
        <v>2569</v>
      </c>
      <c r="T34">
        <v>0.02</v>
      </c>
      <c r="U34">
        <v>2.5000000000000001E-2</v>
      </c>
      <c r="V34">
        <v>3.6999999999999998E-2</v>
      </c>
      <c r="W34">
        <v>5</v>
      </c>
      <c r="X34">
        <v>6.5</v>
      </c>
      <c r="Y34">
        <v>5</v>
      </c>
    </row>
    <row r="35" spans="1:25" ht="60" customHeight="1" x14ac:dyDescent="0.25">
      <c r="A35"/>
      <c r="B35" t="s">
        <v>3743</v>
      </c>
      <c r="C35" t="s">
        <v>3745</v>
      </c>
      <c r="D35" t="s">
        <v>606</v>
      </c>
      <c r="E35" t="s">
        <v>1584</v>
      </c>
      <c r="F35" t="s">
        <v>1585</v>
      </c>
      <c r="G35" t="s">
        <v>1436</v>
      </c>
      <c r="H35" s="11">
        <v>10.95</v>
      </c>
      <c r="I35" s="10">
        <f>H35*(1-IFERROR(VLOOKUP(G35,Rabat!$C$9:$D$43,2,0),0))</f>
        <v>10.95</v>
      </c>
      <c r="J35" t="s">
        <v>1816</v>
      </c>
      <c r="K35" t="s">
        <v>74</v>
      </c>
      <c r="L35" t="s">
        <v>1813</v>
      </c>
      <c r="M35">
        <v>100</v>
      </c>
      <c r="N35">
        <v>7200</v>
      </c>
      <c r="O35" t="s">
        <v>1819</v>
      </c>
      <c r="P35" s="12" t="str">
        <f>HYPERLINK("https://b2b.kobi.pl/pl/product/9558,zarowka-led-gu10-5w-6500k-kobi-premium?currency=PLN")</f>
        <v>https://b2b.kobi.pl/pl/product/9558,zarowka-led-gu10-5w-6500k-kobi-premium?currency=PLN</v>
      </c>
      <c r="Q35" s="12" t="str">
        <f>HYPERLINK("https://eprel.ec.europa.eu/qr/660096")</f>
        <v>https://eprel.ec.europa.eu/qr/660096</v>
      </c>
      <c r="R35"/>
      <c r="S35" t="s">
        <v>2569</v>
      </c>
      <c r="T35">
        <v>0.02</v>
      </c>
      <c r="U35">
        <v>2.5000000000000001E-2</v>
      </c>
      <c r="V35">
        <v>3.6999999999999998E-2</v>
      </c>
      <c r="W35">
        <v>5</v>
      </c>
      <c r="X35">
        <v>6.5</v>
      </c>
      <c r="Y35">
        <v>5</v>
      </c>
    </row>
    <row r="36" spans="1:25" ht="60" customHeight="1" x14ac:dyDescent="0.25">
      <c r="A36"/>
      <c r="B36" t="s">
        <v>3743</v>
      </c>
      <c r="C36" t="s">
        <v>3745</v>
      </c>
      <c r="D36" t="s">
        <v>606</v>
      </c>
      <c r="E36" t="s">
        <v>1588</v>
      </c>
      <c r="F36" t="s">
        <v>1589</v>
      </c>
      <c r="G36" t="s">
        <v>1436</v>
      </c>
      <c r="H36" s="11">
        <v>14.17</v>
      </c>
      <c r="I36" s="10">
        <f>H36*(1-IFERROR(VLOOKUP(G36,Rabat!$C$9:$D$43,2,0),0))</f>
        <v>14.17</v>
      </c>
      <c r="J36" t="s">
        <v>1816</v>
      </c>
      <c r="K36" t="s">
        <v>78</v>
      </c>
      <c r="L36" t="s">
        <v>1813</v>
      </c>
      <c r="M36">
        <v>100</v>
      </c>
      <c r="N36">
        <v>7200</v>
      </c>
      <c r="O36" t="s">
        <v>1819</v>
      </c>
      <c r="P36" s="12" t="str">
        <f>HYPERLINK("https://b2b.kobi.pl/pl/product/9564,zarowka-led-gu10-7w-3000k-kobi-premium?currency=PLN")</f>
        <v>https://b2b.kobi.pl/pl/product/9564,zarowka-led-gu10-7w-3000k-kobi-premium?currency=PLN</v>
      </c>
      <c r="Q36" s="12" t="str">
        <f>HYPERLINK("https://eprel.ec.europa.eu/qr/660099")</f>
        <v>https://eprel.ec.europa.eu/qr/660099</v>
      </c>
      <c r="R36"/>
      <c r="S36" t="s">
        <v>2569</v>
      </c>
      <c r="T36">
        <v>0.02</v>
      </c>
      <c r="U36">
        <v>2.7E-2</v>
      </c>
      <c r="V36">
        <v>0.04</v>
      </c>
      <c r="W36">
        <v>5</v>
      </c>
      <c r="X36">
        <v>6.5</v>
      </c>
      <c r="Y36">
        <v>5</v>
      </c>
    </row>
    <row r="37" spans="1:25" ht="60" customHeight="1" x14ac:dyDescent="0.25">
      <c r="A37"/>
      <c r="B37" t="s">
        <v>3743</v>
      </c>
      <c r="C37" t="s">
        <v>3745</v>
      </c>
      <c r="D37" t="s">
        <v>606</v>
      </c>
      <c r="E37" t="s">
        <v>1592</v>
      </c>
      <c r="F37" t="s">
        <v>1593</v>
      </c>
      <c r="G37" t="s">
        <v>1436</v>
      </c>
      <c r="H37" s="11">
        <v>14.17</v>
      </c>
      <c r="I37" s="10">
        <f>H37*(1-IFERROR(VLOOKUP(G37,Rabat!$C$9:$D$43,2,0),0))</f>
        <v>14.17</v>
      </c>
      <c r="J37" t="s">
        <v>1816</v>
      </c>
      <c r="K37" t="s">
        <v>79</v>
      </c>
      <c r="L37" t="s">
        <v>1813</v>
      </c>
      <c r="M37">
        <v>100</v>
      </c>
      <c r="N37">
        <v>7200</v>
      </c>
      <c r="O37" t="s">
        <v>1819</v>
      </c>
      <c r="P37" s="12" t="str">
        <f>HYPERLINK("https://b2b.kobi.pl/pl/product/9566,zarowka-led-gu10-7w-4000k-kobi-premium?currency=PLN")</f>
        <v>https://b2b.kobi.pl/pl/product/9566,zarowka-led-gu10-7w-4000k-kobi-premium?currency=PLN</v>
      </c>
      <c r="Q37" s="12" t="str">
        <f>HYPERLINK("https://eprel.ec.europa.eu/qr/660106")</f>
        <v>https://eprel.ec.europa.eu/qr/660106</v>
      </c>
      <c r="R37"/>
      <c r="S37" t="s">
        <v>2569</v>
      </c>
      <c r="T37">
        <v>0.02</v>
      </c>
      <c r="U37">
        <v>2.7E-2</v>
      </c>
      <c r="V37">
        <v>0.04</v>
      </c>
      <c r="W37">
        <v>5</v>
      </c>
      <c r="X37">
        <v>6.5</v>
      </c>
      <c r="Y37">
        <v>5</v>
      </c>
    </row>
    <row r="38" spans="1:25" ht="60" customHeight="1" x14ac:dyDescent="0.25">
      <c r="A38"/>
      <c r="B38" t="s">
        <v>3743</v>
      </c>
      <c r="C38" t="s">
        <v>3745</v>
      </c>
      <c r="D38" t="s">
        <v>606</v>
      </c>
      <c r="E38" t="s">
        <v>1596</v>
      </c>
      <c r="F38" t="s">
        <v>1597</v>
      </c>
      <c r="G38" t="s">
        <v>1436</v>
      </c>
      <c r="H38" s="11">
        <v>14.17</v>
      </c>
      <c r="I38" s="10">
        <f>H38*(1-IFERROR(VLOOKUP(G38,Rabat!$C$9:$D$43,2,0),0))</f>
        <v>14.17</v>
      </c>
      <c r="J38" t="s">
        <v>1816</v>
      </c>
      <c r="K38" t="s">
        <v>80</v>
      </c>
      <c r="L38" t="s">
        <v>1813</v>
      </c>
      <c r="M38">
        <v>100</v>
      </c>
      <c r="N38">
        <v>7200</v>
      </c>
      <c r="O38" t="s">
        <v>1819</v>
      </c>
      <c r="P38" s="12" t="str">
        <f>HYPERLINK("https://b2b.kobi.pl/pl/product/9568,zarowka-led-gu10-7w-6500k-kobi-premium?currency=PLN")</f>
        <v>https://b2b.kobi.pl/pl/product/9568,zarowka-led-gu10-7w-6500k-kobi-premium?currency=PLN</v>
      </c>
      <c r="Q38" s="12" t="str">
        <f>HYPERLINK("https://eprel.ec.europa.eu/qr/660149")</f>
        <v>https://eprel.ec.europa.eu/qr/660149</v>
      </c>
      <c r="R38"/>
      <c r="S38" t="s">
        <v>2569</v>
      </c>
      <c r="T38">
        <v>0.02</v>
      </c>
      <c r="U38">
        <v>2.7E-2</v>
      </c>
      <c r="V38">
        <v>0.04</v>
      </c>
      <c r="W38">
        <v>5</v>
      </c>
      <c r="X38">
        <v>6.5</v>
      </c>
      <c r="Y38">
        <v>5</v>
      </c>
    </row>
    <row r="39" spans="1:25" ht="60" customHeight="1" x14ac:dyDescent="0.25">
      <c r="A39"/>
      <c r="B39" t="s">
        <v>3743</v>
      </c>
      <c r="C39" t="s">
        <v>3745</v>
      </c>
      <c r="D39" t="s">
        <v>606</v>
      </c>
      <c r="E39" t="s">
        <v>1604</v>
      </c>
      <c r="F39" t="s">
        <v>1605</v>
      </c>
      <c r="G39" t="s">
        <v>1436</v>
      </c>
      <c r="H39" s="11">
        <v>21.95</v>
      </c>
      <c r="I39" s="10">
        <f>H39*(1-IFERROR(VLOOKUP(G39,Rabat!$C$9:$D$43,2,0),0))</f>
        <v>21.95</v>
      </c>
      <c r="J39" t="s">
        <v>1823</v>
      </c>
      <c r="K39" t="s">
        <v>81</v>
      </c>
      <c r="L39" t="s">
        <v>1813</v>
      </c>
      <c r="M39">
        <v>100</v>
      </c>
      <c r="N39">
        <v>6000</v>
      </c>
      <c r="O39" t="s">
        <v>1818</v>
      </c>
      <c r="P39" s="12" t="str">
        <f>HYPERLINK("https://b2b.kobi.pl/pl/product/9572,zarowka-led-gu10-9w-3000k-kobi-premium?currency=PLN")</f>
        <v>https://b2b.kobi.pl/pl/product/9572,zarowka-led-gu10-9w-3000k-kobi-premium?currency=PLN</v>
      </c>
      <c r="Q39" s="12" t="str">
        <f>HYPERLINK("https://eprel.ec.europa.eu/qr/793979")</f>
        <v>https://eprel.ec.europa.eu/qr/793979</v>
      </c>
      <c r="R39"/>
      <c r="S39" t="s">
        <v>2569</v>
      </c>
      <c r="T39">
        <v>0.05</v>
      </c>
      <c r="U39">
        <v>5.8000000000000003E-2</v>
      </c>
      <c r="V39">
        <v>6.7000000000000004E-2</v>
      </c>
      <c r="W39">
        <v>6.8</v>
      </c>
      <c r="X39">
        <v>5.2</v>
      </c>
      <c r="Y39">
        <v>5.2</v>
      </c>
    </row>
    <row r="40" spans="1:25" ht="60" customHeight="1" x14ac:dyDescent="0.25">
      <c r="A40"/>
      <c r="B40" t="s">
        <v>3743</v>
      </c>
      <c r="C40" t="s">
        <v>3745</v>
      </c>
      <c r="D40" t="s">
        <v>606</v>
      </c>
      <c r="E40" t="s">
        <v>1606</v>
      </c>
      <c r="F40" t="s">
        <v>1607</v>
      </c>
      <c r="G40" t="s">
        <v>1436</v>
      </c>
      <c r="H40" s="11">
        <v>21.95</v>
      </c>
      <c r="I40" s="10">
        <f>H40*(1-IFERROR(VLOOKUP(G40,Rabat!$C$9:$D$43,2,0),0))</f>
        <v>21.95</v>
      </c>
      <c r="J40" t="s">
        <v>1823</v>
      </c>
      <c r="K40" t="s">
        <v>82</v>
      </c>
      <c r="L40" t="s">
        <v>1813</v>
      </c>
      <c r="M40">
        <v>100</v>
      </c>
      <c r="N40">
        <v>6000</v>
      </c>
      <c r="O40" t="s">
        <v>1818</v>
      </c>
      <c r="P40" s="12" t="str">
        <f>HYPERLINK("https://b2b.kobi.pl/pl/product/9573,zarowka-led-gu10-9w-4000k-kobi-premium?currency=PLN")</f>
        <v>https://b2b.kobi.pl/pl/product/9573,zarowka-led-gu10-9w-4000k-kobi-premium?currency=PLN</v>
      </c>
      <c r="Q40" s="12" t="str">
        <f>HYPERLINK("https://eprel.ec.europa.eu/qr/794019")</f>
        <v>https://eprel.ec.europa.eu/qr/794019</v>
      </c>
      <c r="R40"/>
      <c r="S40" t="s">
        <v>2569</v>
      </c>
      <c r="T40">
        <v>0.05</v>
      </c>
      <c r="U40">
        <v>5.8000000000000003E-2</v>
      </c>
      <c r="V40">
        <v>6.7000000000000004E-2</v>
      </c>
      <c r="W40">
        <v>6.8</v>
      </c>
      <c r="X40">
        <v>5.2</v>
      </c>
      <c r="Y40">
        <v>5.2</v>
      </c>
    </row>
    <row r="41" spans="1:25" ht="60" customHeight="1" x14ac:dyDescent="0.25">
      <c r="A41"/>
      <c r="B41" t="s">
        <v>3743</v>
      </c>
      <c r="C41" t="s">
        <v>3745</v>
      </c>
      <c r="D41" t="s">
        <v>606</v>
      </c>
      <c r="E41" t="s">
        <v>1608</v>
      </c>
      <c r="F41" t="s">
        <v>1609</v>
      </c>
      <c r="G41" t="s">
        <v>1436</v>
      </c>
      <c r="H41" s="11">
        <v>21.95</v>
      </c>
      <c r="I41" s="10">
        <f>H41*(1-IFERROR(VLOOKUP(G41,Rabat!$C$9:$D$43,2,0),0))</f>
        <v>21.95</v>
      </c>
      <c r="J41" t="s">
        <v>1823</v>
      </c>
      <c r="K41" t="s">
        <v>83</v>
      </c>
      <c r="L41" t="s">
        <v>1813</v>
      </c>
      <c r="M41">
        <v>100</v>
      </c>
      <c r="N41">
        <v>6000</v>
      </c>
      <c r="O41" t="s">
        <v>1818</v>
      </c>
      <c r="P41" s="12" t="str">
        <f>HYPERLINK("https://b2b.kobi.pl/pl/product/9574,zarowka-led-gu10-9w-6000k-kobi-premium?currency=PLN")</f>
        <v>https://b2b.kobi.pl/pl/product/9574,zarowka-led-gu10-9w-6000k-kobi-premium?currency=PLN</v>
      </c>
      <c r="Q41" s="12" t="str">
        <f>HYPERLINK("https://eprel.ec.europa.eu/qr/794024")</f>
        <v>https://eprel.ec.europa.eu/qr/794024</v>
      </c>
      <c r="R41"/>
      <c r="S41" t="s">
        <v>2569</v>
      </c>
      <c r="T41">
        <v>0.05</v>
      </c>
      <c r="U41">
        <v>5.8000000000000003E-2</v>
      </c>
      <c r="V41">
        <v>6.7000000000000004E-2</v>
      </c>
      <c r="W41">
        <v>6.8</v>
      </c>
      <c r="X41">
        <v>5.2</v>
      </c>
      <c r="Y41">
        <v>5.2</v>
      </c>
    </row>
    <row r="42" spans="1:25" ht="60" customHeight="1" x14ac:dyDescent="0.25">
      <c r="A42"/>
      <c r="B42" t="s">
        <v>3743</v>
      </c>
      <c r="C42" t="s">
        <v>3745</v>
      </c>
      <c r="D42" t="s">
        <v>16</v>
      </c>
      <c r="E42" t="s">
        <v>1598</v>
      </c>
      <c r="F42" t="s">
        <v>1599</v>
      </c>
      <c r="G42" t="s">
        <v>1436</v>
      </c>
      <c r="H42" s="11">
        <v>9.7799999999999994</v>
      </c>
      <c r="I42" s="10">
        <f>H42*(1-IFERROR(VLOOKUP(G42,Rabat!$C$9:$D$43,2,0),0))</f>
        <v>9.7799999999999994</v>
      </c>
      <c r="J42" t="s">
        <v>1816</v>
      </c>
      <c r="K42" t="s">
        <v>1902</v>
      </c>
      <c r="L42" t="s">
        <v>1813</v>
      </c>
      <c r="M42">
        <v>100</v>
      </c>
      <c r="N42">
        <v>5000</v>
      </c>
      <c r="O42" t="s">
        <v>1818</v>
      </c>
      <c r="P42" s="12" t="str">
        <f>HYPERLINK("https://b2b.kobi.pl/pl/product/12253,zarowka-led-gu10-8-5w-3000k-led2b?currency=PLN")</f>
        <v>https://b2b.kobi.pl/pl/product/12253,zarowka-led-gu10-8-5w-3000k-led2b?currency=PLN</v>
      </c>
      <c r="Q42" s="12" t="str">
        <f>HYPERLINK("https://eprel.ec.europa.eu/qr/2178052")</f>
        <v>https://eprel.ec.europa.eu/qr/2178052</v>
      </c>
      <c r="R42"/>
      <c r="S42" t="s">
        <v>2569</v>
      </c>
      <c r="T42">
        <v>0.02</v>
      </c>
      <c r="U42">
        <v>2.1000000000000001E-2</v>
      </c>
      <c r="V42">
        <v>2.9000000000000001E-2</v>
      </c>
      <c r="W42">
        <v>5.4</v>
      </c>
      <c r="X42">
        <v>5.4</v>
      </c>
      <c r="Y42">
        <v>6</v>
      </c>
    </row>
    <row r="43" spans="1:25" ht="60" customHeight="1" x14ac:dyDescent="0.25">
      <c r="A43"/>
      <c r="B43" t="s">
        <v>3743</v>
      </c>
      <c r="C43" t="s">
        <v>3745</v>
      </c>
      <c r="D43" t="s">
        <v>16</v>
      </c>
      <c r="E43" t="s">
        <v>1600</v>
      </c>
      <c r="F43" t="s">
        <v>1601</v>
      </c>
      <c r="G43" t="s">
        <v>1436</v>
      </c>
      <c r="H43" s="11">
        <v>9.7799999999999994</v>
      </c>
      <c r="I43" s="10">
        <f>H43*(1-IFERROR(VLOOKUP(G43,Rabat!$C$9:$D$43,2,0),0))</f>
        <v>9.7799999999999994</v>
      </c>
      <c r="J43" t="s">
        <v>1816</v>
      </c>
      <c r="K43" t="s">
        <v>1903</v>
      </c>
      <c r="L43" t="s">
        <v>1813</v>
      </c>
      <c r="M43">
        <v>100</v>
      </c>
      <c r="N43">
        <v>5000</v>
      </c>
      <c r="O43" t="s">
        <v>1818</v>
      </c>
      <c r="P43" s="12" t="str">
        <f>HYPERLINK("https://b2b.kobi.pl/pl/product/12254,zarowka-led-gu10-8-5w-4000k-led2b?currency=PLN")</f>
        <v>https://b2b.kobi.pl/pl/product/12254,zarowka-led-gu10-8-5w-4000k-led2b?currency=PLN</v>
      </c>
      <c r="Q43" s="12" t="str">
        <f>HYPERLINK("https://eprel.ec.europa.eu/qr/2178058")</f>
        <v>https://eprel.ec.europa.eu/qr/2178058</v>
      </c>
      <c r="R43"/>
      <c r="S43" t="s">
        <v>2569</v>
      </c>
      <c r="T43">
        <v>0.02</v>
      </c>
      <c r="U43">
        <v>2.1000000000000001E-2</v>
      </c>
      <c r="V43">
        <v>2.9000000000000001E-2</v>
      </c>
      <c r="W43">
        <v>5.4</v>
      </c>
      <c r="X43">
        <v>5.4</v>
      </c>
      <c r="Y43">
        <v>6</v>
      </c>
    </row>
    <row r="44" spans="1:25" ht="60" customHeight="1" x14ac:dyDescent="0.25">
      <c r="A44"/>
      <c r="B44" t="s">
        <v>3743</v>
      </c>
      <c r="C44" t="s">
        <v>3745</v>
      </c>
      <c r="D44" t="s">
        <v>16</v>
      </c>
      <c r="E44" t="s">
        <v>1602</v>
      </c>
      <c r="F44" t="s">
        <v>1603</v>
      </c>
      <c r="G44" t="s">
        <v>1436</v>
      </c>
      <c r="H44" s="11">
        <v>9.7799999999999994</v>
      </c>
      <c r="I44" s="10">
        <f>H44*(1-IFERROR(VLOOKUP(G44,Rabat!$C$9:$D$43,2,0),0))</f>
        <v>9.7799999999999994</v>
      </c>
      <c r="J44" t="s">
        <v>1816</v>
      </c>
      <c r="K44" t="s">
        <v>1904</v>
      </c>
      <c r="L44" t="s">
        <v>1813</v>
      </c>
      <c r="M44">
        <v>100</v>
      </c>
      <c r="N44">
        <v>5000</v>
      </c>
      <c r="O44" t="s">
        <v>1818</v>
      </c>
      <c r="P44" s="12" t="str">
        <f>HYPERLINK("https://b2b.kobi.pl/pl/product/12255,zarowka-led-gu10-8-5w-6500k-led2b?currency=PLN")</f>
        <v>https://b2b.kobi.pl/pl/product/12255,zarowka-led-gu10-8-5w-6500k-led2b?currency=PLN</v>
      </c>
      <c r="Q44" s="12" t="str">
        <f>HYPERLINK("https://eprel.ec.europa.eu/qr/2178065")</f>
        <v>https://eprel.ec.europa.eu/qr/2178065</v>
      </c>
      <c r="R44"/>
      <c r="S44" t="s">
        <v>2569</v>
      </c>
      <c r="T44">
        <v>0.02</v>
      </c>
      <c r="U44">
        <v>2.1000000000000001E-2</v>
      </c>
      <c r="V44">
        <v>2.9000000000000001E-2</v>
      </c>
      <c r="W44">
        <v>5.4</v>
      </c>
      <c r="X44">
        <v>5.4</v>
      </c>
      <c r="Y44">
        <v>6</v>
      </c>
    </row>
    <row r="45" spans="1:25" ht="60" customHeight="1" x14ac:dyDescent="0.25">
      <c r="A45"/>
      <c r="B45" t="s">
        <v>3743</v>
      </c>
      <c r="C45" t="s">
        <v>3745</v>
      </c>
      <c r="D45" t="s">
        <v>618</v>
      </c>
      <c r="E45" t="s">
        <v>3456</v>
      </c>
      <c r="F45" t="s">
        <v>3457</v>
      </c>
      <c r="G45" t="s">
        <v>1436</v>
      </c>
      <c r="H45" s="11">
        <v>6.98</v>
      </c>
      <c r="I45" s="10">
        <f>H45*(1-IFERROR(VLOOKUP(G45,Rabat!$C$9:$D$43,2,0),0))</f>
        <v>6.98</v>
      </c>
      <c r="J45" t="s">
        <v>1820</v>
      </c>
      <c r="K45" t="s">
        <v>3505</v>
      </c>
      <c r="L45" t="s">
        <v>1813</v>
      </c>
      <c r="M45">
        <v>100</v>
      </c>
      <c r="N45"/>
      <c r="O45" t="s">
        <v>1818</v>
      </c>
      <c r="P45" s="12" t="str">
        <f>HYPERLINK("https://b2b.kobi.pl/pl/product/13118,zarowka-led-gx53-5w-3000k-kobi?currency=PLN")</f>
        <v>https://b2b.kobi.pl/pl/product/13118,zarowka-led-gx53-5w-3000k-kobi?currency=PLN</v>
      </c>
      <c r="Q45" s="12" t="str">
        <f>HYPERLINK("https://eprel.ec.europa.eu/qr/2492355")</f>
        <v>https://eprel.ec.europa.eu/qr/2492355</v>
      </c>
      <c r="R45"/>
      <c r="S45" t="s">
        <v>2569</v>
      </c>
      <c r="T45">
        <v>0.02</v>
      </c>
      <c r="U45">
        <v>0.02</v>
      </c>
      <c r="V45">
        <v>0.03</v>
      </c>
      <c r="W45">
        <v>7.5</v>
      </c>
      <c r="X45">
        <v>2.9</v>
      </c>
      <c r="Y45">
        <v>7.5</v>
      </c>
    </row>
    <row r="46" spans="1:25" ht="60" customHeight="1" x14ac:dyDescent="0.25">
      <c r="A46"/>
      <c r="B46" t="s">
        <v>3743</v>
      </c>
      <c r="C46" t="s">
        <v>3745</v>
      </c>
      <c r="D46" t="s">
        <v>618</v>
      </c>
      <c r="E46" t="s">
        <v>3458</v>
      </c>
      <c r="F46" t="s">
        <v>3459</v>
      </c>
      <c r="G46" t="s">
        <v>1436</v>
      </c>
      <c r="H46" s="11">
        <v>6.98</v>
      </c>
      <c r="I46" s="10">
        <f>H46*(1-IFERROR(VLOOKUP(G46,Rabat!$C$9:$D$43,2,0),0))</f>
        <v>6.98</v>
      </c>
      <c r="J46" t="s">
        <v>1820</v>
      </c>
      <c r="K46" t="s">
        <v>3506</v>
      </c>
      <c r="L46" t="s">
        <v>1813</v>
      </c>
      <c r="M46">
        <v>100</v>
      </c>
      <c r="N46"/>
      <c r="O46" t="s">
        <v>1818</v>
      </c>
      <c r="P46" s="12" t="str">
        <f>HYPERLINK("https://b2b.kobi.pl/pl/product/13119,zarowka-led-gx53-5w-4000k-kobi?currency=PLN")</f>
        <v>https://b2b.kobi.pl/pl/product/13119,zarowka-led-gx53-5w-4000k-kobi?currency=PLN</v>
      </c>
      <c r="Q46" s="12" t="str">
        <f>HYPERLINK("https://eprel.ec.europa.eu/qr/2497805")</f>
        <v>https://eprel.ec.europa.eu/qr/2497805</v>
      </c>
      <c r="R46"/>
      <c r="S46" t="s">
        <v>2569</v>
      </c>
      <c r="T46">
        <v>0.02</v>
      </c>
      <c r="U46">
        <v>0.02</v>
      </c>
      <c r="V46">
        <v>0.03</v>
      </c>
      <c r="W46">
        <v>7.5</v>
      </c>
      <c r="X46">
        <v>2.9</v>
      </c>
      <c r="Y46">
        <v>7.5</v>
      </c>
    </row>
    <row r="47" spans="1:25" ht="60" customHeight="1" x14ac:dyDescent="0.25">
      <c r="A47"/>
      <c r="B47" t="s">
        <v>3743</v>
      </c>
      <c r="C47" t="s">
        <v>3745</v>
      </c>
      <c r="D47" t="s">
        <v>618</v>
      </c>
      <c r="E47" t="s">
        <v>3460</v>
      </c>
      <c r="F47" t="s">
        <v>3461</v>
      </c>
      <c r="G47" t="s">
        <v>1436</v>
      </c>
      <c r="H47" s="11">
        <v>9.1300000000000008</v>
      </c>
      <c r="I47" s="10">
        <f>H47*(1-IFERROR(VLOOKUP(G47,Rabat!$C$9:$D$43,2,0),0))</f>
        <v>9.1300000000000008</v>
      </c>
      <c r="J47" t="s">
        <v>1816</v>
      </c>
      <c r="K47" t="s">
        <v>3507</v>
      </c>
      <c r="L47" t="s">
        <v>1813</v>
      </c>
      <c r="M47">
        <v>100</v>
      </c>
      <c r="N47"/>
      <c r="O47" t="s">
        <v>1818</v>
      </c>
      <c r="P47" s="12" t="str">
        <f>HYPERLINK("https://b2b.kobi.pl/pl/product/13120,zarowka-led-gx53-9w-3000k-kobi?currency=PLN")</f>
        <v>https://b2b.kobi.pl/pl/product/13120,zarowka-led-gx53-9w-3000k-kobi?currency=PLN</v>
      </c>
      <c r="Q47" s="12" t="str">
        <f>HYPERLINK("https://eprel.ec.europa.eu/qr/2498692")</f>
        <v>https://eprel.ec.europa.eu/qr/2498692</v>
      </c>
      <c r="R47"/>
      <c r="S47" t="s">
        <v>2569</v>
      </c>
      <c r="T47">
        <v>0.03</v>
      </c>
      <c r="U47">
        <v>0.03</v>
      </c>
      <c r="V47">
        <v>3.7999999999999999E-2</v>
      </c>
      <c r="W47">
        <v>7.5</v>
      </c>
      <c r="X47">
        <v>3.2</v>
      </c>
      <c r="Y47">
        <v>7.5</v>
      </c>
    </row>
    <row r="48" spans="1:25" ht="60" customHeight="1" x14ac:dyDescent="0.25">
      <c r="A48"/>
      <c r="B48" t="s">
        <v>3743</v>
      </c>
      <c r="C48" t="s">
        <v>3745</v>
      </c>
      <c r="D48" t="s">
        <v>618</v>
      </c>
      <c r="E48" t="s">
        <v>3462</v>
      </c>
      <c r="F48" t="s">
        <v>3463</v>
      </c>
      <c r="G48" t="s">
        <v>1436</v>
      </c>
      <c r="H48" s="11">
        <v>9.1300000000000008</v>
      </c>
      <c r="I48" s="10">
        <f>H48*(1-IFERROR(VLOOKUP(G48,Rabat!$C$9:$D$43,2,0),0))</f>
        <v>9.1300000000000008</v>
      </c>
      <c r="J48" t="s">
        <v>1816</v>
      </c>
      <c r="K48" t="s">
        <v>3508</v>
      </c>
      <c r="L48" t="s">
        <v>1813</v>
      </c>
      <c r="M48">
        <v>100</v>
      </c>
      <c r="N48"/>
      <c r="O48" t="s">
        <v>1818</v>
      </c>
      <c r="P48" s="12" t="str">
        <f>HYPERLINK("https://b2b.kobi.pl/pl/product/13121,zarowka-led-gx53-9w-4000k-kobi?currency=PLN")</f>
        <v>https://b2b.kobi.pl/pl/product/13121,zarowka-led-gx53-9w-4000k-kobi?currency=PLN</v>
      </c>
      <c r="Q48" s="12" t="str">
        <f>HYPERLINK("https://eprel.ec.europa.eu/qr/2499034")</f>
        <v>https://eprel.ec.europa.eu/qr/2499034</v>
      </c>
      <c r="R48"/>
      <c r="S48" t="s">
        <v>2569</v>
      </c>
      <c r="T48">
        <v>0.03</v>
      </c>
      <c r="U48">
        <v>0.03</v>
      </c>
      <c r="V48">
        <v>3.7999999999999999E-2</v>
      </c>
      <c r="W48">
        <v>7.5</v>
      </c>
      <c r="X48">
        <v>3.2</v>
      </c>
      <c r="Y48">
        <v>7.5</v>
      </c>
    </row>
    <row r="49" spans="1:25" ht="60" customHeight="1" x14ac:dyDescent="0.25">
      <c r="A49"/>
      <c r="B49" t="s">
        <v>3743</v>
      </c>
      <c r="C49" t="s">
        <v>3745</v>
      </c>
      <c r="D49" t="s">
        <v>618</v>
      </c>
      <c r="E49" t="s">
        <v>3464</v>
      </c>
      <c r="F49" t="s">
        <v>3465</v>
      </c>
      <c r="G49" t="s">
        <v>1436</v>
      </c>
      <c r="H49" s="11">
        <v>10.24</v>
      </c>
      <c r="I49" s="10">
        <f>H49*(1-IFERROR(VLOOKUP(G49,Rabat!$C$9:$D$43,2,0),0))</f>
        <v>10.24</v>
      </c>
      <c r="J49" t="s">
        <v>1816</v>
      </c>
      <c r="K49" t="s">
        <v>3509</v>
      </c>
      <c r="L49" t="s">
        <v>1813</v>
      </c>
      <c r="M49">
        <v>100</v>
      </c>
      <c r="N49"/>
      <c r="O49" t="s">
        <v>1818</v>
      </c>
      <c r="P49" s="12" t="str">
        <f>HYPERLINK("https://b2b.kobi.pl/pl/product/13122,zarowka-led-gx53-11w-3000k-kobi?currency=PLN")</f>
        <v>https://b2b.kobi.pl/pl/product/13122,zarowka-led-gx53-11w-3000k-kobi?currency=PLN</v>
      </c>
      <c r="Q49" s="12" t="str">
        <f>HYPERLINK("https://eprel.ec.europa.eu/qr/2499052")</f>
        <v>https://eprel.ec.europa.eu/qr/2499052</v>
      </c>
      <c r="R49"/>
      <c r="S49" t="s">
        <v>2569</v>
      </c>
      <c r="T49">
        <v>0.03</v>
      </c>
      <c r="U49">
        <v>0.03</v>
      </c>
      <c r="V49">
        <v>0.04</v>
      </c>
      <c r="W49">
        <v>7.5</v>
      </c>
      <c r="X49">
        <v>3.2</v>
      </c>
      <c r="Y49">
        <v>7.5</v>
      </c>
    </row>
    <row r="50" spans="1:25" ht="60" customHeight="1" x14ac:dyDescent="0.25">
      <c r="A50"/>
      <c r="B50" t="s">
        <v>3743</v>
      </c>
      <c r="C50" t="s">
        <v>3745</v>
      </c>
      <c r="D50" t="s">
        <v>618</v>
      </c>
      <c r="E50" t="s">
        <v>3466</v>
      </c>
      <c r="F50" t="s">
        <v>3467</v>
      </c>
      <c r="G50" t="s">
        <v>1436</v>
      </c>
      <c r="H50" s="11">
        <v>10.24</v>
      </c>
      <c r="I50" s="10">
        <f>H50*(1-IFERROR(VLOOKUP(G50,Rabat!$C$9:$D$43,2,0),0))</f>
        <v>10.24</v>
      </c>
      <c r="J50" t="s">
        <v>1816</v>
      </c>
      <c r="K50" t="s">
        <v>3510</v>
      </c>
      <c r="L50" t="s">
        <v>1813</v>
      </c>
      <c r="M50">
        <v>100</v>
      </c>
      <c r="N50"/>
      <c r="O50" t="s">
        <v>1818</v>
      </c>
      <c r="P50" s="12" t="str">
        <f>HYPERLINK("https://b2b.kobi.pl/pl/product/13123,zarowka-led-gx53-11w-4000k-kobi?currency=PLN")</f>
        <v>https://b2b.kobi.pl/pl/product/13123,zarowka-led-gx53-11w-4000k-kobi?currency=PLN</v>
      </c>
      <c r="Q50" s="12" t="str">
        <f>HYPERLINK("https://eprel.ec.europa.eu/qr/2499063")</f>
        <v>https://eprel.ec.europa.eu/qr/2499063</v>
      </c>
      <c r="R50"/>
      <c r="S50" t="s">
        <v>2569</v>
      </c>
      <c r="T50">
        <v>0.03</v>
      </c>
      <c r="U50">
        <v>0.03</v>
      </c>
      <c r="V50">
        <v>0.04</v>
      </c>
      <c r="W50">
        <v>7.5</v>
      </c>
      <c r="X50">
        <v>3.2</v>
      </c>
      <c r="Y50">
        <v>7.5</v>
      </c>
    </row>
    <row r="51" spans="1:25" ht="60" customHeight="1" x14ac:dyDescent="0.25">
      <c r="A51"/>
      <c r="B51" t="s">
        <v>3743</v>
      </c>
      <c r="C51" t="s">
        <v>3745</v>
      </c>
      <c r="D51" t="s">
        <v>618</v>
      </c>
      <c r="E51" t="s">
        <v>1504</v>
      </c>
      <c r="F51" t="s">
        <v>1505</v>
      </c>
      <c r="G51" t="s">
        <v>1436</v>
      </c>
      <c r="H51" s="11">
        <v>17.239999999999998</v>
      </c>
      <c r="I51" s="10">
        <f>H51*(1-IFERROR(VLOOKUP(G51,Rabat!$C$9:$D$43,2,0),0))</f>
        <v>17.239999999999998</v>
      </c>
      <c r="J51" t="s">
        <v>1812</v>
      </c>
      <c r="K51" t="s">
        <v>33</v>
      </c>
      <c r="L51" t="s">
        <v>1813</v>
      </c>
      <c r="M51">
        <v>500</v>
      </c>
      <c r="N51"/>
      <c r="O51" t="s">
        <v>1818</v>
      </c>
      <c r="P51" s="12" t="str">
        <f>HYPERLINK("https://b2b.kobi.pl/pl/product/9498,zarowka-led-g9-3w-3000k-kobi?currency=PLN")</f>
        <v>https://b2b.kobi.pl/pl/product/9498,zarowka-led-g9-3w-3000k-kobi?currency=PLN</v>
      </c>
      <c r="Q51" s="12" t="str">
        <f>HYPERLINK("https://eprel.ec.europa.eu/qr/1682098")</f>
        <v>https://eprel.ec.europa.eu/qr/1682098</v>
      </c>
      <c r="R51"/>
      <c r="S51" t="s">
        <v>2569</v>
      </c>
      <c r="T51">
        <v>0.02</v>
      </c>
      <c r="U51">
        <v>0.02</v>
      </c>
      <c r="V51">
        <v>2.1999999999999999E-2</v>
      </c>
      <c r="W51">
        <v>9.5</v>
      </c>
      <c r="X51">
        <v>6</v>
      </c>
      <c r="Y51">
        <v>24</v>
      </c>
    </row>
    <row r="52" spans="1:25" ht="60" customHeight="1" x14ac:dyDescent="0.25">
      <c r="A52"/>
      <c r="B52" t="s">
        <v>3743</v>
      </c>
      <c r="C52" t="s">
        <v>3745</v>
      </c>
      <c r="D52" t="s">
        <v>618</v>
      </c>
      <c r="E52" t="s">
        <v>3468</v>
      </c>
      <c r="F52" t="s">
        <v>3469</v>
      </c>
      <c r="G52" t="s">
        <v>1436</v>
      </c>
      <c r="H52" s="11">
        <v>12.78</v>
      </c>
      <c r="I52" s="10">
        <f>H52*(1-IFERROR(VLOOKUP(G52,Rabat!$C$9:$D$43,2,0),0))</f>
        <v>12.78</v>
      </c>
      <c r="J52" t="s">
        <v>1816</v>
      </c>
      <c r="K52" t="s">
        <v>3511</v>
      </c>
      <c r="L52" t="s">
        <v>1813</v>
      </c>
      <c r="M52">
        <v>100</v>
      </c>
      <c r="N52"/>
      <c r="O52" t="s">
        <v>1818</v>
      </c>
      <c r="P52" s="12" t="str">
        <f>HYPERLINK("https://b2b.kobi.pl/pl/product/13124,zarowka-led-gx53-13w-3000k-kobi?currency=PLN")</f>
        <v>https://b2b.kobi.pl/pl/product/13124,zarowka-led-gx53-13w-3000k-kobi?currency=PLN</v>
      </c>
      <c r="Q52" s="12" t="str">
        <f>HYPERLINK("https://eprel.ec.europa.eu/qr/2499074")</f>
        <v>https://eprel.ec.europa.eu/qr/2499074</v>
      </c>
      <c r="R52"/>
      <c r="S52" t="s">
        <v>2569</v>
      </c>
      <c r="T52">
        <v>0.03</v>
      </c>
      <c r="U52">
        <v>3.5999999999999997E-2</v>
      </c>
      <c r="V52">
        <v>4.2999999999999997E-2</v>
      </c>
      <c r="W52">
        <v>7.5</v>
      </c>
      <c r="X52">
        <v>3.2</v>
      </c>
      <c r="Y52">
        <v>7.5</v>
      </c>
    </row>
    <row r="53" spans="1:25" ht="60" customHeight="1" x14ac:dyDescent="0.25">
      <c r="A53"/>
      <c r="B53" t="s">
        <v>3743</v>
      </c>
      <c r="C53" t="s">
        <v>3745</v>
      </c>
      <c r="D53" t="s">
        <v>618</v>
      </c>
      <c r="E53" t="s">
        <v>1506</v>
      </c>
      <c r="F53" t="s">
        <v>1507</v>
      </c>
      <c r="G53" t="s">
        <v>1436</v>
      </c>
      <c r="H53" s="11">
        <v>17.239999999999998</v>
      </c>
      <c r="I53" s="10">
        <f>H53*(1-IFERROR(VLOOKUP(G53,Rabat!$C$9:$D$43,2,0),0))</f>
        <v>17.239999999999998</v>
      </c>
      <c r="J53" t="s">
        <v>1812</v>
      </c>
      <c r="K53" t="s">
        <v>34</v>
      </c>
      <c r="L53" t="s">
        <v>1813</v>
      </c>
      <c r="M53">
        <v>500</v>
      </c>
      <c r="N53"/>
      <c r="O53" t="s">
        <v>1818</v>
      </c>
      <c r="P53" s="12" t="str">
        <f>HYPERLINK("https://b2b.kobi.pl/pl/product/9499,zarowka-led-g9-3w-4000k-kobi?currency=PLN")</f>
        <v>https://b2b.kobi.pl/pl/product/9499,zarowka-led-g9-3w-4000k-kobi?currency=PLN</v>
      </c>
      <c r="Q53" s="12" t="str">
        <f>HYPERLINK("https://eprel.ec.europa.eu/qr/1682160")</f>
        <v>https://eprel.ec.europa.eu/qr/1682160</v>
      </c>
      <c r="R53"/>
      <c r="S53" t="s">
        <v>2569</v>
      </c>
      <c r="T53">
        <v>0.02</v>
      </c>
      <c r="U53">
        <v>0.02</v>
      </c>
      <c r="V53">
        <v>2.1999999999999999E-2</v>
      </c>
      <c r="W53">
        <v>9.5</v>
      </c>
      <c r="X53">
        <v>6</v>
      </c>
      <c r="Y53">
        <v>24</v>
      </c>
    </row>
    <row r="54" spans="1:25" ht="60" customHeight="1" x14ac:dyDescent="0.25">
      <c r="A54"/>
      <c r="B54" t="s">
        <v>3743</v>
      </c>
      <c r="C54" t="s">
        <v>3745</v>
      </c>
      <c r="D54" t="s">
        <v>618</v>
      </c>
      <c r="E54" t="s">
        <v>1508</v>
      </c>
      <c r="F54" t="s">
        <v>1509</v>
      </c>
      <c r="G54" t="s">
        <v>1436</v>
      </c>
      <c r="H54" s="11">
        <v>17.239999999999998</v>
      </c>
      <c r="I54" s="10">
        <f>H54*(1-IFERROR(VLOOKUP(G54,Rabat!$C$9:$D$43,2,0),0))</f>
        <v>17.239999999999998</v>
      </c>
      <c r="J54" t="s">
        <v>1812</v>
      </c>
      <c r="K54" t="s">
        <v>35</v>
      </c>
      <c r="L54" t="s">
        <v>1813</v>
      </c>
      <c r="M54">
        <v>500</v>
      </c>
      <c r="N54"/>
      <c r="O54" t="s">
        <v>1818</v>
      </c>
      <c r="P54" s="12" t="str">
        <f>HYPERLINK("https://b2b.kobi.pl/pl/product/9500,zarowka-led-g9-3w-6000k-kobi?currency=PLN")</f>
        <v>https://b2b.kobi.pl/pl/product/9500,zarowka-led-g9-3w-6000k-kobi?currency=PLN</v>
      </c>
      <c r="Q54" s="12" t="str">
        <f>HYPERLINK("https://eprel.ec.europa.eu/qr/1682294")</f>
        <v>https://eprel.ec.europa.eu/qr/1682294</v>
      </c>
      <c r="R54"/>
      <c r="S54" t="s">
        <v>2569</v>
      </c>
      <c r="T54">
        <v>0.02</v>
      </c>
      <c r="U54">
        <v>0.02</v>
      </c>
      <c r="V54">
        <v>2.1999999999999999E-2</v>
      </c>
      <c r="W54">
        <v>9.5</v>
      </c>
      <c r="X54">
        <v>6</v>
      </c>
      <c r="Y54">
        <v>24</v>
      </c>
    </row>
    <row r="55" spans="1:25" ht="60" customHeight="1" x14ac:dyDescent="0.25">
      <c r="A55"/>
      <c r="B55" t="s">
        <v>3743</v>
      </c>
      <c r="C55" t="s">
        <v>3745</v>
      </c>
      <c r="D55" t="s">
        <v>618</v>
      </c>
      <c r="E55" t="s">
        <v>3470</v>
      </c>
      <c r="F55" t="s">
        <v>3471</v>
      </c>
      <c r="G55" t="s">
        <v>1436</v>
      </c>
      <c r="H55" s="11">
        <v>12.78</v>
      </c>
      <c r="I55" s="10">
        <f>H55*(1-IFERROR(VLOOKUP(G55,Rabat!$C$9:$D$43,2,0),0))</f>
        <v>12.78</v>
      </c>
      <c r="J55" t="s">
        <v>1816</v>
      </c>
      <c r="K55" t="s">
        <v>3512</v>
      </c>
      <c r="L55" t="s">
        <v>1813</v>
      </c>
      <c r="M55">
        <v>100</v>
      </c>
      <c r="N55"/>
      <c r="O55" t="s">
        <v>1818</v>
      </c>
      <c r="P55" s="12" t="str">
        <f>HYPERLINK("https://b2b.kobi.pl/pl/product/13125,zarowka-led-gx53-13w-4000k-kobi?currency=PLN")</f>
        <v>https://b2b.kobi.pl/pl/product/13125,zarowka-led-gx53-13w-4000k-kobi?currency=PLN</v>
      </c>
      <c r="Q55" s="12" t="str">
        <f>HYPERLINK("https://eprel.ec.europa.eu/qr/2499085")</f>
        <v>https://eprel.ec.europa.eu/qr/2499085</v>
      </c>
      <c r="R55"/>
      <c r="S55" t="s">
        <v>2569</v>
      </c>
      <c r="T55">
        <v>0.03</v>
      </c>
      <c r="U55">
        <v>3.5999999999999997E-2</v>
      </c>
      <c r="V55">
        <v>4.2999999999999997E-2</v>
      </c>
      <c r="W55">
        <v>7.5</v>
      </c>
      <c r="X55">
        <v>3.2</v>
      </c>
      <c r="Y55">
        <v>7.5</v>
      </c>
    </row>
    <row r="56" spans="1:25" ht="60" customHeight="1" x14ac:dyDescent="0.25">
      <c r="A56"/>
      <c r="B56" t="s">
        <v>3743</v>
      </c>
      <c r="C56" t="s">
        <v>3745</v>
      </c>
      <c r="D56" t="s">
        <v>618</v>
      </c>
      <c r="E56" t="s">
        <v>1510</v>
      </c>
      <c r="F56" t="s">
        <v>1511</v>
      </c>
      <c r="G56" t="s">
        <v>1436</v>
      </c>
      <c r="H56" s="11">
        <v>12.99</v>
      </c>
      <c r="I56" s="10">
        <f>H56*(1-IFERROR(VLOOKUP(G56,Rabat!$C$9:$D$43,2,0),0))</f>
        <v>12.99</v>
      </c>
      <c r="J56" t="s">
        <v>1816</v>
      </c>
      <c r="K56" t="s">
        <v>36</v>
      </c>
      <c r="L56" t="s">
        <v>1813</v>
      </c>
      <c r="M56">
        <v>100</v>
      </c>
      <c r="N56">
        <v>6600</v>
      </c>
      <c r="O56" t="s">
        <v>1818</v>
      </c>
      <c r="P56" s="12" t="str">
        <f>HYPERLINK("https://b2b.kobi.pl/pl/product/9501,zarowka-led-g9-4w-3000k-kobi?currency=PLN")</f>
        <v>https://b2b.kobi.pl/pl/product/9501,zarowka-led-g9-4w-3000k-kobi?currency=PLN</v>
      </c>
      <c r="Q56" s="12" t="str">
        <f>HYPERLINK("https://eprel.ec.europa.eu/qr/659766")</f>
        <v>https://eprel.ec.europa.eu/qr/659766</v>
      </c>
      <c r="R56"/>
      <c r="S56" t="s">
        <v>2569</v>
      </c>
      <c r="T56">
        <v>0.01</v>
      </c>
      <c r="U56">
        <v>1.0999999999999999E-2</v>
      </c>
      <c r="V56">
        <v>2.1000000000000001E-2</v>
      </c>
      <c r="W56">
        <v>2.5</v>
      </c>
      <c r="X56">
        <v>7.6</v>
      </c>
      <c r="Y56">
        <v>13.1</v>
      </c>
    </row>
    <row r="57" spans="1:25" ht="60" customHeight="1" x14ac:dyDescent="0.25">
      <c r="A57"/>
      <c r="B57" t="s">
        <v>3743</v>
      </c>
      <c r="C57" t="s">
        <v>3745</v>
      </c>
      <c r="D57" t="s">
        <v>618</v>
      </c>
      <c r="E57" t="s">
        <v>1512</v>
      </c>
      <c r="F57" t="s">
        <v>1513</v>
      </c>
      <c r="G57" t="s">
        <v>1436</v>
      </c>
      <c r="H57" s="11">
        <v>12.99</v>
      </c>
      <c r="I57" s="10">
        <f>H57*(1-IFERROR(VLOOKUP(G57,Rabat!$C$9:$D$43,2,0),0))</f>
        <v>12.99</v>
      </c>
      <c r="J57" t="s">
        <v>1816</v>
      </c>
      <c r="K57" t="s">
        <v>37</v>
      </c>
      <c r="L57" t="s">
        <v>1813</v>
      </c>
      <c r="M57">
        <v>100</v>
      </c>
      <c r="N57">
        <v>6600</v>
      </c>
      <c r="O57" t="s">
        <v>1818</v>
      </c>
      <c r="P57" s="12" t="str">
        <f>HYPERLINK("https://b2b.kobi.pl/pl/product/9502,zarowka-led-g9-4w-4000k-kobi?currency=PLN")</f>
        <v>https://b2b.kobi.pl/pl/product/9502,zarowka-led-g9-4w-4000k-kobi?currency=PLN</v>
      </c>
      <c r="Q57" s="12" t="str">
        <f>HYPERLINK("https://eprel.ec.europa.eu/qr/659773")</f>
        <v>https://eprel.ec.europa.eu/qr/659773</v>
      </c>
      <c r="R57"/>
      <c r="S57" t="s">
        <v>2569</v>
      </c>
      <c r="T57">
        <v>0.01</v>
      </c>
      <c r="U57">
        <v>1.0999999999999999E-2</v>
      </c>
      <c r="V57">
        <v>2.1000000000000001E-2</v>
      </c>
      <c r="W57">
        <v>2.5</v>
      </c>
      <c r="X57">
        <v>7.6</v>
      </c>
      <c r="Y57">
        <v>13.7</v>
      </c>
    </row>
    <row r="58" spans="1:25" ht="60" customHeight="1" x14ac:dyDescent="0.25">
      <c r="A58"/>
      <c r="B58" t="s">
        <v>3743</v>
      </c>
      <c r="C58" t="s">
        <v>3745</v>
      </c>
      <c r="D58" t="s">
        <v>618</v>
      </c>
      <c r="E58" t="s">
        <v>1514</v>
      </c>
      <c r="F58" t="s">
        <v>1515</v>
      </c>
      <c r="G58" t="s">
        <v>1436</v>
      </c>
      <c r="H58" s="11">
        <v>12.99</v>
      </c>
      <c r="I58" s="10">
        <f>H58*(1-IFERROR(VLOOKUP(G58,Rabat!$C$9:$D$43,2,0),0))</f>
        <v>12.99</v>
      </c>
      <c r="J58" t="s">
        <v>1816</v>
      </c>
      <c r="K58" t="s">
        <v>38</v>
      </c>
      <c r="L58" t="s">
        <v>1813</v>
      </c>
      <c r="M58">
        <v>100</v>
      </c>
      <c r="N58">
        <v>3000</v>
      </c>
      <c r="O58" t="s">
        <v>1818</v>
      </c>
      <c r="P58" s="12" t="str">
        <f>HYPERLINK("https://b2b.kobi.pl/pl/product/9503,zarowka-led-g9-4w-6000k-kobi?currency=PLN")</f>
        <v>https://b2b.kobi.pl/pl/product/9503,zarowka-led-g9-4w-6000k-kobi?currency=PLN</v>
      </c>
      <c r="Q58" s="12" t="str">
        <f>HYPERLINK("https://eprel.ec.europa.eu/qr/659777")</f>
        <v>https://eprel.ec.europa.eu/qr/659777</v>
      </c>
      <c r="R58"/>
      <c r="S58" t="s">
        <v>2569</v>
      </c>
      <c r="T58">
        <v>0.01</v>
      </c>
      <c r="U58">
        <v>1.0999999999999999E-2</v>
      </c>
      <c r="V58">
        <v>2.1000000000000001E-2</v>
      </c>
      <c r="W58">
        <v>2</v>
      </c>
      <c r="X58">
        <v>7.7</v>
      </c>
      <c r="Y58">
        <v>13.2</v>
      </c>
    </row>
    <row r="59" spans="1:25" ht="60" customHeight="1" x14ac:dyDescent="0.25">
      <c r="A59"/>
      <c r="B59" t="s">
        <v>3743</v>
      </c>
      <c r="C59" t="s">
        <v>3745</v>
      </c>
      <c r="D59" t="s">
        <v>618</v>
      </c>
      <c r="E59" t="s">
        <v>3746</v>
      </c>
      <c r="F59" t="s">
        <v>3747</v>
      </c>
      <c r="G59" t="s">
        <v>1436</v>
      </c>
      <c r="H59" s="11">
        <v>13.25</v>
      </c>
      <c r="I59" s="10">
        <f>H59*(1-IFERROR(VLOOKUP(G59,Rabat!$C$9:$D$43,2,0),0))</f>
        <v>13.25</v>
      </c>
      <c r="J59" t="s">
        <v>1812</v>
      </c>
      <c r="K59" t="s">
        <v>4105</v>
      </c>
      <c r="L59" t="s">
        <v>1813</v>
      </c>
      <c r="M59">
        <v>500</v>
      </c>
      <c r="N59"/>
      <c r="O59" t="s">
        <v>1818</v>
      </c>
      <c r="P59" s="12" t="str">
        <f>HYPERLINK("https://b2b.kobi.pl/pl/product/12736,zarowka-led-g9-6-5w-3000k-kobi?currency=PLN")</f>
        <v>https://b2b.kobi.pl/pl/product/12736,zarowka-led-g9-6-5w-3000k-kobi?currency=PLN</v>
      </c>
      <c r="Q59" s="12" t="str">
        <f>HYPERLINK("https://eprel.ec.europa.eu/qr/2342849")</f>
        <v>https://eprel.ec.europa.eu/qr/2342849</v>
      </c>
      <c r="R59"/>
      <c r="S59" t="s">
        <v>2569</v>
      </c>
      <c r="T59">
        <v>0.02</v>
      </c>
      <c r="U59">
        <v>1.9E-2</v>
      </c>
      <c r="V59">
        <v>2.1999999999999999E-2</v>
      </c>
      <c r="W59">
        <v>2.5</v>
      </c>
      <c r="X59">
        <v>2.5</v>
      </c>
      <c r="Y59">
        <v>6.8</v>
      </c>
    </row>
    <row r="60" spans="1:25" ht="60" customHeight="1" x14ac:dyDescent="0.25">
      <c r="A60"/>
      <c r="B60" t="s">
        <v>3743</v>
      </c>
      <c r="C60" t="s">
        <v>3745</v>
      </c>
      <c r="D60" t="s">
        <v>618</v>
      </c>
      <c r="E60" t="s">
        <v>3748</v>
      </c>
      <c r="F60" t="s">
        <v>3749</v>
      </c>
      <c r="G60" t="s">
        <v>1436</v>
      </c>
      <c r="H60" s="11">
        <v>13.25</v>
      </c>
      <c r="I60" s="10">
        <f>H60*(1-IFERROR(VLOOKUP(G60,Rabat!$C$9:$D$43,2,0),0))</f>
        <v>13.25</v>
      </c>
      <c r="J60" t="s">
        <v>1812</v>
      </c>
      <c r="K60" t="s">
        <v>4106</v>
      </c>
      <c r="L60" t="s">
        <v>1813</v>
      </c>
      <c r="M60">
        <v>500</v>
      </c>
      <c r="N60"/>
      <c r="O60" t="s">
        <v>1818</v>
      </c>
      <c r="P60" s="12" t="str">
        <f>HYPERLINK("https://b2b.kobi.pl/pl/product/12737,zarowka-led-g9-6-5w-4000k-kobi?currency=PLN")</f>
        <v>https://b2b.kobi.pl/pl/product/12737,zarowka-led-g9-6-5w-4000k-kobi?currency=PLN</v>
      </c>
      <c r="Q60" s="12" t="str">
        <f>HYPERLINK("https://eprel.ec.europa.eu/qr/2343036")</f>
        <v>https://eprel.ec.europa.eu/qr/2343036</v>
      </c>
      <c r="R60"/>
      <c r="S60" t="s">
        <v>2569</v>
      </c>
      <c r="T60">
        <v>0.02</v>
      </c>
      <c r="U60">
        <v>1.9E-2</v>
      </c>
      <c r="V60">
        <v>2.1999999999999999E-2</v>
      </c>
      <c r="W60">
        <v>2.5</v>
      </c>
      <c r="X60">
        <v>2.5</v>
      </c>
      <c r="Y60">
        <v>6.8</v>
      </c>
    </row>
    <row r="61" spans="1:25" ht="60" customHeight="1" x14ac:dyDescent="0.25">
      <c r="A61"/>
      <c r="B61" t="s">
        <v>3743</v>
      </c>
      <c r="C61" t="s">
        <v>3745</v>
      </c>
      <c r="D61" t="s">
        <v>618</v>
      </c>
      <c r="E61" t="s">
        <v>3750</v>
      </c>
      <c r="F61" t="s">
        <v>3751</v>
      </c>
      <c r="G61" t="s">
        <v>1436</v>
      </c>
      <c r="H61" s="11">
        <v>13.25</v>
      </c>
      <c r="I61" s="10">
        <f>H61*(1-IFERROR(VLOOKUP(G61,Rabat!$C$9:$D$43,2,0),0))</f>
        <v>13.25</v>
      </c>
      <c r="J61" t="s">
        <v>1812</v>
      </c>
      <c r="K61" t="s">
        <v>4107</v>
      </c>
      <c r="L61" t="s">
        <v>1813</v>
      </c>
      <c r="M61">
        <v>500</v>
      </c>
      <c r="N61"/>
      <c r="O61" t="s">
        <v>1818</v>
      </c>
      <c r="P61" s="12" t="str">
        <f>HYPERLINK("https://b2b.kobi.pl/pl/product/12738,zarowka-led-g9-6-5w-6000k-kobi?currency=PLN")</f>
        <v>https://b2b.kobi.pl/pl/product/12738,zarowka-led-g9-6-5w-6000k-kobi?currency=PLN</v>
      </c>
      <c r="Q61" s="12" t="str">
        <f>HYPERLINK("https://eprel.ec.europa.eu/qr/2343057")</f>
        <v>https://eprel.ec.europa.eu/qr/2343057</v>
      </c>
      <c r="R61"/>
      <c r="S61" t="s">
        <v>2569</v>
      </c>
      <c r="T61">
        <v>0.02</v>
      </c>
      <c r="U61">
        <v>1.9E-2</v>
      </c>
      <c r="V61">
        <v>2.1999999999999999E-2</v>
      </c>
      <c r="W61">
        <v>2.5</v>
      </c>
      <c r="X61">
        <v>2.5</v>
      </c>
      <c r="Y61">
        <v>6.8</v>
      </c>
    </row>
    <row r="62" spans="1:25" ht="60" customHeight="1" x14ac:dyDescent="0.25">
      <c r="A62"/>
      <c r="B62" t="s">
        <v>3743</v>
      </c>
      <c r="C62" t="s">
        <v>3745</v>
      </c>
      <c r="D62" t="s">
        <v>618</v>
      </c>
      <c r="E62" t="s">
        <v>1496</v>
      </c>
      <c r="F62" t="s">
        <v>1497</v>
      </c>
      <c r="G62" t="s">
        <v>1436</v>
      </c>
      <c r="H62" s="11">
        <v>14</v>
      </c>
      <c r="I62" s="10">
        <f>H62*(1-IFERROR(VLOOKUP(G62,Rabat!$C$9:$D$43,2,0),0))</f>
        <v>14</v>
      </c>
      <c r="J62" t="s">
        <v>1816</v>
      </c>
      <c r="K62" t="s">
        <v>29</v>
      </c>
      <c r="L62" t="s">
        <v>1813</v>
      </c>
      <c r="M62">
        <v>100</v>
      </c>
      <c r="N62">
        <v>6000</v>
      </c>
      <c r="O62" t="s">
        <v>1818</v>
      </c>
      <c r="P62" s="12" t="str">
        <f>HYPERLINK("https://b2b.kobi.pl/pl/product/9489,zarowka-led-g4-1-5w-3000k-kobi?currency=PLN")</f>
        <v>https://b2b.kobi.pl/pl/product/9489,zarowka-led-g4-1-5w-3000k-kobi?currency=PLN</v>
      </c>
      <c r="Q62" s="12" t="str">
        <f>HYPERLINK("https://eprel.ec.europa.eu/qr/996106")</f>
        <v>https://eprel.ec.europa.eu/qr/996106</v>
      </c>
      <c r="R62"/>
      <c r="S62" t="s">
        <v>2569</v>
      </c>
      <c r="T62">
        <v>0.01</v>
      </c>
      <c r="U62">
        <v>0.01</v>
      </c>
      <c r="V62">
        <v>0.01</v>
      </c>
      <c r="W62">
        <v>9.9</v>
      </c>
      <c r="X62">
        <v>7.9</v>
      </c>
      <c r="Y62">
        <v>2</v>
      </c>
    </row>
    <row r="63" spans="1:25" ht="60" customHeight="1" x14ac:dyDescent="0.25">
      <c r="A63"/>
      <c r="B63" t="s">
        <v>3743</v>
      </c>
      <c r="C63" t="s">
        <v>3745</v>
      </c>
      <c r="D63" t="s">
        <v>618</v>
      </c>
      <c r="E63" t="s">
        <v>1498</v>
      </c>
      <c r="F63" t="s">
        <v>1499</v>
      </c>
      <c r="G63" t="s">
        <v>1436</v>
      </c>
      <c r="H63" s="11">
        <v>14</v>
      </c>
      <c r="I63" s="10">
        <f>H63*(1-IFERROR(VLOOKUP(G63,Rabat!$C$9:$D$43,2,0),0))</f>
        <v>14</v>
      </c>
      <c r="J63" t="s">
        <v>1816</v>
      </c>
      <c r="K63" t="s">
        <v>30</v>
      </c>
      <c r="L63" t="s">
        <v>1813</v>
      </c>
      <c r="M63">
        <v>100</v>
      </c>
      <c r="N63">
        <v>6000</v>
      </c>
      <c r="O63" t="s">
        <v>1818</v>
      </c>
      <c r="P63" s="12" t="str">
        <f>HYPERLINK("https://b2b.kobi.pl/pl/product/9490,zarowka-led-g4-1-5w-4000k-kobi?currency=PLN")</f>
        <v>https://b2b.kobi.pl/pl/product/9490,zarowka-led-g4-1-5w-4000k-kobi?currency=PLN</v>
      </c>
      <c r="Q63" s="12" t="str">
        <f>HYPERLINK("https://eprel.ec.europa.eu/qr/996107")</f>
        <v>https://eprel.ec.europa.eu/qr/996107</v>
      </c>
      <c r="R63"/>
      <c r="S63" t="s">
        <v>2569</v>
      </c>
      <c r="T63">
        <v>0.01</v>
      </c>
      <c r="U63">
        <v>0.01</v>
      </c>
      <c r="V63">
        <v>0.01</v>
      </c>
      <c r="W63">
        <v>9.9</v>
      </c>
      <c r="X63">
        <v>7.9</v>
      </c>
      <c r="Y63">
        <v>2</v>
      </c>
    </row>
    <row r="64" spans="1:25" ht="60" customHeight="1" x14ac:dyDescent="0.25">
      <c r="A64"/>
      <c r="B64" t="s">
        <v>3743</v>
      </c>
      <c r="C64" t="s">
        <v>3745</v>
      </c>
      <c r="D64" t="s">
        <v>618</v>
      </c>
      <c r="E64" t="s">
        <v>1500</v>
      </c>
      <c r="F64" t="s">
        <v>1501</v>
      </c>
      <c r="G64" t="s">
        <v>1436</v>
      </c>
      <c r="H64" s="11">
        <v>15.67</v>
      </c>
      <c r="I64" s="10">
        <f>H64*(1-IFERROR(VLOOKUP(G64,Rabat!$C$9:$D$43,2,0),0))</f>
        <v>15.67</v>
      </c>
      <c r="J64" t="s">
        <v>1816</v>
      </c>
      <c r="K64" t="s">
        <v>31</v>
      </c>
      <c r="L64" t="s">
        <v>1813</v>
      </c>
      <c r="M64">
        <v>100</v>
      </c>
      <c r="N64">
        <v>7000</v>
      </c>
      <c r="O64" t="s">
        <v>1818</v>
      </c>
      <c r="P64" s="12" t="str">
        <f>HYPERLINK("https://b2b.kobi.pl/pl/product/9495,zarowka-led-g4-2w-3000k-kobi?currency=PLN")</f>
        <v>https://b2b.kobi.pl/pl/product/9495,zarowka-led-g4-2w-3000k-kobi?currency=PLN</v>
      </c>
      <c r="Q64" s="12" t="str">
        <f>HYPERLINK("https://eprel.ec.europa.eu/qr/816926")</f>
        <v>https://eprel.ec.europa.eu/qr/816926</v>
      </c>
      <c r="R64"/>
      <c r="S64" t="s">
        <v>2569</v>
      </c>
      <c r="T64">
        <v>0</v>
      </c>
      <c r="U64">
        <v>3.0000000000000001E-3</v>
      </c>
      <c r="V64">
        <v>0.01</v>
      </c>
      <c r="W64">
        <v>9.9</v>
      </c>
      <c r="X64">
        <v>7.9</v>
      </c>
      <c r="Y64">
        <v>2</v>
      </c>
    </row>
    <row r="65" spans="1:25" ht="60" customHeight="1" x14ac:dyDescent="0.25">
      <c r="A65"/>
      <c r="B65" t="s">
        <v>3743</v>
      </c>
      <c r="C65" t="s">
        <v>3745</v>
      </c>
      <c r="D65" t="s">
        <v>618</v>
      </c>
      <c r="E65" t="s">
        <v>1502</v>
      </c>
      <c r="F65" t="s">
        <v>1503</v>
      </c>
      <c r="G65" t="s">
        <v>1436</v>
      </c>
      <c r="H65" s="11">
        <v>15.67</v>
      </c>
      <c r="I65" s="10">
        <f>H65*(1-IFERROR(VLOOKUP(G65,Rabat!$C$9:$D$43,2,0),0))</f>
        <v>15.67</v>
      </c>
      <c r="J65" t="s">
        <v>1816</v>
      </c>
      <c r="K65" t="s">
        <v>32</v>
      </c>
      <c r="L65" t="s">
        <v>1813</v>
      </c>
      <c r="M65">
        <v>100</v>
      </c>
      <c r="N65">
        <v>6000</v>
      </c>
      <c r="O65" t="s">
        <v>1818</v>
      </c>
      <c r="P65" s="12" t="str">
        <f>HYPERLINK("https://b2b.kobi.pl/pl/product/9496,zarowka-led-g4-2w-4000k-kobi?currency=PLN")</f>
        <v>https://b2b.kobi.pl/pl/product/9496,zarowka-led-g4-2w-4000k-kobi?currency=PLN</v>
      </c>
      <c r="Q65" s="12" t="str">
        <f>HYPERLINK("https://eprel.ec.europa.eu/qr/816995")</f>
        <v>https://eprel.ec.europa.eu/qr/816995</v>
      </c>
      <c r="R65"/>
      <c r="S65" t="s">
        <v>2569</v>
      </c>
      <c r="T65">
        <v>0.01</v>
      </c>
      <c r="U65">
        <v>0.01</v>
      </c>
      <c r="V65">
        <v>0.01</v>
      </c>
      <c r="W65">
        <v>9.9</v>
      </c>
      <c r="X65">
        <v>7.9</v>
      </c>
      <c r="Y65">
        <v>2</v>
      </c>
    </row>
    <row r="66" spans="1:25" ht="60" customHeight="1" x14ac:dyDescent="0.25">
      <c r="A66"/>
      <c r="B66" t="s">
        <v>3743</v>
      </c>
      <c r="C66" t="s">
        <v>3745</v>
      </c>
      <c r="D66" t="s">
        <v>618</v>
      </c>
      <c r="E66" t="s">
        <v>1670</v>
      </c>
      <c r="F66" t="s">
        <v>1671</v>
      </c>
      <c r="G66" t="s">
        <v>1436</v>
      </c>
      <c r="H66" s="11">
        <v>16.71</v>
      </c>
      <c r="I66" s="10">
        <f>H66*(1-IFERROR(VLOOKUP(G66,Rabat!$C$9:$D$43,2,0),0))</f>
        <v>16.71</v>
      </c>
      <c r="J66" t="s">
        <v>1816</v>
      </c>
      <c r="K66" t="s">
        <v>108</v>
      </c>
      <c r="L66" t="s">
        <v>1813</v>
      </c>
      <c r="M66">
        <v>100</v>
      </c>
      <c r="N66">
        <v>13200</v>
      </c>
      <c r="O66" t="s">
        <v>1818</v>
      </c>
      <c r="P66" s="12" t="str">
        <f>HYPERLINK("https://b2b.kobi.pl/pl/product/9659,zarowka-led-mr11-4w-gu10-3000k-kobi?currency=PLN")</f>
        <v>https://b2b.kobi.pl/pl/product/9659,zarowka-led-mr11-4w-gu10-3000k-kobi?currency=PLN</v>
      </c>
      <c r="Q66" s="12" t="str">
        <f>HYPERLINK("https://eprel.ec.europa.eu/qr/660632")</f>
        <v>https://eprel.ec.europa.eu/qr/660632</v>
      </c>
      <c r="R66"/>
      <c r="S66" t="s">
        <v>2569</v>
      </c>
      <c r="T66">
        <v>0.02</v>
      </c>
      <c r="U66">
        <v>2.9000000000000001E-2</v>
      </c>
      <c r="V66">
        <v>3.5999999999999997E-2</v>
      </c>
      <c r="W66">
        <v>3.5</v>
      </c>
      <c r="X66">
        <v>5.5</v>
      </c>
      <c r="Y66">
        <v>3.5</v>
      </c>
    </row>
    <row r="67" spans="1:25" ht="60" customHeight="1" x14ac:dyDescent="0.25">
      <c r="A67"/>
      <c r="B67" t="s">
        <v>3743</v>
      </c>
      <c r="C67" t="s">
        <v>3745</v>
      </c>
      <c r="D67" t="s">
        <v>618</v>
      </c>
      <c r="E67" t="s">
        <v>1672</v>
      </c>
      <c r="F67" t="s">
        <v>1673</v>
      </c>
      <c r="G67" t="s">
        <v>1436</v>
      </c>
      <c r="H67" s="11">
        <v>16.71</v>
      </c>
      <c r="I67" s="10">
        <f>H67*(1-IFERROR(VLOOKUP(G67,Rabat!$C$9:$D$43,2,0),0))</f>
        <v>16.71</v>
      </c>
      <c r="J67" t="s">
        <v>1816</v>
      </c>
      <c r="K67" t="s">
        <v>109</v>
      </c>
      <c r="L67" t="s">
        <v>1813</v>
      </c>
      <c r="M67">
        <v>100</v>
      </c>
      <c r="N67">
        <v>13200</v>
      </c>
      <c r="O67" t="s">
        <v>1818</v>
      </c>
      <c r="P67" s="12" t="str">
        <f>HYPERLINK("https://b2b.kobi.pl/pl/product/9660,zarowka-led-mr11-4w-gu10-4000k-kobi?currency=PLN")</f>
        <v>https://b2b.kobi.pl/pl/product/9660,zarowka-led-mr11-4w-gu10-4000k-kobi?currency=PLN</v>
      </c>
      <c r="Q67" s="12" t="str">
        <f>HYPERLINK("https://eprel.ec.europa.eu/qr/660634")</f>
        <v>https://eprel.ec.europa.eu/qr/660634</v>
      </c>
      <c r="R67"/>
      <c r="S67" t="s">
        <v>2569</v>
      </c>
      <c r="T67">
        <v>0.02</v>
      </c>
      <c r="U67">
        <v>2.9000000000000001E-2</v>
      </c>
      <c r="V67">
        <v>3.5999999999999997E-2</v>
      </c>
      <c r="W67">
        <v>3.5</v>
      </c>
      <c r="X67">
        <v>5.5</v>
      </c>
      <c r="Y67">
        <v>3.5</v>
      </c>
    </row>
    <row r="68" spans="1:25" ht="60" customHeight="1" x14ac:dyDescent="0.25">
      <c r="A68"/>
      <c r="B68" t="s">
        <v>3743</v>
      </c>
      <c r="C68" t="s">
        <v>3745</v>
      </c>
      <c r="D68" t="s">
        <v>618</v>
      </c>
      <c r="E68" t="s">
        <v>1674</v>
      </c>
      <c r="F68" t="s">
        <v>1675</v>
      </c>
      <c r="G68" t="s">
        <v>1436</v>
      </c>
      <c r="H68" s="11">
        <v>16.71</v>
      </c>
      <c r="I68" s="10">
        <f>H68*(1-IFERROR(VLOOKUP(G68,Rabat!$C$9:$D$43,2,0),0))</f>
        <v>16.71</v>
      </c>
      <c r="J68" t="s">
        <v>1816</v>
      </c>
      <c r="K68" t="s">
        <v>110</v>
      </c>
      <c r="L68" t="s">
        <v>1813</v>
      </c>
      <c r="M68">
        <v>100</v>
      </c>
      <c r="N68">
        <v>13200</v>
      </c>
      <c r="O68" t="s">
        <v>1818</v>
      </c>
      <c r="P68" s="12" t="str">
        <f>HYPERLINK("https://b2b.kobi.pl/pl/product/9661,zarowka-led-mr11-4w-gu10-6000k-kobi?currency=PLN")</f>
        <v>https://b2b.kobi.pl/pl/product/9661,zarowka-led-mr11-4w-gu10-6000k-kobi?currency=PLN</v>
      </c>
      <c r="Q68" s="12" t="str">
        <f>HYPERLINK("https://eprel.ec.europa.eu/qr/660638")</f>
        <v>https://eprel.ec.europa.eu/qr/660638</v>
      </c>
      <c r="R68"/>
      <c r="S68" t="s">
        <v>2569</v>
      </c>
      <c r="T68">
        <v>0.02</v>
      </c>
      <c r="U68">
        <v>2.9000000000000001E-2</v>
      </c>
      <c r="V68">
        <v>3.5999999999999997E-2</v>
      </c>
      <c r="W68">
        <v>3.5</v>
      </c>
      <c r="X68">
        <v>5.5</v>
      </c>
      <c r="Y68">
        <v>3.5</v>
      </c>
    </row>
    <row r="69" spans="1:25" ht="60" customHeight="1" x14ac:dyDescent="0.25">
      <c r="A69"/>
      <c r="B69" t="s">
        <v>3743</v>
      </c>
      <c r="C69" t="s">
        <v>3745</v>
      </c>
      <c r="D69" t="s">
        <v>618</v>
      </c>
      <c r="E69" t="s">
        <v>1610</v>
      </c>
      <c r="F69" t="s">
        <v>1611</v>
      </c>
      <c r="G69" t="s">
        <v>1436</v>
      </c>
      <c r="H69" s="11">
        <v>47.38</v>
      </c>
      <c r="I69" s="10">
        <f>H69*(1-IFERROR(VLOOKUP(G69,Rabat!$C$9:$D$43,2,0),0))</f>
        <v>47.38</v>
      </c>
      <c r="J69" t="s">
        <v>1812</v>
      </c>
      <c r="K69" t="s">
        <v>84</v>
      </c>
      <c r="L69" t="s">
        <v>1813</v>
      </c>
      <c r="M69">
        <v>24</v>
      </c>
      <c r="N69"/>
      <c r="O69" t="s">
        <v>1818</v>
      </c>
      <c r="P69" s="12" t="str">
        <f>HYPERLINK("https://b2b.kobi.pl/pl/product/9586,zarowka-led-j78-8w-r7s-3000k-kobi?currency=PLN")</f>
        <v>https://b2b.kobi.pl/pl/product/9586,zarowka-led-j78-8w-r7s-3000k-kobi?currency=PLN</v>
      </c>
      <c r="Q69" s="12" t="str">
        <f>HYPERLINK("https://eprel.ec.europa.eu/qr/1243613")</f>
        <v>https://eprel.ec.europa.eu/qr/1243613</v>
      </c>
      <c r="R69" t="s">
        <v>1945</v>
      </c>
      <c r="S69" t="s">
        <v>2569</v>
      </c>
      <c r="T69">
        <v>0.03</v>
      </c>
      <c r="U69">
        <v>0.04</v>
      </c>
      <c r="V69">
        <v>4.0599999999999997E-2</v>
      </c>
      <c r="W69">
        <v>3.137</v>
      </c>
      <c r="X69">
        <v>3</v>
      </c>
      <c r="Y69">
        <v>3</v>
      </c>
    </row>
    <row r="70" spans="1:25" ht="60" customHeight="1" x14ac:dyDescent="0.25">
      <c r="A70"/>
      <c r="B70" t="s">
        <v>3743</v>
      </c>
      <c r="C70" t="s">
        <v>3745</v>
      </c>
      <c r="D70" t="s">
        <v>618</v>
      </c>
      <c r="E70" t="s">
        <v>1612</v>
      </c>
      <c r="F70" t="s">
        <v>1613</v>
      </c>
      <c r="G70" t="s">
        <v>1436</v>
      </c>
      <c r="H70" s="11">
        <v>47.38</v>
      </c>
      <c r="I70" s="10">
        <f>H70*(1-IFERROR(VLOOKUP(G70,Rabat!$C$9:$D$43,2,0),0))</f>
        <v>47.38</v>
      </c>
      <c r="J70" t="s">
        <v>1812</v>
      </c>
      <c r="K70" t="s">
        <v>85</v>
      </c>
      <c r="L70" t="s">
        <v>1813</v>
      </c>
      <c r="M70">
        <v>24</v>
      </c>
      <c r="N70"/>
      <c r="O70" t="s">
        <v>1818</v>
      </c>
      <c r="P70" s="12" t="str">
        <f>HYPERLINK("https://b2b.kobi.pl/pl/product/9587,zarowka-led-j78-8w-r7s-4000k-kobi?currency=PLN")</f>
        <v>https://b2b.kobi.pl/pl/product/9587,zarowka-led-j78-8w-r7s-4000k-kobi?currency=PLN</v>
      </c>
      <c r="Q70" s="12" t="str">
        <f>HYPERLINK("https://eprel.ec.europa.eu/qr/1243615")</f>
        <v>https://eprel.ec.europa.eu/qr/1243615</v>
      </c>
      <c r="R70" t="s">
        <v>1945</v>
      </c>
      <c r="S70" t="s">
        <v>2569</v>
      </c>
      <c r="T70">
        <v>0.03</v>
      </c>
      <c r="U70">
        <v>0.04</v>
      </c>
      <c r="V70">
        <v>4.0599999999999997E-2</v>
      </c>
      <c r="W70">
        <v>3.137</v>
      </c>
      <c r="X70">
        <v>3</v>
      </c>
      <c r="Y70">
        <v>3</v>
      </c>
    </row>
    <row r="71" spans="1:25" ht="60" customHeight="1" x14ac:dyDescent="0.25">
      <c r="A71"/>
      <c r="B71" t="s">
        <v>3743</v>
      </c>
      <c r="C71" t="s">
        <v>3745</v>
      </c>
      <c r="D71" t="s">
        <v>618</v>
      </c>
      <c r="E71" t="s">
        <v>1614</v>
      </c>
      <c r="F71" t="s">
        <v>1615</v>
      </c>
      <c r="G71" t="s">
        <v>1436</v>
      </c>
      <c r="H71" s="11">
        <v>54.64</v>
      </c>
      <c r="I71" s="10">
        <f>H71*(1-IFERROR(VLOOKUP(G71,Rabat!$C$9:$D$43,2,0),0))</f>
        <v>54.64</v>
      </c>
      <c r="J71" t="s">
        <v>1812</v>
      </c>
      <c r="K71" t="s">
        <v>86</v>
      </c>
      <c r="L71" t="s">
        <v>1813</v>
      </c>
      <c r="M71">
        <v>24</v>
      </c>
      <c r="N71"/>
      <c r="O71" t="s">
        <v>1818</v>
      </c>
      <c r="P71" s="12" t="str">
        <f>HYPERLINK("https://b2b.kobi.pl/pl/product/9583,zarowka-led-j118-15w-r7s-3000k-kobi?currency=PLN")</f>
        <v>https://b2b.kobi.pl/pl/product/9583,zarowka-led-j118-15w-r7s-3000k-kobi?currency=PLN</v>
      </c>
      <c r="Q71" s="12" t="str">
        <f>HYPERLINK("https://eprel.ec.europa.eu/qr/1243616")</f>
        <v>https://eprel.ec.europa.eu/qr/1243616</v>
      </c>
      <c r="R71" t="s">
        <v>1945</v>
      </c>
      <c r="S71" t="s">
        <v>2569</v>
      </c>
      <c r="T71">
        <v>0.05</v>
      </c>
      <c r="U71">
        <v>0.06</v>
      </c>
      <c r="V71">
        <v>6.5000000000000002E-2</v>
      </c>
      <c r="W71">
        <v>12</v>
      </c>
      <c r="X71">
        <v>3</v>
      </c>
      <c r="Y71">
        <v>3</v>
      </c>
    </row>
    <row r="72" spans="1:25" ht="60" customHeight="1" x14ac:dyDescent="0.25">
      <c r="A72"/>
      <c r="B72" t="s">
        <v>3743</v>
      </c>
      <c r="C72" t="s">
        <v>3745</v>
      </c>
      <c r="D72" t="s">
        <v>618</v>
      </c>
      <c r="E72" t="s">
        <v>1616</v>
      </c>
      <c r="F72" t="s">
        <v>1617</v>
      </c>
      <c r="G72" t="s">
        <v>1436</v>
      </c>
      <c r="H72" s="11">
        <v>54.64</v>
      </c>
      <c r="I72" s="10">
        <f>H72*(1-IFERROR(VLOOKUP(G72,Rabat!$C$9:$D$43,2,0),0))</f>
        <v>54.64</v>
      </c>
      <c r="J72" t="s">
        <v>1812</v>
      </c>
      <c r="K72" t="s">
        <v>87</v>
      </c>
      <c r="L72" t="s">
        <v>1813</v>
      </c>
      <c r="M72">
        <v>120</v>
      </c>
      <c r="N72"/>
      <c r="O72" t="s">
        <v>1818</v>
      </c>
      <c r="P72" s="12" t="str">
        <f>HYPERLINK("https://b2b.kobi.pl/pl/product/9584,zarowka-led-j118-15w-r7s-4000k-kobi?currency=PLN")</f>
        <v>https://b2b.kobi.pl/pl/product/9584,zarowka-led-j118-15w-r7s-4000k-kobi?currency=PLN</v>
      </c>
      <c r="Q72" s="12" t="str">
        <f>HYPERLINK("https://eprel.ec.europa.eu/qr/1243618")</f>
        <v>https://eprel.ec.europa.eu/qr/1243618</v>
      </c>
      <c r="R72" t="s">
        <v>1945</v>
      </c>
      <c r="S72" t="s">
        <v>2569</v>
      </c>
      <c r="T72">
        <v>0.05</v>
      </c>
      <c r="U72">
        <v>0.06</v>
      </c>
      <c r="V72">
        <v>6.5000000000000002E-2</v>
      </c>
      <c r="W72">
        <v>12</v>
      </c>
      <c r="X72">
        <v>3</v>
      </c>
      <c r="Y72">
        <v>3</v>
      </c>
    </row>
    <row r="73" spans="1:25" ht="60" customHeight="1" x14ac:dyDescent="0.25">
      <c r="A73"/>
      <c r="B73" t="s">
        <v>3743</v>
      </c>
      <c r="C73" t="s">
        <v>3745</v>
      </c>
      <c r="D73" t="s">
        <v>618</v>
      </c>
      <c r="E73" t="s">
        <v>1494</v>
      </c>
      <c r="F73" t="s">
        <v>1495</v>
      </c>
      <c r="G73" t="s">
        <v>1436</v>
      </c>
      <c r="H73" s="11">
        <v>52.62</v>
      </c>
      <c r="I73" s="10">
        <f>H73*(1-IFERROR(VLOOKUP(G73,Rabat!$C$9:$D$43,2,0),0))</f>
        <v>52.62</v>
      </c>
      <c r="J73" t="s">
        <v>1816</v>
      </c>
      <c r="K73" t="s">
        <v>20</v>
      </c>
      <c r="L73" t="s">
        <v>1813</v>
      </c>
      <c r="M73">
        <v>100</v>
      </c>
      <c r="N73"/>
      <c r="O73" t="s">
        <v>1818</v>
      </c>
      <c r="P73" s="12" t="str">
        <f>HYPERLINK("https://b2b.kobi.pl/pl/product/9470,zarowka-led-es111-15w-gu10-4000k-kobi?currency=PLN")</f>
        <v>https://b2b.kobi.pl/pl/product/9470,zarowka-led-es111-15w-gu10-4000k-kobi?currency=PLN</v>
      </c>
      <c r="Q73" s="12" t="str">
        <f>HYPERLINK("https://eprel.ec.europa.eu/qr/659606")</f>
        <v>https://eprel.ec.europa.eu/qr/659606</v>
      </c>
      <c r="R73" t="s">
        <v>1945</v>
      </c>
      <c r="S73" t="s">
        <v>2569</v>
      </c>
      <c r="T73">
        <v>0.1</v>
      </c>
      <c r="U73">
        <v>0.12</v>
      </c>
      <c r="V73">
        <v>0.14899999999999999</v>
      </c>
      <c r="W73">
        <v>11.5</v>
      </c>
      <c r="X73">
        <v>7.5</v>
      </c>
      <c r="Y73">
        <v>11.5</v>
      </c>
    </row>
    <row r="74" spans="1:25" ht="60" customHeight="1" x14ac:dyDescent="0.25">
      <c r="A74"/>
      <c r="B74" t="s">
        <v>3743</v>
      </c>
      <c r="C74" t="s">
        <v>3745</v>
      </c>
      <c r="D74" t="s">
        <v>618</v>
      </c>
      <c r="E74" t="s">
        <v>1520</v>
      </c>
      <c r="F74" t="s">
        <v>1521</v>
      </c>
      <c r="G74" t="s">
        <v>1436</v>
      </c>
      <c r="H74" s="11">
        <v>8.6</v>
      </c>
      <c r="I74" s="10">
        <f>H74*(1-IFERROR(VLOOKUP(G74,Rabat!$C$9:$D$43,2,0),0))</f>
        <v>8.6</v>
      </c>
      <c r="J74" t="s">
        <v>1816</v>
      </c>
      <c r="K74" t="s">
        <v>41</v>
      </c>
      <c r="L74" t="s">
        <v>1813</v>
      </c>
      <c r="M74">
        <v>100</v>
      </c>
      <c r="N74">
        <v>2500</v>
      </c>
      <c r="O74" t="s">
        <v>1818</v>
      </c>
      <c r="P74" s="12" t="str">
        <f>HYPERLINK("https://b2b.kobi.pl/pl/product/9527,zarowka-led-gs-7w-e27-3000k-kobi?currency=PLN")</f>
        <v>https://b2b.kobi.pl/pl/product/9527,zarowka-led-gs-7w-e27-3000k-kobi?currency=PLN</v>
      </c>
      <c r="Q74" s="12" t="str">
        <f>HYPERLINK("https://eprel.ec.europa.eu/qr/659843")</f>
        <v>https://eprel.ec.europa.eu/qr/659843</v>
      </c>
      <c r="R74"/>
      <c r="S74" t="s">
        <v>2569</v>
      </c>
      <c r="T74">
        <v>0.02</v>
      </c>
      <c r="U74">
        <v>2.9000000000000001E-2</v>
      </c>
      <c r="V74">
        <v>2.9499999999999998E-2</v>
      </c>
      <c r="W74">
        <v>6</v>
      </c>
      <c r="X74">
        <v>6</v>
      </c>
      <c r="Y74">
        <v>10.5</v>
      </c>
    </row>
    <row r="75" spans="1:25" ht="60" customHeight="1" x14ac:dyDescent="0.25">
      <c r="A75"/>
      <c r="B75" t="s">
        <v>3743</v>
      </c>
      <c r="C75" t="s">
        <v>3745</v>
      </c>
      <c r="D75" t="s">
        <v>618</v>
      </c>
      <c r="E75" t="s">
        <v>1522</v>
      </c>
      <c r="F75" t="s">
        <v>1523</v>
      </c>
      <c r="G75" t="s">
        <v>1436</v>
      </c>
      <c r="H75" s="11">
        <v>8.6</v>
      </c>
      <c r="I75" s="10">
        <f>H75*(1-IFERROR(VLOOKUP(G75,Rabat!$C$9:$D$43,2,0),0))</f>
        <v>8.6</v>
      </c>
      <c r="J75" t="s">
        <v>1816</v>
      </c>
      <c r="K75" t="s">
        <v>42</v>
      </c>
      <c r="L75" t="s">
        <v>1813</v>
      </c>
      <c r="M75">
        <v>100</v>
      </c>
      <c r="N75">
        <v>2500</v>
      </c>
      <c r="O75" t="s">
        <v>1818</v>
      </c>
      <c r="P75" s="12" t="str">
        <f>HYPERLINK("https://b2b.kobi.pl/pl/product/9528,zarowka-led-gs-7w-e27-4000k-kobi?currency=PLN")</f>
        <v>https://b2b.kobi.pl/pl/product/9528,zarowka-led-gs-7w-e27-4000k-kobi?currency=PLN</v>
      </c>
      <c r="Q75" s="12" t="str">
        <f>HYPERLINK("https://eprel.ec.europa.eu/qr/659844")</f>
        <v>https://eprel.ec.europa.eu/qr/659844</v>
      </c>
      <c r="R75"/>
      <c r="S75" t="s">
        <v>2569</v>
      </c>
      <c r="T75">
        <v>0.02</v>
      </c>
      <c r="U75">
        <v>2.9000000000000001E-2</v>
      </c>
      <c r="V75">
        <v>2.9499999999999998E-2</v>
      </c>
      <c r="W75">
        <v>6</v>
      </c>
      <c r="X75">
        <v>6</v>
      </c>
      <c r="Y75">
        <v>10.5</v>
      </c>
    </row>
    <row r="76" spans="1:25" ht="60" customHeight="1" x14ac:dyDescent="0.25">
      <c r="A76"/>
      <c r="B76" t="s">
        <v>3743</v>
      </c>
      <c r="C76" t="s">
        <v>3745</v>
      </c>
      <c r="D76" t="s">
        <v>618</v>
      </c>
      <c r="E76" t="s">
        <v>1524</v>
      </c>
      <c r="F76" t="s">
        <v>1525</v>
      </c>
      <c r="G76" t="s">
        <v>1436</v>
      </c>
      <c r="H76" s="11">
        <v>8.6</v>
      </c>
      <c r="I76" s="10">
        <f>H76*(1-IFERROR(VLOOKUP(G76,Rabat!$C$9:$D$43,2,0),0))</f>
        <v>8.6</v>
      </c>
      <c r="J76" t="s">
        <v>1816</v>
      </c>
      <c r="K76" t="s">
        <v>43</v>
      </c>
      <c r="L76" t="s">
        <v>1813</v>
      </c>
      <c r="M76">
        <v>100</v>
      </c>
      <c r="N76">
        <v>2500</v>
      </c>
      <c r="O76" t="s">
        <v>1818</v>
      </c>
      <c r="P76" s="12" t="str">
        <f>HYPERLINK("https://b2b.kobi.pl/pl/product/9529,zarowka-led-gs-7w-e27-6000k-kobi?currency=PLN")</f>
        <v>https://b2b.kobi.pl/pl/product/9529,zarowka-led-gs-7w-e27-6000k-kobi?currency=PLN</v>
      </c>
      <c r="Q76" s="12" t="str">
        <f>HYPERLINK("https://eprel.ec.europa.eu/qr/659846")</f>
        <v>https://eprel.ec.europa.eu/qr/659846</v>
      </c>
      <c r="R76"/>
      <c r="S76" t="s">
        <v>2569</v>
      </c>
      <c r="T76">
        <v>0.02</v>
      </c>
      <c r="U76">
        <v>2.9000000000000001E-2</v>
      </c>
      <c r="V76">
        <v>2.9499999999999998E-2</v>
      </c>
      <c r="W76">
        <v>6</v>
      </c>
      <c r="X76">
        <v>6</v>
      </c>
      <c r="Y76">
        <v>10.5</v>
      </c>
    </row>
    <row r="77" spans="1:25" ht="60" customHeight="1" x14ac:dyDescent="0.25">
      <c r="A77"/>
      <c r="B77" t="s">
        <v>3743</v>
      </c>
      <c r="C77" t="s">
        <v>3745</v>
      </c>
      <c r="D77" t="s">
        <v>618</v>
      </c>
      <c r="E77" t="s">
        <v>1540</v>
      </c>
      <c r="F77" t="s">
        <v>1541</v>
      </c>
      <c r="G77" t="s">
        <v>1436</v>
      </c>
      <c r="H77" s="11">
        <v>9.31</v>
      </c>
      <c r="I77" s="10">
        <f>H77*(1-IFERROR(VLOOKUP(G77,Rabat!$C$9:$D$43,2,0),0))</f>
        <v>9.31</v>
      </c>
      <c r="J77" t="s">
        <v>1816</v>
      </c>
      <c r="K77" t="s">
        <v>51</v>
      </c>
      <c r="L77" t="s">
        <v>1813</v>
      </c>
      <c r="M77">
        <v>100</v>
      </c>
      <c r="N77">
        <v>2500</v>
      </c>
      <c r="O77" t="s">
        <v>1818</v>
      </c>
      <c r="P77" s="12" t="str">
        <f>HYPERLINK("https://b2b.kobi.pl/pl/product/9508,zarowka-led-gs-10w-e27-3000k-kobi?currency=PLN")</f>
        <v>https://b2b.kobi.pl/pl/product/9508,zarowka-led-gs-10w-e27-3000k-kobi?currency=PLN</v>
      </c>
      <c r="Q77" s="12" t="str">
        <f>HYPERLINK("https://eprel.ec.europa.eu/qr/659813")</f>
        <v>https://eprel.ec.europa.eu/qr/659813</v>
      </c>
      <c r="R77"/>
      <c r="S77" t="s">
        <v>2569</v>
      </c>
      <c r="T77">
        <v>0.02</v>
      </c>
      <c r="U77">
        <v>2.9000000000000001E-2</v>
      </c>
      <c r="V77">
        <v>3.7100000000000001E-2</v>
      </c>
      <c r="W77">
        <v>6</v>
      </c>
      <c r="X77">
        <v>6</v>
      </c>
      <c r="Y77">
        <v>10.8</v>
      </c>
    </row>
    <row r="78" spans="1:25" ht="60" customHeight="1" x14ac:dyDescent="0.25">
      <c r="A78"/>
      <c r="B78" t="s">
        <v>3743</v>
      </c>
      <c r="C78" t="s">
        <v>3745</v>
      </c>
      <c r="D78" t="s">
        <v>618</v>
      </c>
      <c r="E78" t="s">
        <v>1542</v>
      </c>
      <c r="F78" t="s">
        <v>1543</v>
      </c>
      <c r="G78" t="s">
        <v>1436</v>
      </c>
      <c r="H78" s="11">
        <v>9.31</v>
      </c>
      <c r="I78" s="10">
        <f>H78*(1-IFERROR(VLOOKUP(G78,Rabat!$C$9:$D$43,2,0),0))</f>
        <v>9.31</v>
      </c>
      <c r="J78" t="s">
        <v>1816</v>
      </c>
      <c r="K78" t="s">
        <v>52</v>
      </c>
      <c r="L78" t="s">
        <v>1813</v>
      </c>
      <c r="M78">
        <v>100</v>
      </c>
      <c r="N78">
        <v>2500</v>
      </c>
      <c r="O78" t="s">
        <v>1818</v>
      </c>
      <c r="P78" s="12" t="str">
        <f>HYPERLINK("https://b2b.kobi.pl/pl/product/9509,zarowka-led-gs-10w-e27-4000k-kobi?currency=PLN")</f>
        <v>https://b2b.kobi.pl/pl/product/9509,zarowka-led-gs-10w-e27-4000k-kobi?currency=PLN</v>
      </c>
      <c r="Q78" s="12" t="str">
        <f>HYPERLINK("https://eprel.ec.europa.eu/qr/659817")</f>
        <v>https://eprel.ec.europa.eu/qr/659817</v>
      </c>
      <c r="R78"/>
      <c r="S78" t="s">
        <v>2569</v>
      </c>
      <c r="T78">
        <v>0.02</v>
      </c>
      <c r="U78">
        <v>2.9000000000000001E-2</v>
      </c>
      <c r="V78">
        <v>3.7100000000000001E-2</v>
      </c>
      <c r="W78">
        <v>6</v>
      </c>
      <c r="X78">
        <v>6</v>
      </c>
      <c r="Y78">
        <v>10.8</v>
      </c>
    </row>
    <row r="79" spans="1:25" ht="60" customHeight="1" x14ac:dyDescent="0.25">
      <c r="A79"/>
      <c r="B79" t="s">
        <v>3743</v>
      </c>
      <c r="C79" t="s">
        <v>3745</v>
      </c>
      <c r="D79" t="s">
        <v>618</v>
      </c>
      <c r="E79" t="s">
        <v>1544</v>
      </c>
      <c r="F79" t="s">
        <v>1545</v>
      </c>
      <c r="G79" t="s">
        <v>1436</v>
      </c>
      <c r="H79" s="11">
        <v>9.31</v>
      </c>
      <c r="I79" s="10">
        <f>H79*(1-IFERROR(VLOOKUP(G79,Rabat!$C$9:$D$43,2,0),0))</f>
        <v>9.31</v>
      </c>
      <c r="J79" t="s">
        <v>1816</v>
      </c>
      <c r="K79" t="s">
        <v>53</v>
      </c>
      <c r="L79" t="s">
        <v>1813</v>
      </c>
      <c r="M79">
        <v>100</v>
      </c>
      <c r="N79">
        <v>2500</v>
      </c>
      <c r="O79" t="s">
        <v>1818</v>
      </c>
      <c r="P79" s="12" t="str">
        <f>HYPERLINK("https://b2b.kobi.pl/pl/product/9510,zarowka-led-gs-10w-e27-6000k-kobi?currency=PLN")</f>
        <v>https://b2b.kobi.pl/pl/product/9510,zarowka-led-gs-10w-e27-6000k-kobi?currency=PLN</v>
      </c>
      <c r="Q79" s="12" t="str">
        <f>HYPERLINK("https://eprel.ec.europa.eu/qr/659818")</f>
        <v>https://eprel.ec.europa.eu/qr/659818</v>
      </c>
      <c r="R79"/>
      <c r="S79" t="s">
        <v>2569</v>
      </c>
      <c r="T79">
        <v>0.02</v>
      </c>
      <c r="U79">
        <v>2.9000000000000001E-2</v>
      </c>
      <c r="V79">
        <v>3.7100000000000001E-2</v>
      </c>
      <c r="W79">
        <v>6</v>
      </c>
      <c r="X79">
        <v>6</v>
      </c>
      <c r="Y79">
        <v>10.8</v>
      </c>
    </row>
    <row r="80" spans="1:25" ht="60" customHeight="1" x14ac:dyDescent="0.25">
      <c r="A80"/>
      <c r="B80" t="s">
        <v>3743</v>
      </c>
      <c r="C80" t="s">
        <v>3745</v>
      </c>
      <c r="D80" t="s">
        <v>618</v>
      </c>
      <c r="E80" t="s">
        <v>1546</v>
      </c>
      <c r="F80" t="s">
        <v>1547</v>
      </c>
      <c r="G80" t="s">
        <v>1436</v>
      </c>
      <c r="H80" s="11">
        <v>10.62</v>
      </c>
      <c r="I80" s="10">
        <f>H80*(1-IFERROR(VLOOKUP(G80,Rabat!$C$9:$D$43,2,0),0))</f>
        <v>10.62</v>
      </c>
      <c r="J80" t="s">
        <v>1816</v>
      </c>
      <c r="K80" t="s">
        <v>54</v>
      </c>
      <c r="L80" t="s">
        <v>1813</v>
      </c>
      <c r="M80">
        <v>100</v>
      </c>
      <c r="N80">
        <v>2500</v>
      </c>
      <c r="O80" t="s">
        <v>1818</v>
      </c>
      <c r="P80" s="12" t="str">
        <f>HYPERLINK("https://b2b.kobi.pl/pl/product/9515,zarowka-led-gs-13w-e27-3000k-kobi?currency=PLN")</f>
        <v>https://b2b.kobi.pl/pl/product/9515,zarowka-led-gs-13w-e27-3000k-kobi?currency=PLN</v>
      </c>
      <c r="Q80" s="12" t="str">
        <f>HYPERLINK("https://eprel.ec.europa.eu/qr/659821")</f>
        <v>https://eprel.ec.europa.eu/qr/659821</v>
      </c>
      <c r="R80"/>
      <c r="S80" t="s">
        <v>2569</v>
      </c>
      <c r="T80">
        <v>0.03</v>
      </c>
      <c r="U80">
        <v>3.9E-2</v>
      </c>
      <c r="V80">
        <v>4.7300000000000002E-2</v>
      </c>
      <c r="W80">
        <v>6</v>
      </c>
      <c r="X80">
        <v>6</v>
      </c>
      <c r="Y80">
        <v>11.8</v>
      </c>
    </row>
    <row r="81" spans="1:25" ht="60" customHeight="1" x14ac:dyDescent="0.25">
      <c r="A81"/>
      <c r="B81" t="s">
        <v>3743</v>
      </c>
      <c r="C81" t="s">
        <v>3745</v>
      </c>
      <c r="D81" t="s">
        <v>618</v>
      </c>
      <c r="E81" t="s">
        <v>1548</v>
      </c>
      <c r="F81" t="s">
        <v>1549</v>
      </c>
      <c r="G81" t="s">
        <v>1436</v>
      </c>
      <c r="H81" s="11">
        <v>10.62</v>
      </c>
      <c r="I81" s="10">
        <f>H81*(1-IFERROR(VLOOKUP(G81,Rabat!$C$9:$D$43,2,0),0))</f>
        <v>10.62</v>
      </c>
      <c r="J81" t="s">
        <v>1816</v>
      </c>
      <c r="K81" t="s">
        <v>55</v>
      </c>
      <c r="L81" t="s">
        <v>1813</v>
      </c>
      <c r="M81">
        <v>100</v>
      </c>
      <c r="N81">
        <v>2500</v>
      </c>
      <c r="O81" t="s">
        <v>1818</v>
      </c>
      <c r="P81" s="12" t="str">
        <f>HYPERLINK("https://b2b.kobi.pl/pl/product/9517,zarowka-led-gs-13w-e27-4000k-kobi?currency=PLN")</f>
        <v>https://b2b.kobi.pl/pl/product/9517,zarowka-led-gs-13w-e27-4000k-kobi?currency=PLN</v>
      </c>
      <c r="Q81" s="12" t="str">
        <f>HYPERLINK("https://eprel.ec.europa.eu/qr/659826")</f>
        <v>https://eprel.ec.europa.eu/qr/659826</v>
      </c>
      <c r="R81"/>
      <c r="S81" t="s">
        <v>2569</v>
      </c>
      <c r="T81">
        <v>0.03</v>
      </c>
      <c r="U81">
        <v>3.9E-2</v>
      </c>
      <c r="V81">
        <v>4.7300000000000002E-2</v>
      </c>
      <c r="W81">
        <v>6</v>
      </c>
      <c r="X81">
        <v>6</v>
      </c>
      <c r="Y81">
        <v>11.8</v>
      </c>
    </row>
    <row r="82" spans="1:25" ht="60" customHeight="1" x14ac:dyDescent="0.25">
      <c r="A82"/>
      <c r="B82" t="s">
        <v>3743</v>
      </c>
      <c r="C82" t="s">
        <v>3745</v>
      </c>
      <c r="D82" t="s">
        <v>618</v>
      </c>
      <c r="E82" t="s">
        <v>2672</v>
      </c>
      <c r="F82" t="s">
        <v>1550</v>
      </c>
      <c r="G82" t="s">
        <v>1436</v>
      </c>
      <c r="H82" s="11">
        <v>10.62</v>
      </c>
      <c r="I82" s="10">
        <f>H82*(1-IFERROR(VLOOKUP(G82,Rabat!$C$9:$D$43,2,0),0))</f>
        <v>10.62</v>
      </c>
      <c r="J82" t="s">
        <v>1816</v>
      </c>
      <c r="K82" t="s">
        <v>56</v>
      </c>
      <c r="L82" t="s">
        <v>1813</v>
      </c>
      <c r="M82">
        <v>100</v>
      </c>
      <c r="N82">
        <v>2500</v>
      </c>
      <c r="O82" t="s">
        <v>1818</v>
      </c>
      <c r="P82" s="12" t="str">
        <f>HYPERLINK("https://b2b.kobi.pl/pl/product/9518,zarowka-led-gs-13w-e27-6000k-kobi?currency=PLN")</f>
        <v>https://b2b.kobi.pl/pl/product/9518,zarowka-led-gs-13w-e27-6000k-kobi?currency=PLN</v>
      </c>
      <c r="Q82" s="12" t="str">
        <f>HYPERLINK("https://eprel.ec.europa.eu/qr/659831")</f>
        <v>https://eprel.ec.europa.eu/qr/659831</v>
      </c>
      <c r="R82"/>
      <c r="S82" t="s">
        <v>2569</v>
      </c>
      <c r="T82">
        <v>0.03</v>
      </c>
      <c r="U82">
        <v>3.9E-2</v>
      </c>
      <c r="V82">
        <v>4.7300000000000002E-2</v>
      </c>
      <c r="W82">
        <v>6</v>
      </c>
      <c r="X82">
        <v>6</v>
      </c>
      <c r="Y82">
        <v>11.8</v>
      </c>
    </row>
    <row r="83" spans="1:25" ht="60" customHeight="1" x14ac:dyDescent="0.25">
      <c r="A83"/>
      <c r="B83" t="s">
        <v>3743</v>
      </c>
      <c r="C83" t="s">
        <v>3745</v>
      </c>
      <c r="D83" t="s">
        <v>618</v>
      </c>
      <c r="E83" t="s">
        <v>1551</v>
      </c>
      <c r="F83" t="s">
        <v>1552</v>
      </c>
      <c r="G83" t="s">
        <v>1436</v>
      </c>
      <c r="H83" s="11">
        <v>14.52</v>
      </c>
      <c r="I83" s="10">
        <f>H83*(1-IFERROR(VLOOKUP(G83,Rabat!$C$9:$D$43,2,0),0))</f>
        <v>14.52</v>
      </c>
      <c r="J83" t="s">
        <v>1816</v>
      </c>
      <c r="K83" t="s">
        <v>57</v>
      </c>
      <c r="L83" t="s">
        <v>1813</v>
      </c>
      <c r="M83">
        <v>100</v>
      </c>
      <c r="N83">
        <v>1500</v>
      </c>
      <c r="O83" t="s">
        <v>1818</v>
      </c>
      <c r="P83" s="12" t="str">
        <f>HYPERLINK("https://b2b.kobi.pl/pl/product/9519,zarowka-led-gs-15w-e27-3000k-kobi?currency=PLN")</f>
        <v>https://b2b.kobi.pl/pl/product/9519,zarowka-led-gs-15w-e27-3000k-kobi?currency=PLN</v>
      </c>
      <c r="Q83" s="12" t="str">
        <f>HYPERLINK("https://eprel.ec.europa.eu/qr/2354749")</f>
        <v>https://eprel.ec.europa.eu/qr/2354749</v>
      </c>
      <c r="R83"/>
      <c r="S83" t="s">
        <v>2569</v>
      </c>
      <c r="T83">
        <v>0.05</v>
      </c>
      <c r="U83">
        <v>5.5E-2</v>
      </c>
      <c r="V83">
        <v>7.4999999999999997E-2</v>
      </c>
      <c r="W83">
        <v>6</v>
      </c>
      <c r="X83">
        <v>6</v>
      </c>
      <c r="Y83">
        <v>13.3</v>
      </c>
    </row>
    <row r="84" spans="1:25" ht="60" customHeight="1" x14ac:dyDescent="0.25">
      <c r="A84"/>
      <c r="B84" t="s">
        <v>3743</v>
      </c>
      <c r="C84" t="s">
        <v>3745</v>
      </c>
      <c r="D84" t="s">
        <v>618</v>
      </c>
      <c r="E84" t="s">
        <v>1553</v>
      </c>
      <c r="F84" t="s">
        <v>1554</v>
      </c>
      <c r="G84" t="s">
        <v>1436</v>
      </c>
      <c r="H84" s="11">
        <v>14.52</v>
      </c>
      <c r="I84" s="10">
        <f>H84*(1-IFERROR(VLOOKUP(G84,Rabat!$C$9:$D$43,2,0),0))</f>
        <v>14.52</v>
      </c>
      <c r="J84" t="s">
        <v>1816</v>
      </c>
      <c r="K84" t="s">
        <v>58</v>
      </c>
      <c r="L84" t="s">
        <v>1813</v>
      </c>
      <c r="M84">
        <v>100</v>
      </c>
      <c r="N84">
        <v>1500</v>
      </c>
      <c r="O84" t="s">
        <v>1818</v>
      </c>
      <c r="P84" s="12" t="str">
        <f>HYPERLINK("https://b2b.kobi.pl/pl/product/9521,zarowka-led-gs-15w-e27-4000k-kobi?currency=PLN")</f>
        <v>https://b2b.kobi.pl/pl/product/9521,zarowka-led-gs-15w-e27-4000k-kobi?currency=PLN</v>
      </c>
      <c r="Q84" s="12" t="str">
        <f>HYPERLINK("https://eprel.ec.europa.eu/qr/659834")</f>
        <v>https://eprel.ec.europa.eu/qr/659834</v>
      </c>
      <c r="R84"/>
      <c r="S84" t="s">
        <v>2569</v>
      </c>
      <c r="T84">
        <v>0.05</v>
      </c>
      <c r="U84">
        <v>5.5E-2</v>
      </c>
      <c r="V84">
        <v>7.4999999999999997E-2</v>
      </c>
      <c r="W84">
        <v>6</v>
      </c>
      <c r="X84">
        <v>6</v>
      </c>
      <c r="Y84">
        <v>13.3</v>
      </c>
    </row>
    <row r="85" spans="1:25" ht="60" customHeight="1" x14ac:dyDescent="0.25">
      <c r="A85"/>
      <c r="B85" t="s">
        <v>3743</v>
      </c>
      <c r="C85" t="s">
        <v>3745</v>
      </c>
      <c r="D85" t="s">
        <v>618</v>
      </c>
      <c r="E85" t="s">
        <v>2673</v>
      </c>
      <c r="F85" t="s">
        <v>1555</v>
      </c>
      <c r="G85" t="s">
        <v>1436</v>
      </c>
      <c r="H85" s="11">
        <v>14.52</v>
      </c>
      <c r="I85" s="10">
        <f>H85*(1-IFERROR(VLOOKUP(G85,Rabat!$C$9:$D$43,2,0),0))</f>
        <v>14.52</v>
      </c>
      <c r="J85" t="s">
        <v>1816</v>
      </c>
      <c r="K85" t="s">
        <v>59</v>
      </c>
      <c r="L85" t="s">
        <v>1813</v>
      </c>
      <c r="M85">
        <v>100</v>
      </c>
      <c r="N85">
        <v>1500</v>
      </c>
      <c r="O85" t="s">
        <v>1818</v>
      </c>
      <c r="P85" s="12" t="str">
        <f>HYPERLINK("https://b2b.kobi.pl/pl/product/9523,zarowka-led-gs-15w-e27-6000k-kobi?currency=PLN")</f>
        <v>https://b2b.kobi.pl/pl/product/9523,zarowka-led-gs-15w-e27-6000k-kobi?currency=PLN</v>
      </c>
      <c r="Q85" s="12" t="str">
        <f>HYPERLINK("https://eprel.ec.europa.eu/qr/659835")</f>
        <v>https://eprel.ec.europa.eu/qr/659835</v>
      </c>
      <c r="R85"/>
      <c r="S85" t="s">
        <v>2569</v>
      </c>
      <c r="T85">
        <v>0.05</v>
      </c>
      <c r="U85">
        <v>5.5E-2</v>
      </c>
      <c r="V85">
        <v>7.4999999999999997E-2</v>
      </c>
      <c r="W85">
        <v>6</v>
      </c>
      <c r="X85">
        <v>6</v>
      </c>
      <c r="Y85">
        <v>13.3</v>
      </c>
    </row>
    <row r="86" spans="1:25" ht="60" customHeight="1" x14ac:dyDescent="0.25">
      <c r="A86"/>
      <c r="B86" t="s">
        <v>3743</v>
      </c>
      <c r="C86" t="s">
        <v>3745</v>
      </c>
      <c r="D86" t="s">
        <v>16</v>
      </c>
      <c r="E86" t="s">
        <v>2674</v>
      </c>
      <c r="F86" t="s">
        <v>2675</v>
      </c>
      <c r="G86" t="s">
        <v>1436</v>
      </c>
      <c r="H86" s="11">
        <v>9.93</v>
      </c>
      <c r="I86" s="10">
        <f>H86*(1-IFERROR(VLOOKUP(G86,Rabat!$C$9:$D$43,2,0),0))</f>
        <v>9.93</v>
      </c>
      <c r="J86" t="s">
        <v>1816</v>
      </c>
      <c r="K86" t="s">
        <v>2710</v>
      </c>
      <c r="L86" t="s">
        <v>1813</v>
      </c>
      <c r="M86">
        <v>100</v>
      </c>
      <c r="N86">
        <v>1500</v>
      </c>
      <c r="O86" t="s">
        <v>1818</v>
      </c>
      <c r="P86" s="12" t="str">
        <f>HYPERLINK("https://b2b.kobi.pl/pl/product/12739,zarowka-led-gs-17w-e27-3000k-led2b?currency=PLN")</f>
        <v>https://b2b.kobi.pl/pl/product/12739,zarowka-led-gs-17w-e27-3000k-led2b?currency=PLN</v>
      </c>
      <c r="Q86" s="12" t="str">
        <f>HYPERLINK("https://eprel.ec.europa.eu/qr/2355312")</f>
        <v>https://eprel.ec.europa.eu/qr/2355312</v>
      </c>
      <c r="R86"/>
      <c r="S86" t="s">
        <v>2569</v>
      </c>
      <c r="T86">
        <v>0.03</v>
      </c>
      <c r="U86">
        <v>3.5000000000000003E-2</v>
      </c>
      <c r="V86">
        <v>4.9000000000000002E-2</v>
      </c>
      <c r="W86">
        <v>6.4</v>
      </c>
      <c r="X86">
        <v>6.4</v>
      </c>
      <c r="Y86">
        <v>13.5</v>
      </c>
    </row>
    <row r="87" spans="1:25" ht="60" customHeight="1" x14ac:dyDescent="0.25">
      <c r="A87"/>
      <c r="B87" t="s">
        <v>3743</v>
      </c>
      <c r="C87" t="s">
        <v>3745</v>
      </c>
      <c r="D87" t="s">
        <v>16</v>
      </c>
      <c r="E87" t="s">
        <v>2676</v>
      </c>
      <c r="F87" t="s">
        <v>2677</v>
      </c>
      <c r="G87" t="s">
        <v>1436</v>
      </c>
      <c r="H87" s="11">
        <v>9.93</v>
      </c>
      <c r="I87" s="10">
        <f>H87*(1-IFERROR(VLOOKUP(G87,Rabat!$C$9:$D$43,2,0),0))</f>
        <v>9.93</v>
      </c>
      <c r="J87" t="s">
        <v>1816</v>
      </c>
      <c r="K87" t="s">
        <v>2711</v>
      </c>
      <c r="L87" t="s">
        <v>1813</v>
      </c>
      <c r="M87">
        <v>100</v>
      </c>
      <c r="N87">
        <v>1500</v>
      </c>
      <c r="O87" t="s">
        <v>1818</v>
      </c>
      <c r="P87" s="12" t="str">
        <f>HYPERLINK("https://b2b.kobi.pl/pl/product/12740,zarowka-led-gs-17w-e27-4000k-led2b?currency=PLN")</f>
        <v>https://b2b.kobi.pl/pl/product/12740,zarowka-led-gs-17w-e27-4000k-led2b?currency=PLN</v>
      </c>
      <c r="Q87" s="12" t="str">
        <f>HYPERLINK("https://eprel.ec.europa.eu/qr/2355370")</f>
        <v>https://eprel.ec.europa.eu/qr/2355370</v>
      </c>
      <c r="R87"/>
      <c r="S87" t="s">
        <v>2569</v>
      </c>
      <c r="T87">
        <v>0.03</v>
      </c>
      <c r="U87">
        <v>3.5000000000000003E-2</v>
      </c>
      <c r="V87">
        <v>4.9000000000000002E-2</v>
      </c>
      <c r="W87">
        <v>6.4</v>
      </c>
      <c r="X87">
        <v>6.4</v>
      </c>
      <c r="Y87">
        <v>13.5</v>
      </c>
    </row>
    <row r="88" spans="1:25" ht="60" customHeight="1" x14ac:dyDescent="0.25">
      <c r="A88"/>
      <c r="B88" t="s">
        <v>3743</v>
      </c>
      <c r="C88" t="s">
        <v>3745</v>
      </c>
      <c r="D88" t="s">
        <v>16</v>
      </c>
      <c r="E88" t="s">
        <v>2678</v>
      </c>
      <c r="F88" t="s">
        <v>2679</v>
      </c>
      <c r="G88" t="s">
        <v>1436</v>
      </c>
      <c r="H88" s="11">
        <v>9.93</v>
      </c>
      <c r="I88" s="10">
        <f>H88*(1-IFERROR(VLOOKUP(G88,Rabat!$C$9:$D$43,2,0),0))</f>
        <v>9.93</v>
      </c>
      <c r="J88" t="s">
        <v>1816</v>
      </c>
      <c r="K88" t="s">
        <v>2712</v>
      </c>
      <c r="L88" t="s">
        <v>1813</v>
      </c>
      <c r="M88">
        <v>100</v>
      </c>
      <c r="N88">
        <v>1500</v>
      </c>
      <c r="O88" t="s">
        <v>1818</v>
      </c>
      <c r="P88" s="12" t="str">
        <f>HYPERLINK("https://b2b.kobi.pl/pl/product/12741,zarowka-led-gs-17w-e27-6500k-led2b?currency=PLN")</f>
        <v>https://b2b.kobi.pl/pl/product/12741,zarowka-led-gs-17w-e27-6500k-led2b?currency=PLN</v>
      </c>
      <c r="Q88" s="12" t="str">
        <f>HYPERLINK("https://eprel.ec.europa.eu/qr/2355416")</f>
        <v>https://eprel.ec.europa.eu/qr/2355416</v>
      </c>
      <c r="R88"/>
      <c r="S88" t="s">
        <v>2569</v>
      </c>
      <c r="T88">
        <v>0.03</v>
      </c>
      <c r="U88">
        <v>3.5000000000000003E-2</v>
      </c>
      <c r="V88">
        <v>4.9000000000000002E-2</v>
      </c>
      <c r="W88">
        <v>6.4</v>
      </c>
      <c r="X88">
        <v>6.4</v>
      </c>
      <c r="Y88">
        <v>13.5</v>
      </c>
    </row>
    <row r="89" spans="1:25" ht="60" customHeight="1" x14ac:dyDescent="0.25">
      <c r="A89"/>
      <c r="B89" t="s">
        <v>3743</v>
      </c>
      <c r="C89" t="s">
        <v>3745</v>
      </c>
      <c r="D89" t="s">
        <v>618</v>
      </c>
      <c r="E89" t="s">
        <v>1556</v>
      </c>
      <c r="F89" t="s">
        <v>1557</v>
      </c>
      <c r="G89" t="s">
        <v>1436</v>
      </c>
      <c r="H89" s="11">
        <v>21.1</v>
      </c>
      <c r="I89" s="10">
        <f>H89*(1-IFERROR(VLOOKUP(G89,Rabat!$C$9:$D$43,2,0),0))</f>
        <v>21.1</v>
      </c>
      <c r="J89" t="s">
        <v>1812</v>
      </c>
      <c r="K89" t="s">
        <v>60</v>
      </c>
      <c r="L89" t="s">
        <v>1813</v>
      </c>
      <c r="M89">
        <v>100</v>
      </c>
      <c r="N89">
        <v>1500</v>
      </c>
      <c r="O89" t="s">
        <v>1818</v>
      </c>
      <c r="P89" s="12" t="str">
        <f>HYPERLINK("https://b2b.kobi.pl/pl/product/9524,zarowka-led-gs-18w-e27-3000k-kobi?currency=PLN")</f>
        <v>https://b2b.kobi.pl/pl/product/9524,zarowka-led-gs-18w-e27-3000k-kobi?currency=PLN</v>
      </c>
      <c r="Q89" s="12" t="str">
        <f>HYPERLINK("https://eprel.ec.europa.eu/qr/659839")</f>
        <v>https://eprel.ec.europa.eu/qr/659839</v>
      </c>
      <c r="R89"/>
      <c r="S89" t="s">
        <v>2569</v>
      </c>
      <c r="T89">
        <v>0.06</v>
      </c>
      <c r="U89">
        <v>7.0000000000000007E-2</v>
      </c>
      <c r="V89">
        <v>8.2000000000000003E-2</v>
      </c>
      <c r="W89">
        <v>6</v>
      </c>
      <c r="X89">
        <v>6</v>
      </c>
      <c r="Y89">
        <v>13.9</v>
      </c>
    </row>
    <row r="90" spans="1:25" ht="60" customHeight="1" x14ac:dyDescent="0.25">
      <c r="A90"/>
      <c r="B90" t="s">
        <v>3743</v>
      </c>
      <c r="C90" t="s">
        <v>3745</v>
      </c>
      <c r="D90" t="s">
        <v>618</v>
      </c>
      <c r="E90" t="s">
        <v>1558</v>
      </c>
      <c r="F90" t="s">
        <v>1559</v>
      </c>
      <c r="G90" t="s">
        <v>1436</v>
      </c>
      <c r="H90" s="11">
        <v>21.1</v>
      </c>
      <c r="I90" s="10">
        <f>H90*(1-IFERROR(VLOOKUP(G90,Rabat!$C$9:$D$43,2,0),0))</f>
        <v>21.1</v>
      </c>
      <c r="J90" t="s">
        <v>1812</v>
      </c>
      <c r="K90" t="s">
        <v>61</v>
      </c>
      <c r="L90" t="s">
        <v>1813</v>
      </c>
      <c r="M90">
        <v>100</v>
      </c>
      <c r="N90">
        <v>1500</v>
      </c>
      <c r="O90" t="s">
        <v>1818</v>
      </c>
      <c r="P90" s="12" t="str">
        <f>HYPERLINK("https://b2b.kobi.pl/pl/product/9525,zarowka-led-gs-18w-e27-4000k-kobi?currency=PLN")</f>
        <v>https://b2b.kobi.pl/pl/product/9525,zarowka-led-gs-18w-e27-4000k-kobi?currency=PLN</v>
      </c>
      <c r="Q90" s="12" t="str">
        <f>HYPERLINK("https://eprel.ec.europa.eu/qr/659840")</f>
        <v>https://eprel.ec.europa.eu/qr/659840</v>
      </c>
      <c r="R90"/>
      <c r="S90" t="s">
        <v>2569</v>
      </c>
      <c r="T90">
        <v>0.06</v>
      </c>
      <c r="U90">
        <v>7.0000000000000007E-2</v>
      </c>
      <c r="V90">
        <v>8.2000000000000003E-2</v>
      </c>
      <c r="W90">
        <v>6</v>
      </c>
      <c r="X90">
        <v>6</v>
      </c>
      <c r="Y90">
        <v>13.9</v>
      </c>
    </row>
    <row r="91" spans="1:25" ht="60" customHeight="1" x14ac:dyDescent="0.25">
      <c r="A91"/>
      <c r="B91" t="s">
        <v>3743</v>
      </c>
      <c r="C91" t="s">
        <v>3745</v>
      </c>
      <c r="D91" t="s">
        <v>618</v>
      </c>
      <c r="E91" t="s">
        <v>1560</v>
      </c>
      <c r="F91" t="s">
        <v>1561</v>
      </c>
      <c r="G91" t="s">
        <v>1436</v>
      </c>
      <c r="H91" s="11">
        <v>21.1</v>
      </c>
      <c r="I91" s="10">
        <f>H91*(1-IFERROR(VLOOKUP(G91,Rabat!$C$9:$D$43,2,0),0))</f>
        <v>21.1</v>
      </c>
      <c r="J91" t="s">
        <v>1812</v>
      </c>
      <c r="K91" t="s">
        <v>62</v>
      </c>
      <c r="L91" t="s">
        <v>1813</v>
      </c>
      <c r="M91">
        <v>100</v>
      </c>
      <c r="N91">
        <v>1500</v>
      </c>
      <c r="O91" t="s">
        <v>1818</v>
      </c>
      <c r="P91" s="12" t="str">
        <f>HYPERLINK("https://b2b.kobi.pl/pl/product/9526,zarowka-led-gs-18w-e27-6000k-kobi?currency=PLN")</f>
        <v>https://b2b.kobi.pl/pl/product/9526,zarowka-led-gs-18w-e27-6000k-kobi?currency=PLN</v>
      </c>
      <c r="Q91" s="12" t="str">
        <f>HYPERLINK("https://eprel.ec.europa.eu/qr/659841")</f>
        <v>https://eprel.ec.europa.eu/qr/659841</v>
      </c>
      <c r="R91"/>
      <c r="S91" t="s">
        <v>2569</v>
      </c>
      <c r="T91">
        <v>0.06</v>
      </c>
      <c r="U91">
        <v>7.0000000000000007E-2</v>
      </c>
      <c r="V91">
        <v>8.2000000000000003E-2</v>
      </c>
      <c r="W91">
        <v>6</v>
      </c>
      <c r="X91">
        <v>6</v>
      </c>
      <c r="Y91">
        <v>13.9</v>
      </c>
    </row>
    <row r="92" spans="1:25" ht="60" customHeight="1" x14ac:dyDescent="0.25">
      <c r="A92"/>
      <c r="B92" t="s">
        <v>3743</v>
      </c>
      <c r="C92" t="s">
        <v>3745</v>
      </c>
      <c r="D92" t="s">
        <v>618</v>
      </c>
      <c r="E92" t="s">
        <v>2680</v>
      </c>
      <c r="F92" t="s">
        <v>2681</v>
      </c>
      <c r="G92" t="s">
        <v>1436</v>
      </c>
      <c r="H92" s="11">
        <v>23.79</v>
      </c>
      <c r="I92" s="10">
        <f>H92*(1-IFERROR(VLOOKUP(G92,Rabat!$C$9:$D$43,2,0),0))</f>
        <v>23.79</v>
      </c>
      <c r="J92" t="s">
        <v>1812</v>
      </c>
      <c r="K92" t="s">
        <v>2713</v>
      </c>
      <c r="L92" t="s">
        <v>1813</v>
      </c>
      <c r="M92">
        <v>100</v>
      </c>
      <c r="N92">
        <v>1500</v>
      </c>
      <c r="O92" t="s">
        <v>1818</v>
      </c>
      <c r="P92" s="12" t="str">
        <f>HYPERLINK("https://b2b.kobi.pl/pl/product/12742,zarowka-led-gs-22w-e27-3000k-kobi?currency=PLN")</f>
        <v>https://b2b.kobi.pl/pl/product/12742,zarowka-led-gs-22w-e27-3000k-kobi?currency=PLN</v>
      </c>
      <c r="Q92" s="12" t="str">
        <f>HYPERLINK("https://eprel.ec.europa.eu/qr/2355432")</f>
        <v>https://eprel.ec.europa.eu/qr/2355432</v>
      </c>
      <c r="R92"/>
      <c r="S92" t="s">
        <v>2569</v>
      </c>
      <c r="T92">
        <v>0.04</v>
      </c>
      <c r="U92">
        <v>0.05</v>
      </c>
      <c r="V92">
        <v>6.6000000000000003E-2</v>
      </c>
      <c r="W92">
        <v>6.5</v>
      </c>
      <c r="X92">
        <v>6.5</v>
      </c>
      <c r="Y92">
        <v>13.7</v>
      </c>
    </row>
    <row r="93" spans="1:25" ht="60" customHeight="1" x14ac:dyDescent="0.25">
      <c r="A93"/>
      <c r="B93" t="s">
        <v>3743</v>
      </c>
      <c r="C93" t="s">
        <v>3745</v>
      </c>
      <c r="D93" t="s">
        <v>618</v>
      </c>
      <c r="E93" t="s">
        <v>2682</v>
      </c>
      <c r="F93" t="s">
        <v>2683</v>
      </c>
      <c r="G93" t="s">
        <v>1436</v>
      </c>
      <c r="H93" s="11">
        <v>23.79</v>
      </c>
      <c r="I93" s="10">
        <f>H93*(1-IFERROR(VLOOKUP(G93,Rabat!$C$9:$D$43,2,0),0))</f>
        <v>23.79</v>
      </c>
      <c r="J93" t="s">
        <v>1812</v>
      </c>
      <c r="K93" t="s">
        <v>2714</v>
      </c>
      <c r="L93" t="s">
        <v>1813</v>
      </c>
      <c r="M93">
        <v>100</v>
      </c>
      <c r="N93">
        <v>1500</v>
      </c>
      <c r="O93" t="s">
        <v>1818</v>
      </c>
      <c r="P93" s="12" t="str">
        <f>HYPERLINK("https://b2b.kobi.pl/pl/product/12743,zarowka-led-gs-22w-e27-4000k-kobi?currency=PLN")</f>
        <v>https://b2b.kobi.pl/pl/product/12743,zarowka-led-gs-22w-e27-4000k-kobi?currency=PLN</v>
      </c>
      <c r="Q93" s="12" t="str">
        <f>HYPERLINK("https://eprel.ec.europa.eu/qr/2355447")</f>
        <v>https://eprel.ec.europa.eu/qr/2355447</v>
      </c>
      <c r="R93"/>
      <c r="S93" t="s">
        <v>2569</v>
      </c>
      <c r="T93">
        <v>0.04</v>
      </c>
      <c r="U93">
        <v>0.05</v>
      </c>
      <c r="V93">
        <v>6.6000000000000003E-2</v>
      </c>
      <c r="W93">
        <v>6.5</v>
      </c>
      <c r="X93">
        <v>6.5</v>
      </c>
      <c r="Y93">
        <v>13.7</v>
      </c>
    </row>
    <row r="94" spans="1:25" ht="60" customHeight="1" x14ac:dyDescent="0.25">
      <c r="A94"/>
      <c r="B94" t="s">
        <v>3743</v>
      </c>
      <c r="C94" t="s">
        <v>3745</v>
      </c>
      <c r="D94" t="s">
        <v>618</v>
      </c>
      <c r="E94" t="s">
        <v>2684</v>
      </c>
      <c r="F94" t="s">
        <v>2685</v>
      </c>
      <c r="G94" t="s">
        <v>1436</v>
      </c>
      <c r="H94" s="11">
        <v>23.79</v>
      </c>
      <c r="I94" s="10">
        <f>H94*(1-IFERROR(VLOOKUP(G94,Rabat!$C$9:$D$43,2,0),0))</f>
        <v>23.79</v>
      </c>
      <c r="J94" t="s">
        <v>1812</v>
      </c>
      <c r="K94" t="s">
        <v>2715</v>
      </c>
      <c r="L94" t="s">
        <v>1813</v>
      </c>
      <c r="M94">
        <v>100</v>
      </c>
      <c r="N94">
        <v>1500</v>
      </c>
      <c r="O94" t="s">
        <v>1818</v>
      </c>
      <c r="P94" s="12" t="str">
        <f>HYPERLINK("https://b2b.kobi.pl/pl/product/12744,zarowka-led-gs-22w-e27-6500k-kobi?currency=PLN")</f>
        <v>https://b2b.kobi.pl/pl/product/12744,zarowka-led-gs-22w-e27-6500k-kobi?currency=PLN</v>
      </c>
      <c r="Q94" s="12" t="str">
        <f>HYPERLINK("https://eprel.ec.europa.eu/qr/2355456")</f>
        <v>https://eprel.ec.europa.eu/qr/2355456</v>
      </c>
      <c r="R94"/>
      <c r="S94" t="s">
        <v>2569</v>
      </c>
      <c r="T94">
        <v>0.04</v>
      </c>
      <c r="U94">
        <v>0.05</v>
      </c>
      <c r="V94">
        <v>6.6000000000000003E-2</v>
      </c>
      <c r="W94">
        <v>6.5</v>
      </c>
      <c r="X94">
        <v>6.5</v>
      </c>
      <c r="Y94">
        <v>13.7</v>
      </c>
    </row>
    <row r="95" spans="1:25" ht="60" customHeight="1" x14ac:dyDescent="0.25">
      <c r="A95"/>
      <c r="B95" t="s">
        <v>3743</v>
      </c>
      <c r="C95" t="s">
        <v>3745</v>
      </c>
      <c r="D95" t="s">
        <v>16</v>
      </c>
      <c r="E95" t="s">
        <v>1526</v>
      </c>
      <c r="F95" t="s">
        <v>1527</v>
      </c>
      <c r="G95" t="s">
        <v>1436</v>
      </c>
      <c r="H95" s="11">
        <v>4.5599999999999996</v>
      </c>
      <c r="I95" s="10">
        <f>H95*(1-IFERROR(VLOOKUP(G95,Rabat!$C$9:$D$43,2,0),0))</f>
        <v>4.5599999999999996</v>
      </c>
      <c r="J95" t="s">
        <v>1816</v>
      </c>
      <c r="K95" t="s">
        <v>44</v>
      </c>
      <c r="L95" t="s">
        <v>1813</v>
      </c>
      <c r="M95">
        <v>100</v>
      </c>
      <c r="N95">
        <v>2500</v>
      </c>
      <c r="O95" t="s">
        <v>1818</v>
      </c>
      <c r="P95" s="12" t="str">
        <f>HYPERLINK("https://b2b.kobi.pl/pl/product/9607,zarowka-led-gs-7w-e27-6500k-led2b?currency=PLN")</f>
        <v>https://b2b.kobi.pl/pl/product/9607,zarowka-led-gs-7w-e27-6500k-led2b?currency=PLN</v>
      </c>
      <c r="Q95" s="12" t="str">
        <f>HYPERLINK("https://eprel.ec.europa.eu/qr/660290")</f>
        <v>https://eprel.ec.europa.eu/qr/660290</v>
      </c>
      <c r="R95" t="s">
        <v>1945</v>
      </c>
      <c r="S95" t="s">
        <v>2569</v>
      </c>
      <c r="T95">
        <v>0.02</v>
      </c>
      <c r="U95">
        <v>2.5999999999999999E-2</v>
      </c>
      <c r="V95">
        <v>3.2000000000000001E-2</v>
      </c>
      <c r="W95">
        <v>5.5</v>
      </c>
      <c r="X95">
        <v>10</v>
      </c>
      <c r="Y95">
        <v>5.5</v>
      </c>
    </row>
    <row r="96" spans="1:25" ht="60" customHeight="1" x14ac:dyDescent="0.25">
      <c r="A96"/>
      <c r="B96" t="s">
        <v>3743</v>
      </c>
      <c r="C96" t="s">
        <v>3745</v>
      </c>
      <c r="D96" t="s">
        <v>16</v>
      </c>
      <c r="E96" t="s">
        <v>1528</v>
      </c>
      <c r="F96" t="s">
        <v>1529</v>
      </c>
      <c r="G96" t="s">
        <v>1436</v>
      </c>
      <c r="H96" s="11">
        <v>5.2</v>
      </c>
      <c r="I96" s="10">
        <f>H96*(1-IFERROR(VLOOKUP(G96,Rabat!$C$9:$D$43,2,0),0))</f>
        <v>5.2</v>
      </c>
      <c r="J96" t="s">
        <v>1816</v>
      </c>
      <c r="K96" t="s">
        <v>45</v>
      </c>
      <c r="L96" t="s">
        <v>1813</v>
      </c>
      <c r="M96">
        <v>100</v>
      </c>
      <c r="N96">
        <v>3000</v>
      </c>
      <c r="O96" t="s">
        <v>1818</v>
      </c>
      <c r="P96" s="12" t="str">
        <f>HYPERLINK("https://b2b.kobi.pl/pl/product/9608,zarowka-led-gs-8-5w-e27-3000k-led2b?currency=PLN")</f>
        <v>https://b2b.kobi.pl/pl/product/9608,zarowka-led-gs-8-5w-e27-3000k-led2b?currency=PLN</v>
      </c>
      <c r="Q96" s="12" t="str">
        <f>HYPERLINK("https://eprel.ec.europa.eu/qr/1543370")</f>
        <v>https://eprel.ec.europa.eu/qr/1543370</v>
      </c>
      <c r="R96"/>
      <c r="S96" t="s">
        <v>2569</v>
      </c>
      <c r="T96">
        <v>0.03</v>
      </c>
      <c r="U96">
        <v>0.03</v>
      </c>
      <c r="V96">
        <v>4.5999999999999999E-2</v>
      </c>
      <c r="W96">
        <v>10.5</v>
      </c>
      <c r="X96">
        <v>6</v>
      </c>
      <c r="Y96">
        <v>6</v>
      </c>
    </row>
    <row r="97" spans="1:25" ht="60" customHeight="1" x14ac:dyDescent="0.25">
      <c r="A97"/>
      <c r="B97" t="s">
        <v>3743</v>
      </c>
      <c r="C97" t="s">
        <v>3745</v>
      </c>
      <c r="D97" t="s">
        <v>16</v>
      </c>
      <c r="E97" t="s">
        <v>1530</v>
      </c>
      <c r="F97" t="s">
        <v>1531</v>
      </c>
      <c r="G97" t="s">
        <v>1436</v>
      </c>
      <c r="H97" s="11">
        <v>5.2</v>
      </c>
      <c r="I97" s="10">
        <f>H97*(1-IFERROR(VLOOKUP(G97,Rabat!$C$9:$D$43,2,0),0))</f>
        <v>5.2</v>
      </c>
      <c r="J97" t="s">
        <v>1816</v>
      </c>
      <c r="K97" t="s">
        <v>46</v>
      </c>
      <c r="L97" t="s">
        <v>1813</v>
      </c>
      <c r="M97">
        <v>100</v>
      </c>
      <c r="N97">
        <v>3000</v>
      </c>
      <c r="O97" t="s">
        <v>1818</v>
      </c>
      <c r="P97" s="12" t="str">
        <f>HYPERLINK("https://b2b.kobi.pl/pl/product/9609,zarowka-led-gs-8-5w-e27-4000k-led2b?currency=PLN")</f>
        <v>https://b2b.kobi.pl/pl/product/9609,zarowka-led-gs-8-5w-e27-4000k-led2b?currency=PLN</v>
      </c>
      <c r="Q97" s="12" t="str">
        <f>HYPERLINK("https://eprel.ec.europa.eu/qr/1543382")</f>
        <v>https://eprel.ec.europa.eu/qr/1543382</v>
      </c>
      <c r="R97"/>
      <c r="S97" t="s">
        <v>2569</v>
      </c>
      <c r="T97">
        <v>0.03</v>
      </c>
      <c r="U97">
        <v>0.03</v>
      </c>
      <c r="V97">
        <v>4.5999999999999999E-2</v>
      </c>
      <c r="W97">
        <v>10.5</v>
      </c>
      <c r="X97">
        <v>6</v>
      </c>
      <c r="Y97">
        <v>6</v>
      </c>
    </row>
    <row r="98" spans="1:25" ht="60" customHeight="1" x14ac:dyDescent="0.25">
      <c r="A98"/>
      <c r="B98" t="s">
        <v>3743</v>
      </c>
      <c r="C98" t="s">
        <v>3745</v>
      </c>
      <c r="D98" t="s">
        <v>16</v>
      </c>
      <c r="E98" t="s">
        <v>1532</v>
      </c>
      <c r="F98" t="s">
        <v>1533</v>
      </c>
      <c r="G98" t="s">
        <v>1436</v>
      </c>
      <c r="H98" s="11">
        <v>5.2</v>
      </c>
      <c r="I98" s="10">
        <f>H98*(1-IFERROR(VLOOKUP(G98,Rabat!$C$9:$D$43,2,0),0))</f>
        <v>5.2</v>
      </c>
      <c r="J98" t="s">
        <v>1816</v>
      </c>
      <c r="K98" t="s">
        <v>47</v>
      </c>
      <c r="L98" t="s">
        <v>1813</v>
      </c>
      <c r="M98">
        <v>100</v>
      </c>
      <c r="N98">
        <v>3000</v>
      </c>
      <c r="O98" t="s">
        <v>1818</v>
      </c>
      <c r="P98" s="12" t="str">
        <f>HYPERLINK("https://b2b.kobi.pl/pl/product/9610,zarowka-led-gs-8-5w-e27-6500k-led2b?currency=PLN")</f>
        <v>https://b2b.kobi.pl/pl/product/9610,zarowka-led-gs-8-5w-e27-6500k-led2b?currency=PLN</v>
      </c>
      <c r="Q98" s="12" t="str">
        <f>HYPERLINK("https://eprel.ec.europa.eu/qr/1621200")</f>
        <v>https://eprel.ec.europa.eu/qr/1621200</v>
      </c>
      <c r="R98"/>
      <c r="S98" t="s">
        <v>2569</v>
      </c>
      <c r="T98">
        <v>0.03</v>
      </c>
      <c r="U98">
        <v>0.03</v>
      </c>
      <c r="V98">
        <v>4.5999999999999999E-2</v>
      </c>
      <c r="W98">
        <v>10.5</v>
      </c>
      <c r="X98">
        <v>6</v>
      </c>
      <c r="Y98">
        <v>6</v>
      </c>
    </row>
    <row r="99" spans="1:25" ht="60" customHeight="1" x14ac:dyDescent="0.25">
      <c r="A99"/>
      <c r="B99" t="s">
        <v>3743</v>
      </c>
      <c r="C99" t="s">
        <v>3745</v>
      </c>
      <c r="D99" t="s">
        <v>16</v>
      </c>
      <c r="E99" t="s">
        <v>1534</v>
      </c>
      <c r="F99" t="s">
        <v>1535</v>
      </c>
      <c r="G99" t="s">
        <v>1436</v>
      </c>
      <c r="H99" s="11">
        <v>7.14</v>
      </c>
      <c r="I99" s="10">
        <f>H99*(1-IFERROR(VLOOKUP(G99,Rabat!$C$9:$D$43,2,0),0))</f>
        <v>7.14</v>
      </c>
      <c r="J99" t="s">
        <v>1816</v>
      </c>
      <c r="K99" t="s">
        <v>548</v>
      </c>
      <c r="L99" t="s">
        <v>1813</v>
      </c>
      <c r="M99">
        <v>100</v>
      </c>
      <c r="N99"/>
      <c r="O99" t="s">
        <v>1818</v>
      </c>
      <c r="P99" s="12" t="str">
        <f>HYPERLINK("https://b2b.kobi.pl/pl/product/9591,zarowka-led-gs-10-5w-e27-3000k-led2b?currency=PLN")</f>
        <v>https://b2b.kobi.pl/pl/product/9591,zarowka-led-gs-10-5w-e27-3000k-led2b?currency=PLN</v>
      </c>
      <c r="Q99" s="12" t="str">
        <f>HYPERLINK("https://eprel.ec.europa.eu/qr/2087443")</f>
        <v>https://eprel.ec.europa.eu/qr/2087443</v>
      </c>
      <c r="R99"/>
      <c r="S99" t="s">
        <v>2569</v>
      </c>
      <c r="T99">
        <v>0.02</v>
      </c>
      <c r="U99">
        <v>0.02</v>
      </c>
      <c r="V99">
        <v>0.03</v>
      </c>
      <c r="W99">
        <v>6</v>
      </c>
      <c r="X99">
        <v>6</v>
      </c>
      <c r="Y99">
        <v>11.6</v>
      </c>
    </row>
    <row r="100" spans="1:25" ht="60" customHeight="1" x14ac:dyDescent="0.25">
      <c r="A100"/>
      <c r="B100" t="s">
        <v>3743</v>
      </c>
      <c r="C100" t="s">
        <v>3745</v>
      </c>
      <c r="D100" t="s">
        <v>16</v>
      </c>
      <c r="E100" t="s">
        <v>1536</v>
      </c>
      <c r="F100" t="s">
        <v>1537</v>
      </c>
      <c r="G100" t="s">
        <v>1436</v>
      </c>
      <c r="H100" s="11">
        <v>7.14</v>
      </c>
      <c r="I100" s="10">
        <f>H100*(1-IFERROR(VLOOKUP(G100,Rabat!$C$9:$D$43,2,0),0))</f>
        <v>7.14</v>
      </c>
      <c r="J100" t="s">
        <v>1816</v>
      </c>
      <c r="K100" t="s">
        <v>549</v>
      </c>
      <c r="L100" t="s">
        <v>1813</v>
      </c>
      <c r="M100">
        <v>100</v>
      </c>
      <c r="N100"/>
      <c r="O100" t="s">
        <v>1818</v>
      </c>
      <c r="P100" s="12" t="str">
        <f>HYPERLINK("https://b2b.kobi.pl/pl/product/9592,zarowka-led-gs-10-5w-e27-4000k-led2b?currency=PLN")</f>
        <v>https://b2b.kobi.pl/pl/product/9592,zarowka-led-gs-10-5w-e27-4000k-led2b?currency=PLN</v>
      </c>
      <c r="Q100" s="12" t="str">
        <f>HYPERLINK("https://eprel.ec.europa.eu/qr/2087413")</f>
        <v>https://eprel.ec.europa.eu/qr/2087413</v>
      </c>
      <c r="R100"/>
      <c r="S100" t="s">
        <v>2569</v>
      </c>
      <c r="T100">
        <v>0.02</v>
      </c>
      <c r="U100">
        <v>0.02</v>
      </c>
      <c r="V100">
        <v>0.03</v>
      </c>
      <c r="W100">
        <v>6</v>
      </c>
      <c r="X100">
        <v>6</v>
      </c>
      <c r="Y100">
        <v>11.6</v>
      </c>
    </row>
    <row r="101" spans="1:25" ht="60" customHeight="1" x14ac:dyDescent="0.25">
      <c r="A101"/>
      <c r="B101" t="s">
        <v>3743</v>
      </c>
      <c r="C101" t="s">
        <v>3745</v>
      </c>
      <c r="D101" t="s">
        <v>16</v>
      </c>
      <c r="E101" t="s">
        <v>1538</v>
      </c>
      <c r="F101" t="s">
        <v>1539</v>
      </c>
      <c r="G101" t="s">
        <v>1436</v>
      </c>
      <c r="H101" s="11">
        <v>7.14</v>
      </c>
      <c r="I101" s="10">
        <f>H101*(1-IFERROR(VLOOKUP(G101,Rabat!$C$9:$D$43,2,0),0))</f>
        <v>7.14</v>
      </c>
      <c r="J101" t="s">
        <v>1816</v>
      </c>
      <c r="K101" t="s">
        <v>469</v>
      </c>
      <c r="L101" t="s">
        <v>1813</v>
      </c>
      <c r="M101">
        <v>100</v>
      </c>
      <c r="N101">
        <v>2500</v>
      </c>
      <c r="O101" t="s">
        <v>1818</v>
      </c>
      <c r="P101" s="12" t="str">
        <f>HYPERLINK("https://b2b.kobi.pl/pl/product/9593,zarowka-led-gs-10-5w-e27-6500k-led2b?currency=PLN")</f>
        <v>https://b2b.kobi.pl/pl/product/9593,zarowka-led-gs-10-5w-e27-6500k-led2b?currency=PLN</v>
      </c>
      <c r="Q101" s="12" t="str">
        <f>HYPERLINK("https://eprel.ec.europa.eu/qr/2044294")</f>
        <v>https://eprel.ec.europa.eu/qr/2044294</v>
      </c>
      <c r="R101"/>
      <c r="S101" t="s">
        <v>2569</v>
      </c>
      <c r="T101">
        <v>0.02</v>
      </c>
      <c r="U101">
        <v>0.02</v>
      </c>
      <c r="V101">
        <v>0.03</v>
      </c>
      <c r="W101">
        <v>6</v>
      </c>
      <c r="X101">
        <v>6</v>
      </c>
      <c r="Y101">
        <v>11.6</v>
      </c>
    </row>
    <row r="102" spans="1:25" ht="60" customHeight="1" x14ac:dyDescent="0.25">
      <c r="A102"/>
      <c r="B102" t="s">
        <v>3743</v>
      </c>
      <c r="C102" t="s">
        <v>3745</v>
      </c>
      <c r="D102" t="s">
        <v>606</v>
      </c>
      <c r="E102" t="s">
        <v>1744</v>
      </c>
      <c r="F102" t="s">
        <v>1745</v>
      </c>
      <c r="G102" t="s">
        <v>1436</v>
      </c>
      <c r="H102" s="11">
        <v>31.43</v>
      </c>
      <c r="I102" s="10">
        <f>H102*(1-IFERROR(VLOOKUP(G102,Rabat!$C$9:$D$43,2,0),0))</f>
        <v>31.43</v>
      </c>
      <c r="J102" t="s">
        <v>1816</v>
      </c>
      <c r="K102" t="s">
        <v>50</v>
      </c>
      <c r="L102" t="s">
        <v>1813</v>
      </c>
      <c r="M102">
        <v>100</v>
      </c>
      <c r="N102">
        <v>2500</v>
      </c>
      <c r="O102" t="s">
        <v>1819</v>
      </c>
      <c r="P102" s="12" t="str">
        <f>HYPERLINK("https://b2b.kobi.pl/pl/product/9535,zarowka-z-czujnikiem-ruchu-led-gs-9w-e27-6500k-lx-kobi-premium?currency=PLN")</f>
        <v>https://b2b.kobi.pl/pl/product/9535,zarowka-z-czujnikiem-ruchu-led-gs-9w-e27-6500k-lx-kobi-premium?currency=PLN</v>
      </c>
      <c r="Q102" s="12" t="str">
        <f>HYPERLINK("https://eprel.ec.europa.eu/qr/763786")</f>
        <v>https://eprel.ec.europa.eu/qr/763786</v>
      </c>
      <c r="R102" t="s">
        <v>1945</v>
      </c>
      <c r="S102" t="s">
        <v>2569</v>
      </c>
      <c r="T102">
        <v>0.03</v>
      </c>
      <c r="U102">
        <v>3.9E-2</v>
      </c>
      <c r="V102">
        <v>0.06</v>
      </c>
      <c r="W102">
        <v>11</v>
      </c>
      <c r="X102">
        <v>6</v>
      </c>
      <c r="Y102">
        <v>6</v>
      </c>
    </row>
    <row r="103" spans="1:25" ht="60" customHeight="1" x14ac:dyDescent="0.25">
      <c r="A103"/>
      <c r="B103" t="s">
        <v>3743</v>
      </c>
      <c r="C103" t="s">
        <v>3745</v>
      </c>
      <c r="D103" t="s">
        <v>606</v>
      </c>
      <c r="E103" t="s">
        <v>1740</v>
      </c>
      <c r="F103" t="s">
        <v>1741</v>
      </c>
      <c r="G103" t="s">
        <v>1436</v>
      </c>
      <c r="H103" s="11">
        <v>31.43</v>
      </c>
      <c r="I103" s="10">
        <f>H103*(1-IFERROR(VLOOKUP(G103,Rabat!$C$9:$D$43,2,0),0))</f>
        <v>31.43</v>
      </c>
      <c r="J103" t="s">
        <v>1816</v>
      </c>
      <c r="K103" t="s">
        <v>48</v>
      </c>
      <c r="L103" t="s">
        <v>1813</v>
      </c>
      <c r="M103">
        <v>100</v>
      </c>
      <c r="N103">
        <v>2500</v>
      </c>
      <c r="O103" t="s">
        <v>1819</v>
      </c>
      <c r="P103" s="12" t="str">
        <f>HYPERLINK("https://b2b.kobi.pl/pl/product/9532,zarowka-z-czujnikiem-ruchu-led-gs-9w-e27-3000k-lx-kobi-premium?currency=PLN")</f>
        <v>https://b2b.kobi.pl/pl/product/9532,zarowka-z-czujnikiem-ruchu-led-gs-9w-e27-3000k-lx-kobi-premium?currency=PLN</v>
      </c>
      <c r="Q103" s="12" t="str">
        <f>HYPERLINK("https://eprel.ec.europa.eu/qr/659853")</f>
        <v>https://eprel.ec.europa.eu/qr/659853</v>
      </c>
      <c r="R103"/>
      <c r="S103" t="s">
        <v>2569</v>
      </c>
      <c r="T103">
        <v>0.03</v>
      </c>
      <c r="U103">
        <v>3.9E-2</v>
      </c>
      <c r="V103">
        <v>0.06</v>
      </c>
      <c r="W103">
        <v>11</v>
      </c>
      <c r="X103">
        <v>6</v>
      </c>
      <c r="Y103">
        <v>6</v>
      </c>
    </row>
    <row r="104" spans="1:25" ht="60" customHeight="1" x14ac:dyDescent="0.25">
      <c r="A104"/>
      <c r="B104" t="s">
        <v>3743</v>
      </c>
      <c r="C104" t="s">
        <v>3745</v>
      </c>
      <c r="D104" t="s">
        <v>606</v>
      </c>
      <c r="E104" t="s">
        <v>1742</v>
      </c>
      <c r="F104" t="s">
        <v>1743</v>
      </c>
      <c r="G104" t="s">
        <v>1436</v>
      </c>
      <c r="H104" s="11">
        <v>31.43</v>
      </c>
      <c r="I104" s="10">
        <f>H104*(1-IFERROR(VLOOKUP(G104,Rabat!$C$9:$D$43,2,0),0))</f>
        <v>31.43</v>
      </c>
      <c r="J104" t="s">
        <v>1816</v>
      </c>
      <c r="K104" t="s">
        <v>49</v>
      </c>
      <c r="L104" t="s">
        <v>1813</v>
      </c>
      <c r="M104">
        <v>100</v>
      </c>
      <c r="N104">
        <v>2500</v>
      </c>
      <c r="O104" t="s">
        <v>1819</v>
      </c>
      <c r="P104" s="12" t="str">
        <f>HYPERLINK("https://b2b.kobi.pl/pl/product/9534,zarowka-z-czujnikiem-ruchu-led-gs-9w-e27-4000k-lx-kobi-premium?currency=PLN")</f>
        <v>https://b2b.kobi.pl/pl/product/9534,zarowka-z-czujnikiem-ruchu-led-gs-9w-e27-4000k-lx-kobi-premium?currency=PLN</v>
      </c>
      <c r="Q104" s="12" t="str">
        <f>HYPERLINK("https://eprel.ec.europa.eu/qr/763782")</f>
        <v>https://eprel.ec.europa.eu/qr/763782</v>
      </c>
      <c r="R104"/>
      <c r="S104" t="s">
        <v>2569</v>
      </c>
      <c r="T104">
        <v>0.03</v>
      </c>
      <c r="U104">
        <v>3.9E-2</v>
      </c>
      <c r="V104">
        <v>0.06</v>
      </c>
      <c r="W104">
        <v>11</v>
      </c>
      <c r="X104">
        <v>6</v>
      </c>
      <c r="Y104">
        <v>6</v>
      </c>
    </row>
    <row r="105" spans="1:25" ht="60" customHeight="1" x14ac:dyDescent="0.25">
      <c r="A105"/>
      <c r="B105" t="s">
        <v>3743</v>
      </c>
      <c r="C105" t="s">
        <v>3745</v>
      </c>
      <c r="D105" t="s">
        <v>618</v>
      </c>
      <c r="E105" t="s">
        <v>1618</v>
      </c>
      <c r="F105" t="s">
        <v>1619</v>
      </c>
      <c r="G105" t="s">
        <v>1436</v>
      </c>
      <c r="H105" s="11">
        <v>7.93</v>
      </c>
      <c r="I105" s="10">
        <f>H105*(1-IFERROR(VLOOKUP(G105,Rabat!$C$9:$D$43,2,0),0))</f>
        <v>7.93</v>
      </c>
      <c r="J105" t="s">
        <v>1816</v>
      </c>
      <c r="K105" t="s">
        <v>88</v>
      </c>
      <c r="L105" t="s">
        <v>1813</v>
      </c>
      <c r="M105">
        <v>100</v>
      </c>
      <c r="N105">
        <v>4800</v>
      </c>
      <c r="O105" t="s">
        <v>1818</v>
      </c>
      <c r="P105" s="12" t="str">
        <f>HYPERLINK("https://b2b.kobi.pl/pl/product/9662,zarowka-led-mb-4-5w-e14-3000k-kobi?currency=PLN")</f>
        <v>https://b2b.kobi.pl/pl/product/9662,zarowka-led-mb-4-5w-e14-3000k-kobi?currency=PLN</v>
      </c>
      <c r="Q105" s="12" t="str">
        <f>HYPERLINK("https://eprel.ec.europa.eu/qr/660644")</f>
        <v>https://eprel.ec.europa.eu/qr/660644</v>
      </c>
      <c r="R105"/>
      <c r="S105" t="s">
        <v>2569</v>
      </c>
      <c r="T105">
        <v>0.01</v>
      </c>
      <c r="U105">
        <v>1.7000000000000001E-2</v>
      </c>
      <c r="V105">
        <v>1.9900000000000001E-2</v>
      </c>
      <c r="W105">
        <v>4.5999999999999996</v>
      </c>
      <c r="X105">
        <v>4.5999999999999996</v>
      </c>
      <c r="Y105">
        <v>8.1999999999999993</v>
      </c>
    </row>
    <row r="106" spans="1:25" ht="60" customHeight="1" x14ac:dyDescent="0.25">
      <c r="A106"/>
      <c r="B106" t="s">
        <v>3743</v>
      </c>
      <c r="C106" t="s">
        <v>3745</v>
      </c>
      <c r="D106" t="s">
        <v>618</v>
      </c>
      <c r="E106" t="s">
        <v>1620</v>
      </c>
      <c r="F106" t="s">
        <v>1621</v>
      </c>
      <c r="G106" t="s">
        <v>1436</v>
      </c>
      <c r="H106" s="11">
        <v>7.93</v>
      </c>
      <c r="I106" s="10">
        <f>H106*(1-IFERROR(VLOOKUP(G106,Rabat!$C$9:$D$43,2,0),0))</f>
        <v>7.93</v>
      </c>
      <c r="J106" t="s">
        <v>1816</v>
      </c>
      <c r="K106" t="s">
        <v>89</v>
      </c>
      <c r="L106" t="s">
        <v>1813</v>
      </c>
      <c r="M106">
        <v>100</v>
      </c>
      <c r="N106">
        <v>4800</v>
      </c>
      <c r="O106" t="s">
        <v>1818</v>
      </c>
      <c r="P106" s="12" t="str">
        <f>HYPERLINK("https://b2b.kobi.pl/pl/product/9663,zarowka-led-mb-4-5w-e14-4000k-kobi?currency=PLN")</f>
        <v>https://b2b.kobi.pl/pl/product/9663,zarowka-led-mb-4-5w-e14-4000k-kobi?currency=PLN</v>
      </c>
      <c r="Q106" s="12" t="str">
        <f>HYPERLINK("https://eprel.ec.europa.eu/qr/660645")</f>
        <v>https://eprel.ec.europa.eu/qr/660645</v>
      </c>
      <c r="R106"/>
      <c r="S106" t="s">
        <v>2569</v>
      </c>
      <c r="T106">
        <v>0.01</v>
      </c>
      <c r="U106">
        <v>1.7000000000000001E-2</v>
      </c>
      <c r="V106">
        <v>1.9900000000000001E-2</v>
      </c>
      <c r="W106">
        <v>4.5999999999999996</v>
      </c>
      <c r="X106">
        <v>4.5999999999999996</v>
      </c>
      <c r="Y106">
        <v>8.1999999999999993</v>
      </c>
    </row>
    <row r="107" spans="1:25" ht="60" customHeight="1" x14ac:dyDescent="0.25">
      <c r="A107"/>
      <c r="B107" t="s">
        <v>3743</v>
      </c>
      <c r="C107" t="s">
        <v>3745</v>
      </c>
      <c r="D107" t="s">
        <v>618</v>
      </c>
      <c r="E107" t="s">
        <v>1622</v>
      </c>
      <c r="F107" t="s">
        <v>1623</v>
      </c>
      <c r="G107" t="s">
        <v>1436</v>
      </c>
      <c r="H107" s="11">
        <v>7.93</v>
      </c>
      <c r="I107" s="10">
        <f>H107*(1-IFERROR(VLOOKUP(G107,Rabat!$C$9:$D$43,2,0),0))</f>
        <v>7.93</v>
      </c>
      <c r="J107" t="s">
        <v>1816</v>
      </c>
      <c r="K107" t="s">
        <v>90</v>
      </c>
      <c r="L107" t="s">
        <v>1813</v>
      </c>
      <c r="M107">
        <v>100</v>
      </c>
      <c r="N107">
        <v>4800</v>
      </c>
      <c r="O107" t="s">
        <v>1818</v>
      </c>
      <c r="P107" s="12" t="str">
        <f>HYPERLINK("https://b2b.kobi.pl/pl/product/9664,zarowka-led-mb-4-5w-e14-6000k-kobi?currency=PLN")</f>
        <v>https://b2b.kobi.pl/pl/product/9664,zarowka-led-mb-4-5w-e14-6000k-kobi?currency=PLN</v>
      </c>
      <c r="Q107" s="12" t="str">
        <f>HYPERLINK("https://eprel.ec.europa.eu/qr/660647")</f>
        <v>https://eprel.ec.europa.eu/qr/660647</v>
      </c>
      <c r="R107"/>
      <c r="S107" t="s">
        <v>2569</v>
      </c>
      <c r="T107">
        <v>0.01</v>
      </c>
      <c r="U107">
        <v>1.7000000000000001E-2</v>
      </c>
      <c r="V107">
        <v>1.9900000000000001E-2</v>
      </c>
      <c r="W107">
        <v>4.5999999999999996</v>
      </c>
      <c r="X107">
        <v>4.5999999999999996</v>
      </c>
      <c r="Y107">
        <v>8.1999999999999993</v>
      </c>
    </row>
    <row r="108" spans="1:25" ht="60" customHeight="1" x14ac:dyDescent="0.25">
      <c r="A108"/>
      <c r="B108" t="s">
        <v>3743</v>
      </c>
      <c r="C108" t="s">
        <v>3745</v>
      </c>
      <c r="D108" t="s">
        <v>618</v>
      </c>
      <c r="E108" t="s">
        <v>1624</v>
      </c>
      <c r="F108" t="s">
        <v>1625</v>
      </c>
      <c r="G108" t="s">
        <v>1436</v>
      </c>
      <c r="H108" s="11">
        <v>7.93</v>
      </c>
      <c r="I108" s="10">
        <f>H108*(1-IFERROR(VLOOKUP(G108,Rabat!$C$9:$D$43,2,0),0))</f>
        <v>7.93</v>
      </c>
      <c r="J108" t="s">
        <v>1816</v>
      </c>
      <c r="K108" t="s">
        <v>98</v>
      </c>
      <c r="L108" t="s">
        <v>1813</v>
      </c>
      <c r="M108">
        <v>100</v>
      </c>
      <c r="N108">
        <v>4800</v>
      </c>
      <c r="O108" t="s">
        <v>1818</v>
      </c>
      <c r="P108" s="12" t="str">
        <f>HYPERLINK("https://b2b.kobi.pl/pl/product/9671,zarowka-led-mb-4-5w-e27-3000k-kobi?currency=PLN")</f>
        <v>https://b2b.kobi.pl/pl/product/9671,zarowka-led-mb-4-5w-e27-3000k-kobi?currency=PLN</v>
      </c>
      <c r="Q108" s="12" t="str">
        <f>HYPERLINK("https://eprel.ec.europa.eu/qr/660665")</f>
        <v>https://eprel.ec.europa.eu/qr/660665</v>
      </c>
      <c r="R108"/>
      <c r="S108" t="s">
        <v>2569</v>
      </c>
      <c r="T108">
        <v>0.02</v>
      </c>
      <c r="U108">
        <v>1.7999999999999999E-2</v>
      </c>
      <c r="V108">
        <v>2.7E-2</v>
      </c>
      <c r="W108">
        <v>4.8</v>
      </c>
      <c r="X108">
        <v>4.9000000000000004</v>
      </c>
      <c r="Y108">
        <v>8.6999999999999993</v>
      </c>
    </row>
    <row r="109" spans="1:25" ht="60" customHeight="1" x14ac:dyDescent="0.25">
      <c r="A109"/>
      <c r="B109" t="s">
        <v>3743</v>
      </c>
      <c r="C109" t="s">
        <v>3745</v>
      </c>
      <c r="D109" t="s">
        <v>618</v>
      </c>
      <c r="E109" t="s">
        <v>1626</v>
      </c>
      <c r="F109" t="s">
        <v>1627</v>
      </c>
      <c r="G109" t="s">
        <v>1436</v>
      </c>
      <c r="H109" s="11">
        <v>7.93</v>
      </c>
      <c r="I109" s="10">
        <f>H109*(1-IFERROR(VLOOKUP(G109,Rabat!$C$9:$D$43,2,0),0))</f>
        <v>7.93</v>
      </c>
      <c r="J109" t="s">
        <v>1816</v>
      </c>
      <c r="K109" t="s">
        <v>99</v>
      </c>
      <c r="L109" t="s">
        <v>1813</v>
      </c>
      <c r="M109">
        <v>100</v>
      </c>
      <c r="N109">
        <v>4800</v>
      </c>
      <c r="O109" t="s">
        <v>1818</v>
      </c>
      <c r="P109" s="12" t="str">
        <f>HYPERLINK("https://b2b.kobi.pl/pl/product/9672,zarowka-led-mb-4-5w-e27-4000k-kobi?currency=PLN")</f>
        <v>https://b2b.kobi.pl/pl/product/9672,zarowka-led-mb-4-5w-e27-4000k-kobi?currency=PLN</v>
      </c>
      <c r="Q109" s="12" t="str">
        <f>HYPERLINK("https://eprel.ec.europa.eu/qr/660667")</f>
        <v>https://eprel.ec.europa.eu/qr/660667</v>
      </c>
      <c r="R109"/>
      <c r="S109" t="s">
        <v>2569</v>
      </c>
      <c r="T109">
        <v>0.02</v>
      </c>
      <c r="U109">
        <v>1.7999999999999999E-2</v>
      </c>
      <c r="V109">
        <v>2.7E-2</v>
      </c>
      <c r="W109">
        <v>4.5</v>
      </c>
      <c r="X109">
        <v>6.5</v>
      </c>
      <c r="Y109">
        <v>8.5</v>
      </c>
    </row>
    <row r="110" spans="1:25" ht="60" customHeight="1" x14ac:dyDescent="0.25">
      <c r="A110"/>
      <c r="B110" t="s">
        <v>3743</v>
      </c>
      <c r="C110" t="s">
        <v>3745</v>
      </c>
      <c r="D110" t="s">
        <v>618</v>
      </c>
      <c r="E110" t="s">
        <v>1628</v>
      </c>
      <c r="F110" t="s">
        <v>1629</v>
      </c>
      <c r="G110" t="s">
        <v>1436</v>
      </c>
      <c r="H110" s="11">
        <v>7.93</v>
      </c>
      <c r="I110" s="10">
        <f>H110*(1-IFERROR(VLOOKUP(G110,Rabat!$C$9:$D$43,2,0),0))</f>
        <v>7.93</v>
      </c>
      <c r="J110" t="s">
        <v>1816</v>
      </c>
      <c r="K110" t="s">
        <v>100</v>
      </c>
      <c r="L110" t="s">
        <v>1813</v>
      </c>
      <c r="M110">
        <v>100</v>
      </c>
      <c r="N110">
        <v>4800</v>
      </c>
      <c r="O110" t="s">
        <v>1818</v>
      </c>
      <c r="P110" s="12" t="str">
        <f>HYPERLINK("https://b2b.kobi.pl/pl/product/9673,zarowka-led-mb-4-5w-e27-6000k-kobi?currency=PLN")</f>
        <v>https://b2b.kobi.pl/pl/product/9673,zarowka-led-mb-4-5w-e27-6000k-kobi?currency=PLN</v>
      </c>
      <c r="Q110" s="12" t="str">
        <f>HYPERLINK("https://eprel.ec.europa.eu/qr/660668")</f>
        <v>https://eprel.ec.europa.eu/qr/660668</v>
      </c>
      <c r="R110"/>
      <c r="S110" t="s">
        <v>2569</v>
      </c>
      <c r="T110">
        <v>0.02</v>
      </c>
      <c r="U110">
        <v>1.7999999999999999E-2</v>
      </c>
      <c r="V110">
        <v>2.7E-2</v>
      </c>
      <c r="W110">
        <v>4.8</v>
      </c>
      <c r="X110">
        <v>4.9000000000000004</v>
      </c>
      <c r="Y110">
        <v>8.6999999999999993</v>
      </c>
    </row>
    <row r="111" spans="1:25" ht="60" customHeight="1" x14ac:dyDescent="0.25">
      <c r="A111"/>
      <c r="B111" t="s">
        <v>3743</v>
      </c>
      <c r="C111" t="s">
        <v>3745</v>
      </c>
      <c r="D111" t="s">
        <v>618</v>
      </c>
      <c r="E111" t="s">
        <v>1630</v>
      </c>
      <c r="F111" t="s">
        <v>1631</v>
      </c>
      <c r="G111" t="s">
        <v>1436</v>
      </c>
      <c r="H111" s="11">
        <v>8.8800000000000008</v>
      </c>
      <c r="I111" s="10">
        <f>H111*(1-IFERROR(VLOOKUP(G111,Rabat!$C$9:$D$43,2,0),0))</f>
        <v>8.8800000000000008</v>
      </c>
      <c r="J111" t="s">
        <v>1820</v>
      </c>
      <c r="K111" t="s">
        <v>91</v>
      </c>
      <c r="L111" t="s">
        <v>1813</v>
      </c>
      <c r="M111">
        <v>100</v>
      </c>
      <c r="N111">
        <v>4800</v>
      </c>
      <c r="O111" t="s">
        <v>1818</v>
      </c>
      <c r="P111" s="12" t="str">
        <f>HYPERLINK("https://b2b.kobi.pl/pl/product/9665,zarowka-led-mb-6w-e14-3000k-kobi?currency=PLN")</f>
        <v>https://b2b.kobi.pl/pl/product/9665,zarowka-led-mb-6w-e14-3000k-kobi?currency=PLN</v>
      </c>
      <c r="Q111" s="12" t="str">
        <f>HYPERLINK("https://eprel.ec.europa.eu/qr/660651")</f>
        <v>https://eprel.ec.europa.eu/qr/660651</v>
      </c>
      <c r="R111"/>
      <c r="S111" t="s">
        <v>2569</v>
      </c>
      <c r="T111">
        <v>0.01</v>
      </c>
      <c r="U111">
        <v>1.4999999999999999E-2</v>
      </c>
      <c r="V111">
        <v>2.0299999999999999E-2</v>
      </c>
      <c r="W111">
        <v>4.5999999999999996</v>
      </c>
      <c r="X111">
        <v>4.5999999999999996</v>
      </c>
      <c r="Y111">
        <v>8.1999999999999993</v>
      </c>
    </row>
    <row r="112" spans="1:25" ht="60" customHeight="1" x14ac:dyDescent="0.25">
      <c r="A112"/>
      <c r="B112" t="s">
        <v>3743</v>
      </c>
      <c r="C112" t="s">
        <v>3745</v>
      </c>
      <c r="D112" t="s">
        <v>618</v>
      </c>
      <c r="E112" t="s">
        <v>1632</v>
      </c>
      <c r="F112" t="s">
        <v>1633</v>
      </c>
      <c r="G112" t="s">
        <v>1436</v>
      </c>
      <c r="H112" s="11">
        <v>8.8800000000000008</v>
      </c>
      <c r="I112" s="10">
        <f>H112*(1-IFERROR(VLOOKUP(G112,Rabat!$C$9:$D$43,2,0),0))</f>
        <v>8.8800000000000008</v>
      </c>
      <c r="J112" t="s">
        <v>1820</v>
      </c>
      <c r="K112" t="s">
        <v>92</v>
      </c>
      <c r="L112" t="s">
        <v>1813</v>
      </c>
      <c r="M112">
        <v>100</v>
      </c>
      <c r="N112">
        <v>4800</v>
      </c>
      <c r="O112" t="s">
        <v>1818</v>
      </c>
      <c r="P112" s="12" t="str">
        <f>HYPERLINK("https://b2b.kobi.pl/pl/product/9666,zarowka-led-mb-6w-e14-4000k-kobi?currency=PLN")</f>
        <v>https://b2b.kobi.pl/pl/product/9666,zarowka-led-mb-6w-e14-4000k-kobi?currency=PLN</v>
      </c>
      <c r="Q112" s="12" t="str">
        <f>HYPERLINK("https://eprel.ec.europa.eu/qr/660653")</f>
        <v>https://eprel.ec.europa.eu/qr/660653</v>
      </c>
      <c r="R112"/>
      <c r="S112" t="s">
        <v>2569</v>
      </c>
      <c r="T112">
        <v>0.01</v>
      </c>
      <c r="U112">
        <v>1.4999999999999999E-2</v>
      </c>
      <c r="V112">
        <v>2.0299999999999999E-2</v>
      </c>
      <c r="W112">
        <v>4.5999999999999996</v>
      </c>
      <c r="X112">
        <v>4.5999999999999996</v>
      </c>
      <c r="Y112">
        <v>8.1999999999999993</v>
      </c>
    </row>
    <row r="113" spans="1:25" ht="60" customHeight="1" x14ac:dyDescent="0.25">
      <c r="A113"/>
      <c r="B113" t="s">
        <v>3743</v>
      </c>
      <c r="C113" t="s">
        <v>3745</v>
      </c>
      <c r="D113" t="s">
        <v>618</v>
      </c>
      <c r="E113" t="s">
        <v>1634</v>
      </c>
      <c r="F113" t="s">
        <v>1635</v>
      </c>
      <c r="G113" t="s">
        <v>1436</v>
      </c>
      <c r="H113" s="11">
        <v>8.8800000000000008</v>
      </c>
      <c r="I113" s="10">
        <f>H113*(1-IFERROR(VLOOKUP(G113,Rabat!$C$9:$D$43,2,0),0))</f>
        <v>8.8800000000000008</v>
      </c>
      <c r="J113" t="s">
        <v>1820</v>
      </c>
      <c r="K113" t="s">
        <v>93</v>
      </c>
      <c r="L113" t="s">
        <v>1813</v>
      </c>
      <c r="M113">
        <v>100</v>
      </c>
      <c r="N113">
        <v>7200</v>
      </c>
      <c r="O113" t="s">
        <v>1818</v>
      </c>
      <c r="P113" s="12" t="str">
        <f>HYPERLINK("https://b2b.kobi.pl/pl/product/9667,zarowka-led-mb-6w-e14-6000k-kobi?currency=PLN")</f>
        <v>https://b2b.kobi.pl/pl/product/9667,zarowka-led-mb-6w-e14-6000k-kobi?currency=PLN</v>
      </c>
      <c r="Q113" s="12" t="str">
        <f>HYPERLINK("https://eprel.ec.europa.eu/qr/660654")</f>
        <v>https://eprel.ec.europa.eu/qr/660654</v>
      </c>
      <c r="R113"/>
      <c r="S113" t="s">
        <v>2569</v>
      </c>
      <c r="T113">
        <v>0.01</v>
      </c>
      <c r="U113">
        <v>1.4999999999999999E-2</v>
      </c>
      <c r="V113">
        <v>2.0299999999999999E-2</v>
      </c>
      <c r="W113">
        <v>4.5999999999999996</v>
      </c>
      <c r="X113">
        <v>4.5999999999999996</v>
      </c>
      <c r="Y113">
        <v>8.1999999999999993</v>
      </c>
    </row>
    <row r="114" spans="1:25" ht="60" customHeight="1" x14ac:dyDescent="0.25">
      <c r="A114"/>
      <c r="B114" t="s">
        <v>3743</v>
      </c>
      <c r="C114" t="s">
        <v>3745</v>
      </c>
      <c r="D114" t="s">
        <v>618</v>
      </c>
      <c r="E114" t="s">
        <v>1636</v>
      </c>
      <c r="F114" t="s">
        <v>1637</v>
      </c>
      <c r="G114" t="s">
        <v>1436</v>
      </c>
      <c r="H114" s="11">
        <v>8.8800000000000008</v>
      </c>
      <c r="I114" s="10">
        <f>H114*(1-IFERROR(VLOOKUP(G114,Rabat!$C$9:$D$43,2,0),0))</f>
        <v>8.8800000000000008</v>
      </c>
      <c r="J114" t="s">
        <v>1820</v>
      </c>
      <c r="K114" t="s">
        <v>101</v>
      </c>
      <c r="L114" t="s">
        <v>1813</v>
      </c>
      <c r="M114">
        <v>100</v>
      </c>
      <c r="N114">
        <v>4800</v>
      </c>
      <c r="O114" t="s">
        <v>1818</v>
      </c>
      <c r="P114" s="12" t="str">
        <f>HYPERLINK("https://b2b.kobi.pl/pl/product/9674,zarowka-led-mb-6w-e27-3000k-kobi?currency=PLN")</f>
        <v>https://b2b.kobi.pl/pl/product/9674,zarowka-led-mb-6w-e27-3000k-kobi?currency=PLN</v>
      </c>
      <c r="Q114" s="12" t="str">
        <f>HYPERLINK("https://eprel.ec.europa.eu/qr/660670")</f>
        <v>https://eprel.ec.europa.eu/qr/660670</v>
      </c>
      <c r="R114"/>
      <c r="S114" t="s">
        <v>2569</v>
      </c>
      <c r="T114">
        <v>0.02</v>
      </c>
      <c r="U114">
        <v>2.1000000000000001E-2</v>
      </c>
      <c r="V114">
        <v>2.8000000000000001E-2</v>
      </c>
      <c r="W114">
        <v>4.5999999999999996</v>
      </c>
      <c r="X114">
        <v>7.6</v>
      </c>
      <c r="Y114">
        <v>8.5</v>
      </c>
    </row>
    <row r="115" spans="1:25" ht="60" customHeight="1" x14ac:dyDescent="0.25">
      <c r="A115"/>
      <c r="B115" t="s">
        <v>3743</v>
      </c>
      <c r="C115" t="s">
        <v>3745</v>
      </c>
      <c r="D115" t="s">
        <v>618</v>
      </c>
      <c r="E115" t="s">
        <v>1638</v>
      </c>
      <c r="F115" t="s">
        <v>1639</v>
      </c>
      <c r="G115" t="s">
        <v>1436</v>
      </c>
      <c r="H115" s="11">
        <v>8.8800000000000008</v>
      </c>
      <c r="I115" s="10">
        <f>H115*(1-IFERROR(VLOOKUP(G115,Rabat!$C$9:$D$43,2,0),0))</f>
        <v>8.8800000000000008</v>
      </c>
      <c r="J115" t="s">
        <v>1820</v>
      </c>
      <c r="K115" t="s">
        <v>102</v>
      </c>
      <c r="L115" t="s">
        <v>1813</v>
      </c>
      <c r="M115">
        <v>100</v>
      </c>
      <c r="N115">
        <v>4800</v>
      </c>
      <c r="O115" t="s">
        <v>1818</v>
      </c>
      <c r="P115" s="12" t="str">
        <f>HYPERLINK("https://b2b.kobi.pl/pl/product/9675,zarowka-led-mb-6w-e27-4000k-kobi?currency=PLN")</f>
        <v>https://b2b.kobi.pl/pl/product/9675,zarowka-led-mb-6w-e27-4000k-kobi?currency=PLN</v>
      </c>
      <c r="Q115" s="12" t="str">
        <f>HYPERLINK("https://eprel.ec.europa.eu/qr/660671")</f>
        <v>https://eprel.ec.europa.eu/qr/660671</v>
      </c>
      <c r="R115"/>
      <c r="S115" t="s">
        <v>2569</v>
      </c>
      <c r="T115">
        <v>0.02</v>
      </c>
      <c r="U115">
        <v>2.1000000000000001E-2</v>
      </c>
      <c r="V115">
        <v>2.8000000000000001E-2</v>
      </c>
      <c r="W115">
        <v>4.5</v>
      </c>
      <c r="X115">
        <v>4.7</v>
      </c>
      <c r="Y115">
        <v>8.6</v>
      </c>
    </row>
    <row r="116" spans="1:25" ht="60" customHeight="1" x14ac:dyDescent="0.25">
      <c r="A116"/>
      <c r="B116" t="s">
        <v>3743</v>
      </c>
      <c r="C116" t="s">
        <v>3745</v>
      </c>
      <c r="D116" t="s">
        <v>618</v>
      </c>
      <c r="E116" t="s">
        <v>1640</v>
      </c>
      <c r="F116" t="s">
        <v>1641</v>
      </c>
      <c r="G116" t="s">
        <v>1436</v>
      </c>
      <c r="H116" s="11">
        <v>8.8800000000000008</v>
      </c>
      <c r="I116" s="10">
        <f>H116*(1-IFERROR(VLOOKUP(G116,Rabat!$C$9:$D$43,2,0),0))</f>
        <v>8.8800000000000008</v>
      </c>
      <c r="J116" t="s">
        <v>1820</v>
      </c>
      <c r="K116" t="s">
        <v>103</v>
      </c>
      <c r="L116" t="s">
        <v>1813</v>
      </c>
      <c r="M116">
        <v>100</v>
      </c>
      <c r="N116">
        <v>4800</v>
      </c>
      <c r="O116" t="s">
        <v>1818</v>
      </c>
      <c r="P116" s="12" t="str">
        <f>HYPERLINK("https://b2b.kobi.pl/pl/product/9676,zarowka-led-mb-6w-e27-6000k-kobi?currency=PLN")</f>
        <v>https://b2b.kobi.pl/pl/product/9676,zarowka-led-mb-6w-e27-6000k-kobi?currency=PLN</v>
      </c>
      <c r="Q116" s="12" t="str">
        <f>HYPERLINK("https://eprel.ec.europa.eu/qr/660672")</f>
        <v>https://eprel.ec.europa.eu/qr/660672</v>
      </c>
      <c r="R116"/>
      <c r="S116" t="s">
        <v>2569</v>
      </c>
      <c r="T116">
        <v>0.02</v>
      </c>
      <c r="U116">
        <v>2.1000000000000001E-2</v>
      </c>
      <c r="V116">
        <v>2.8000000000000001E-2</v>
      </c>
      <c r="W116">
        <v>4.5999999999999996</v>
      </c>
      <c r="X116">
        <v>4.7</v>
      </c>
      <c r="Y116">
        <v>8.6</v>
      </c>
    </row>
    <row r="117" spans="1:25" ht="60" customHeight="1" x14ac:dyDescent="0.25">
      <c r="A117"/>
      <c r="B117" t="s">
        <v>3743</v>
      </c>
      <c r="C117" t="s">
        <v>3745</v>
      </c>
      <c r="D117" t="s">
        <v>16</v>
      </c>
      <c r="E117" t="s">
        <v>1642</v>
      </c>
      <c r="F117" t="s">
        <v>1643</v>
      </c>
      <c r="G117" t="s">
        <v>1436</v>
      </c>
      <c r="H117" s="11">
        <v>5.71</v>
      </c>
      <c r="I117" s="10">
        <f>H117*(1-IFERROR(VLOOKUP(G117,Rabat!$C$9:$D$43,2,0),0))</f>
        <v>5.71</v>
      </c>
      <c r="J117" t="s">
        <v>1816</v>
      </c>
      <c r="K117" t="s">
        <v>94</v>
      </c>
      <c r="L117" t="s">
        <v>1813</v>
      </c>
      <c r="M117">
        <v>100</v>
      </c>
      <c r="N117">
        <v>5600</v>
      </c>
      <c r="O117" t="s">
        <v>1818</v>
      </c>
      <c r="P117" s="12" t="str">
        <f>HYPERLINK("https://b2b.kobi.pl/pl/product/9618,zarowka-led-mb-7w-e14-3000k-led2b?currency=PLN")</f>
        <v>https://b2b.kobi.pl/pl/product/9618,zarowka-led-mb-7w-e14-3000k-led2b?currency=PLN</v>
      </c>
      <c r="Q117" s="12" t="str">
        <f>HYPERLINK("https://eprel.ec.europa.eu/qr/660300")</f>
        <v>https://eprel.ec.europa.eu/qr/660300</v>
      </c>
      <c r="R117" t="s">
        <v>1945</v>
      </c>
      <c r="S117" t="s">
        <v>2569</v>
      </c>
      <c r="T117">
        <v>0.01</v>
      </c>
      <c r="U117">
        <v>1.4999999999999999E-2</v>
      </c>
      <c r="V117">
        <v>2.5000000000000001E-2</v>
      </c>
      <c r="W117">
        <v>5</v>
      </c>
      <c r="X117">
        <v>6.5</v>
      </c>
      <c r="Y117">
        <v>4.5</v>
      </c>
    </row>
    <row r="118" spans="1:25" ht="60" customHeight="1" x14ac:dyDescent="0.25">
      <c r="A118"/>
      <c r="B118" t="s">
        <v>3743</v>
      </c>
      <c r="C118" t="s">
        <v>3745</v>
      </c>
      <c r="D118" t="s">
        <v>16</v>
      </c>
      <c r="E118" t="s">
        <v>1644</v>
      </c>
      <c r="F118" t="s">
        <v>1645</v>
      </c>
      <c r="G118" t="s">
        <v>1436</v>
      </c>
      <c r="H118" s="11">
        <v>5.71</v>
      </c>
      <c r="I118" s="10">
        <f>H118*(1-IFERROR(VLOOKUP(G118,Rabat!$C$9:$D$43,2,0),0))</f>
        <v>5.71</v>
      </c>
      <c r="J118" t="s">
        <v>1816</v>
      </c>
      <c r="K118" t="s">
        <v>104</v>
      </c>
      <c r="L118" t="s">
        <v>1813</v>
      </c>
      <c r="M118">
        <v>100</v>
      </c>
      <c r="N118">
        <v>5600</v>
      </c>
      <c r="O118" t="s">
        <v>1818</v>
      </c>
      <c r="P118" s="12" t="str">
        <f>HYPERLINK("https://b2b.kobi.pl/pl/product/9626,zarowka-led-mb-7w-e27-3000k-led2b?currency=PLN")</f>
        <v>https://b2b.kobi.pl/pl/product/9626,zarowka-led-mb-7w-e27-3000k-led2b?currency=PLN</v>
      </c>
      <c r="Q118" s="12" t="str">
        <f>HYPERLINK("https://eprel.ec.europa.eu/qr/660306")</f>
        <v>https://eprel.ec.europa.eu/qr/660306</v>
      </c>
      <c r="R118" t="s">
        <v>1945</v>
      </c>
      <c r="S118" t="s">
        <v>2569</v>
      </c>
      <c r="T118">
        <v>0.01</v>
      </c>
      <c r="U118">
        <v>1.6E-2</v>
      </c>
      <c r="V118">
        <v>2.5999999999999999E-2</v>
      </c>
      <c r="W118">
        <v>4.5</v>
      </c>
      <c r="X118">
        <v>6.5</v>
      </c>
      <c r="Y118">
        <v>4.5</v>
      </c>
    </row>
    <row r="119" spans="1:25" ht="60" customHeight="1" x14ac:dyDescent="0.25">
      <c r="A119"/>
      <c r="B119" t="s">
        <v>3743</v>
      </c>
      <c r="C119" t="s">
        <v>3745</v>
      </c>
      <c r="D119" t="s">
        <v>16</v>
      </c>
      <c r="E119" t="s">
        <v>1646</v>
      </c>
      <c r="F119" t="s">
        <v>1647</v>
      </c>
      <c r="G119" t="s">
        <v>1436</v>
      </c>
      <c r="H119" s="11">
        <v>8.02</v>
      </c>
      <c r="I119" s="10">
        <f>H119*(1-IFERROR(VLOOKUP(G119,Rabat!$C$9:$D$43,2,0),0))</f>
        <v>8.02</v>
      </c>
      <c r="J119" t="s">
        <v>1816</v>
      </c>
      <c r="K119" t="s">
        <v>470</v>
      </c>
      <c r="L119" t="s">
        <v>1813</v>
      </c>
      <c r="M119">
        <v>100</v>
      </c>
      <c r="N119">
        <v>4800</v>
      </c>
      <c r="O119" t="s">
        <v>1818</v>
      </c>
      <c r="P119" s="12" t="str">
        <f>HYPERLINK("https://b2b.kobi.pl/pl/product/9621,zarowka-led-mb-8-5w-e14-3000k-led2b?currency=PLN")</f>
        <v>https://b2b.kobi.pl/pl/product/9621,zarowka-led-mb-8-5w-e14-3000k-led2b?currency=PLN</v>
      </c>
      <c r="Q119" s="12" t="str">
        <f>HYPERLINK("https://eprel.ec.europa.eu/qr/2044404")</f>
        <v>https://eprel.ec.europa.eu/qr/2044404</v>
      </c>
      <c r="R119"/>
      <c r="S119" t="s">
        <v>2569</v>
      </c>
      <c r="T119">
        <v>0.02</v>
      </c>
      <c r="U119">
        <v>0.02</v>
      </c>
      <c r="V119">
        <v>2.4500000000000001E-2</v>
      </c>
      <c r="W119">
        <v>4.5999999999999996</v>
      </c>
      <c r="X119">
        <v>4.5999999999999996</v>
      </c>
      <c r="Y119">
        <v>9.1999999999999993</v>
      </c>
    </row>
    <row r="120" spans="1:25" ht="60" customHeight="1" x14ac:dyDescent="0.25">
      <c r="A120"/>
      <c r="B120" t="s">
        <v>3743</v>
      </c>
      <c r="C120" t="s">
        <v>3745</v>
      </c>
      <c r="D120" t="s">
        <v>16</v>
      </c>
      <c r="E120" t="s">
        <v>1648</v>
      </c>
      <c r="F120" t="s">
        <v>1649</v>
      </c>
      <c r="G120" t="s">
        <v>1436</v>
      </c>
      <c r="H120" s="11">
        <v>8.02</v>
      </c>
      <c r="I120" s="10">
        <f>H120*(1-IFERROR(VLOOKUP(G120,Rabat!$C$9:$D$43,2,0),0))</f>
        <v>8.02</v>
      </c>
      <c r="J120" t="s">
        <v>1816</v>
      </c>
      <c r="K120" t="s">
        <v>471</v>
      </c>
      <c r="L120" t="s">
        <v>1813</v>
      </c>
      <c r="M120">
        <v>100</v>
      </c>
      <c r="N120">
        <v>5600</v>
      </c>
      <c r="O120" t="s">
        <v>1818</v>
      </c>
      <c r="P120" s="12" t="str">
        <f>HYPERLINK("https://b2b.kobi.pl/pl/product/9622,zarowka-led-mb-8-5w-e14-4000k-led2b?currency=PLN")</f>
        <v>https://b2b.kobi.pl/pl/product/9622,zarowka-led-mb-8-5w-e14-4000k-led2b?currency=PLN</v>
      </c>
      <c r="Q120" s="12" t="str">
        <f>HYPERLINK("https://eprel.ec.europa.eu/qr/2044417")</f>
        <v>https://eprel.ec.europa.eu/qr/2044417</v>
      </c>
      <c r="R120"/>
      <c r="S120" t="s">
        <v>2569</v>
      </c>
      <c r="T120">
        <v>0.02</v>
      </c>
      <c r="U120">
        <v>0.02</v>
      </c>
      <c r="V120">
        <v>2.4500000000000001E-2</v>
      </c>
      <c r="W120">
        <v>4.5999999999999996</v>
      </c>
      <c r="X120">
        <v>4.5999999999999996</v>
      </c>
      <c r="Y120">
        <v>9.1999999999999993</v>
      </c>
    </row>
    <row r="121" spans="1:25" ht="60" customHeight="1" x14ac:dyDescent="0.25">
      <c r="A121"/>
      <c r="B121" t="s">
        <v>3743</v>
      </c>
      <c r="C121" t="s">
        <v>3745</v>
      </c>
      <c r="D121" t="s">
        <v>16</v>
      </c>
      <c r="E121" t="s">
        <v>1650</v>
      </c>
      <c r="F121" t="s">
        <v>1651</v>
      </c>
      <c r="G121" t="s">
        <v>1436</v>
      </c>
      <c r="H121" s="11">
        <v>8.02</v>
      </c>
      <c r="I121" s="10">
        <f>H121*(1-IFERROR(VLOOKUP(G121,Rabat!$C$9:$D$43,2,0),0))</f>
        <v>8.02</v>
      </c>
      <c r="J121" t="s">
        <v>1816</v>
      </c>
      <c r="K121" t="s">
        <v>472</v>
      </c>
      <c r="L121" t="s">
        <v>1813</v>
      </c>
      <c r="M121">
        <v>100</v>
      </c>
      <c r="N121">
        <v>5600</v>
      </c>
      <c r="O121" t="s">
        <v>1818</v>
      </c>
      <c r="P121" s="12" t="str">
        <f>HYPERLINK("https://b2b.kobi.pl/pl/product/9623,zarowka-led-mb-8-5w-e14-6500k-led2b?currency=PLN")</f>
        <v>https://b2b.kobi.pl/pl/product/9623,zarowka-led-mb-8-5w-e14-6500k-led2b?currency=PLN</v>
      </c>
      <c r="Q121" s="12" t="str">
        <f>HYPERLINK("https://eprel.ec.europa.eu/qr/2044430")</f>
        <v>https://eprel.ec.europa.eu/qr/2044430</v>
      </c>
      <c r="R121"/>
      <c r="S121" t="s">
        <v>2569</v>
      </c>
      <c r="T121">
        <v>0.02</v>
      </c>
      <c r="U121">
        <v>0.02</v>
      </c>
      <c r="V121">
        <v>2.4500000000000001E-2</v>
      </c>
      <c r="W121">
        <v>4.5999999999999996</v>
      </c>
      <c r="X121">
        <v>4.5999999999999996</v>
      </c>
      <c r="Y121">
        <v>9.1999999999999993</v>
      </c>
    </row>
    <row r="122" spans="1:25" ht="60" customHeight="1" x14ac:dyDescent="0.25">
      <c r="A122"/>
      <c r="B122" t="s">
        <v>3743</v>
      </c>
      <c r="C122" t="s">
        <v>3745</v>
      </c>
      <c r="D122" t="s">
        <v>16</v>
      </c>
      <c r="E122" t="s">
        <v>1652</v>
      </c>
      <c r="F122" t="s">
        <v>1653</v>
      </c>
      <c r="G122" t="s">
        <v>1436</v>
      </c>
      <c r="H122" s="11">
        <v>8.02</v>
      </c>
      <c r="I122" s="10">
        <f>H122*(1-IFERROR(VLOOKUP(G122,Rabat!$C$9:$D$43,2,0),0))</f>
        <v>8.02</v>
      </c>
      <c r="J122" t="s">
        <v>1816</v>
      </c>
      <c r="K122" t="s">
        <v>473</v>
      </c>
      <c r="L122" t="s">
        <v>1813</v>
      </c>
      <c r="M122">
        <v>100</v>
      </c>
      <c r="N122">
        <v>4800</v>
      </c>
      <c r="O122" t="s">
        <v>1818</v>
      </c>
      <c r="P122" s="12" t="str">
        <f>HYPERLINK("https://b2b.kobi.pl/pl/product/9629,zarowka-led-mb-8-5w-e27-3000k-led2b?currency=PLN")</f>
        <v>https://b2b.kobi.pl/pl/product/9629,zarowka-led-mb-8-5w-e27-3000k-led2b?currency=PLN</v>
      </c>
      <c r="Q122" s="12" t="str">
        <f>HYPERLINK("https://eprel.ec.europa.eu/qr/2044481")</f>
        <v>https://eprel.ec.europa.eu/qr/2044481</v>
      </c>
      <c r="R122"/>
      <c r="S122" t="s">
        <v>2569</v>
      </c>
      <c r="T122">
        <v>0.02</v>
      </c>
      <c r="U122">
        <v>0.02</v>
      </c>
      <c r="V122">
        <v>2.5999999999999999E-2</v>
      </c>
      <c r="W122">
        <v>4.5999999999999996</v>
      </c>
      <c r="X122">
        <v>4.5999999999999996</v>
      </c>
      <c r="Y122">
        <v>9.1999999999999993</v>
      </c>
    </row>
    <row r="123" spans="1:25" ht="60" customHeight="1" x14ac:dyDescent="0.25">
      <c r="A123"/>
      <c r="B123" t="s">
        <v>3743</v>
      </c>
      <c r="C123" t="s">
        <v>3745</v>
      </c>
      <c r="D123" t="s">
        <v>16</v>
      </c>
      <c r="E123" t="s">
        <v>1654</v>
      </c>
      <c r="F123" t="s">
        <v>1655</v>
      </c>
      <c r="G123" t="s">
        <v>1436</v>
      </c>
      <c r="H123" s="11">
        <v>8.02</v>
      </c>
      <c r="I123" s="10">
        <f>H123*(1-IFERROR(VLOOKUP(G123,Rabat!$C$9:$D$43,2,0),0))</f>
        <v>8.02</v>
      </c>
      <c r="J123" t="s">
        <v>1816</v>
      </c>
      <c r="K123" t="s">
        <v>474</v>
      </c>
      <c r="L123" t="s">
        <v>1813</v>
      </c>
      <c r="M123">
        <v>100</v>
      </c>
      <c r="N123">
        <v>5600</v>
      </c>
      <c r="O123" t="s">
        <v>1818</v>
      </c>
      <c r="P123" s="12" t="str">
        <f>HYPERLINK("https://b2b.kobi.pl/pl/product/9630,zarowka-led-mb-8-5w-e27-4000k-led2b?currency=PLN")</f>
        <v>https://b2b.kobi.pl/pl/product/9630,zarowka-led-mb-8-5w-e27-4000k-led2b?currency=PLN</v>
      </c>
      <c r="Q123" s="12" t="str">
        <f>HYPERLINK("https://eprel.ec.europa.eu/qr/2044536")</f>
        <v>https://eprel.ec.europa.eu/qr/2044536</v>
      </c>
      <c r="R123"/>
      <c r="S123" t="s">
        <v>2569</v>
      </c>
      <c r="T123">
        <v>0.02</v>
      </c>
      <c r="U123">
        <v>0.02</v>
      </c>
      <c r="V123">
        <v>2.5999999999999999E-2</v>
      </c>
      <c r="W123">
        <v>4.5999999999999996</v>
      </c>
      <c r="X123">
        <v>4.5999999999999996</v>
      </c>
      <c r="Y123">
        <v>9.1999999999999993</v>
      </c>
    </row>
    <row r="124" spans="1:25" ht="60" customHeight="1" x14ac:dyDescent="0.25">
      <c r="A124"/>
      <c r="B124" t="s">
        <v>3743</v>
      </c>
      <c r="C124" t="s">
        <v>3745</v>
      </c>
      <c r="D124" t="s">
        <v>16</v>
      </c>
      <c r="E124" t="s">
        <v>1656</v>
      </c>
      <c r="F124" t="s">
        <v>1657</v>
      </c>
      <c r="G124" t="s">
        <v>1436</v>
      </c>
      <c r="H124" s="11">
        <v>8.02</v>
      </c>
      <c r="I124" s="10">
        <f>H124*(1-IFERROR(VLOOKUP(G124,Rabat!$C$9:$D$43,2,0),0))</f>
        <v>8.02</v>
      </c>
      <c r="J124" t="s">
        <v>1816</v>
      </c>
      <c r="K124" t="s">
        <v>475</v>
      </c>
      <c r="L124" t="s">
        <v>1813</v>
      </c>
      <c r="M124">
        <v>100</v>
      </c>
      <c r="N124">
        <v>5600</v>
      </c>
      <c r="O124" t="s">
        <v>1818</v>
      </c>
      <c r="P124" s="12" t="str">
        <f>HYPERLINK("https://b2b.kobi.pl/pl/product/9631,zarowka-led-mb-8-5w-e27-6500k-led2b?currency=PLN")</f>
        <v>https://b2b.kobi.pl/pl/product/9631,zarowka-led-mb-8-5w-e27-6500k-led2b?currency=PLN</v>
      </c>
      <c r="Q124" s="12" t="str">
        <f>HYPERLINK("https://eprel.ec.europa.eu/qr/2044546")</f>
        <v>https://eprel.ec.europa.eu/qr/2044546</v>
      </c>
      <c r="R124"/>
      <c r="S124" t="s">
        <v>2569</v>
      </c>
      <c r="T124">
        <v>0.02</v>
      </c>
      <c r="U124">
        <v>0.02</v>
      </c>
      <c r="V124">
        <v>2.5999999999999999E-2</v>
      </c>
      <c r="W124">
        <v>4.5999999999999996</v>
      </c>
      <c r="X124">
        <v>4.5999999999999996</v>
      </c>
      <c r="Y124">
        <v>9.1999999999999993</v>
      </c>
    </row>
    <row r="125" spans="1:25" ht="60" customHeight="1" x14ac:dyDescent="0.25">
      <c r="A125"/>
      <c r="B125" t="s">
        <v>3743</v>
      </c>
      <c r="C125" t="s">
        <v>3745</v>
      </c>
      <c r="D125" t="s">
        <v>606</v>
      </c>
      <c r="E125" t="s">
        <v>1658</v>
      </c>
      <c r="F125" t="s">
        <v>1659</v>
      </c>
      <c r="G125" t="s">
        <v>1436</v>
      </c>
      <c r="H125" s="11">
        <v>18.809999999999999</v>
      </c>
      <c r="I125" s="10">
        <f>H125*(1-IFERROR(VLOOKUP(G125,Rabat!$C$9:$D$43,2,0),0))</f>
        <v>18.809999999999999</v>
      </c>
      <c r="J125" t="s">
        <v>1812</v>
      </c>
      <c r="K125" t="s">
        <v>95</v>
      </c>
      <c r="L125" t="s">
        <v>1813</v>
      </c>
      <c r="M125">
        <v>100</v>
      </c>
      <c r="N125">
        <v>4200</v>
      </c>
      <c r="O125" t="s">
        <v>1818</v>
      </c>
      <c r="P125" s="12" t="str">
        <f>HYPERLINK("https://b2b.kobi.pl/pl/product/9668,zarowka-led-mb-9w-e14-3000k-kobi-premium?currency=PLN")</f>
        <v>https://b2b.kobi.pl/pl/product/9668,zarowka-led-mb-9w-e14-3000k-kobi-premium?currency=PLN</v>
      </c>
      <c r="Q125" s="12" t="str">
        <f>HYPERLINK("https://eprel.ec.europa.eu/qr/660660")</f>
        <v>https://eprel.ec.europa.eu/qr/660660</v>
      </c>
      <c r="R125"/>
      <c r="S125" t="s">
        <v>2569</v>
      </c>
      <c r="T125">
        <v>0.04</v>
      </c>
      <c r="U125">
        <v>4.3999999999999997E-2</v>
      </c>
      <c r="V125">
        <v>6.5000000000000002E-2</v>
      </c>
      <c r="W125">
        <v>5</v>
      </c>
      <c r="X125">
        <v>5</v>
      </c>
      <c r="Y125">
        <v>10.5</v>
      </c>
    </row>
    <row r="126" spans="1:25" ht="60" customHeight="1" x14ac:dyDescent="0.25">
      <c r="A126"/>
      <c r="B126" t="s">
        <v>3743</v>
      </c>
      <c r="C126" t="s">
        <v>3745</v>
      </c>
      <c r="D126" t="s">
        <v>606</v>
      </c>
      <c r="E126" t="s">
        <v>1660</v>
      </c>
      <c r="F126" t="s">
        <v>1661</v>
      </c>
      <c r="G126" t="s">
        <v>1436</v>
      </c>
      <c r="H126" s="11">
        <v>18.809999999999999</v>
      </c>
      <c r="I126" s="10">
        <f>H126*(1-IFERROR(VLOOKUP(G126,Rabat!$C$9:$D$43,2,0),0))</f>
        <v>18.809999999999999</v>
      </c>
      <c r="J126" t="s">
        <v>1812</v>
      </c>
      <c r="K126" t="s">
        <v>96</v>
      </c>
      <c r="L126" t="s">
        <v>1813</v>
      </c>
      <c r="M126">
        <v>100</v>
      </c>
      <c r="N126">
        <v>4200</v>
      </c>
      <c r="O126" t="s">
        <v>1818</v>
      </c>
      <c r="P126" s="12" t="str">
        <f>HYPERLINK("https://b2b.kobi.pl/pl/product/9669,zarowka-led-mb-9w-e14-4000k-kobi-premium?currency=PLN")</f>
        <v>https://b2b.kobi.pl/pl/product/9669,zarowka-led-mb-9w-e14-4000k-kobi-premium?currency=PLN</v>
      </c>
      <c r="Q126" s="12" t="str">
        <f>HYPERLINK("https://eprel.ec.europa.eu/qr/660661")</f>
        <v>https://eprel.ec.europa.eu/qr/660661</v>
      </c>
      <c r="R126"/>
      <c r="S126" t="s">
        <v>2569</v>
      </c>
      <c r="T126">
        <v>0.04</v>
      </c>
      <c r="U126">
        <v>4.3999999999999997E-2</v>
      </c>
      <c r="V126">
        <v>6.5000000000000002E-2</v>
      </c>
      <c r="W126">
        <v>5</v>
      </c>
      <c r="X126">
        <v>5</v>
      </c>
      <c r="Y126">
        <v>10.5</v>
      </c>
    </row>
    <row r="127" spans="1:25" ht="60" customHeight="1" x14ac:dyDescent="0.25">
      <c r="A127"/>
      <c r="B127" t="s">
        <v>3743</v>
      </c>
      <c r="C127" t="s">
        <v>3745</v>
      </c>
      <c r="D127" t="s">
        <v>606</v>
      </c>
      <c r="E127" t="s">
        <v>1662</v>
      </c>
      <c r="F127" t="s">
        <v>1663</v>
      </c>
      <c r="G127" t="s">
        <v>1436</v>
      </c>
      <c r="H127" s="11">
        <v>18.809999999999999</v>
      </c>
      <c r="I127" s="10">
        <f>H127*(1-IFERROR(VLOOKUP(G127,Rabat!$C$9:$D$43,2,0),0))</f>
        <v>18.809999999999999</v>
      </c>
      <c r="J127" t="s">
        <v>1812</v>
      </c>
      <c r="K127" t="s">
        <v>97</v>
      </c>
      <c r="L127" t="s">
        <v>1813</v>
      </c>
      <c r="M127">
        <v>100</v>
      </c>
      <c r="N127">
        <v>4200</v>
      </c>
      <c r="O127" t="s">
        <v>1818</v>
      </c>
      <c r="P127" s="12" t="str">
        <f>HYPERLINK("https://b2b.kobi.pl/pl/product/9670,zarowka-led-mb-9w-e14-6000k-kobi-premium?currency=PLN")</f>
        <v>https://b2b.kobi.pl/pl/product/9670,zarowka-led-mb-9w-e14-6000k-kobi-premium?currency=PLN</v>
      </c>
      <c r="Q127" s="12" t="str">
        <f>HYPERLINK("https://eprel.ec.europa.eu/qr/660663")</f>
        <v>https://eprel.ec.europa.eu/qr/660663</v>
      </c>
      <c r="R127"/>
      <c r="S127" t="s">
        <v>2569</v>
      </c>
      <c r="T127">
        <v>0.04</v>
      </c>
      <c r="U127">
        <v>4.3999999999999997E-2</v>
      </c>
      <c r="V127">
        <v>6.5000000000000002E-2</v>
      </c>
      <c r="W127">
        <v>5</v>
      </c>
      <c r="X127">
        <v>12.5</v>
      </c>
      <c r="Y127">
        <v>4.5</v>
      </c>
    </row>
    <row r="128" spans="1:25" ht="60" customHeight="1" x14ac:dyDescent="0.25">
      <c r="A128"/>
      <c r="B128" t="s">
        <v>3743</v>
      </c>
      <c r="C128" t="s">
        <v>3745</v>
      </c>
      <c r="D128" t="s">
        <v>606</v>
      </c>
      <c r="E128" t="s">
        <v>1664</v>
      </c>
      <c r="F128" t="s">
        <v>1665</v>
      </c>
      <c r="G128" t="s">
        <v>1436</v>
      </c>
      <c r="H128" s="11">
        <v>18.809999999999999</v>
      </c>
      <c r="I128" s="10">
        <f>H128*(1-IFERROR(VLOOKUP(G128,Rabat!$C$9:$D$43,2,0),0))</f>
        <v>18.809999999999999</v>
      </c>
      <c r="J128" t="s">
        <v>1816</v>
      </c>
      <c r="K128" t="s">
        <v>105</v>
      </c>
      <c r="L128" t="s">
        <v>1813</v>
      </c>
      <c r="M128">
        <v>100</v>
      </c>
      <c r="N128">
        <v>4200</v>
      </c>
      <c r="O128" t="s">
        <v>1818</v>
      </c>
      <c r="P128" s="12" t="str">
        <f>HYPERLINK("https://b2b.kobi.pl/pl/product/9677,zarowka-led-mb-9w-e27-3000k-kobi-premium?currency=PLN")</f>
        <v>https://b2b.kobi.pl/pl/product/9677,zarowka-led-mb-9w-e27-3000k-kobi-premium?currency=PLN</v>
      </c>
      <c r="Q128" s="12" t="str">
        <f>HYPERLINK("https://eprel.ec.europa.eu/qr/660675")</f>
        <v>https://eprel.ec.europa.eu/qr/660675</v>
      </c>
      <c r="R128"/>
      <c r="S128" t="s">
        <v>2569</v>
      </c>
      <c r="T128">
        <v>0.05</v>
      </c>
      <c r="U128">
        <v>5.5E-2</v>
      </c>
      <c r="V128">
        <v>7.1999999999999995E-2</v>
      </c>
      <c r="W128">
        <v>5</v>
      </c>
      <c r="X128">
        <v>5</v>
      </c>
      <c r="Y128">
        <v>10.6</v>
      </c>
    </row>
    <row r="129" spans="1:25" ht="60" customHeight="1" x14ac:dyDescent="0.25">
      <c r="A129"/>
      <c r="B129" t="s">
        <v>3743</v>
      </c>
      <c r="C129" t="s">
        <v>3745</v>
      </c>
      <c r="D129" t="s">
        <v>606</v>
      </c>
      <c r="E129" t="s">
        <v>1666</v>
      </c>
      <c r="F129" t="s">
        <v>1667</v>
      </c>
      <c r="G129" t="s">
        <v>1436</v>
      </c>
      <c r="H129" s="11">
        <v>18.809999999999999</v>
      </c>
      <c r="I129" s="10">
        <f>H129*(1-IFERROR(VLOOKUP(G129,Rabat!$C$9:$D$43,2,0),0))</f>
        <v>18.809999999999999</v>
      </c>
      <c r="J129" t="s">
        <v>1816</v>
      </c>
      <c r="K129" t="s">
        <v>106</v>
      </c>
      <c r="L129" t="s">
        <v>1813</v>
      </c>
      <c r="M129">
        <v>100</v>
      </c>
      <c r="N129">
        <v>4200</v>
      </c>
      <c r="O129" t="s">
        <v>1818</v>
      </c>
      <c r="P129" s="12" t="str">
        <f>HYPERLINK("https://b2b.kobi.pl/pl/product/9678,zarowka-led-mb-9w-e27-4000k-kobi-premium?currency=PLN")</f>
        <v>https://b2b.kobi.pl/pl/product/9678,zarowka-led-mb-9w-e27-4000k-kobi-premium?currency=PLN</v>
      </c>
      <c r="Q129" s="12" t="str">
        <f>HYPERLINK("https://eprel.ec.europa.eu/qr/660677")</f>
        <v>https://eprel.ec.europa.eu/qr/660677</v>
      </c>
      <c r="R129"/>
      <c r="S129" t="s">
        <v>2569</v>
      </c>
      <c r="T129">
        <v>0.05</v>
      </c>
      <c r="U129">
        <v>5.5E-2</v>
      </c>
      <c r="V129">
        <v>7.1999999999999995E-2</v>
      </c>
      <c r="W129">
        <v>5</v>
      </c>
      <c r="X129">
        <v>5</v>
      </c>
      <c r="Y129">
        <v>10.6</v>
      </c>
    </row>
    <row r="130" spans="1:25" ht="60" customHeight="1" x14ac:dyDescent="0.25">
      <c r="A130"/>
      <c r="B130" t="s">
        <v>3743</v>
      </c>
      <c r="C130" t="s">
        <v>3745</v>
      </c>
      <c r="D130" t="s">
        <v>606</v>
      </c>
      <c r="E130" t="s">
        <v>1668</v>
      </c>
      <c r="F130" t="s">
        <v>1669</v>
      </c>
      <c r="G130" t="s">
        <v>1436</v>
      </c>
      <c r="H130" s="11">
        <v>18.809999999999999</v>
      </c>
      <c r="I130" s="10">
        <f>H130*(1-IFERROR(VLOOKUP(G130,Rabat!$C$9:$D$43,2,0),0))</f>
        <v>18.809999999999999</v>
      </c>
      <c r="J130" t="s">
        <v>1816</v>
      </c>
      <c r="K130" t="s">
        <v>107</v>
      </c>
      <c r="L130" t="s">
        <v>1813</v>
      </c>
      <c r="M130">
        <v>100</v>
      </c>
      <c r="N130">
        <v>4200</v>
      </c>
      <c r="O130" t="s">
        <v>1818</v>
      </c>
      <c r="P130" s="12" t="str">
        <f>HYPERLINK("https://b2b.kobi.pl/pl/product/9679,zarowka-led-mb-9w-e27-6000k-kobi-premium?currency=PLN")</f>
        <v>https://b2b.kobi.pl/pl/product/9679,zarowka-led-mb-9w-e27-6000k-kobi-premium?currency=PLN</v>
      </c>
      <c r="Q130" s="12" t="str">
        <f>HYPERLINK("https://eprel.ec.europa.eu/qr/660678")</f>
        <v>https://eprel.ec.europa.eu/qr/660678</v>
      </c>
      <c r="R130"/>
      <c r="S130" t="s">
        <v>2569</v>
      </c>
      <c r="T130">
        <v>0.05</v>
      </c>
      <c r="U130">
        <v>5.5E-2</v>
      </c>
      <c r="V130">
        <v>7.1999999999999995E-2</v>
      </c>
      <c r="W130">
        <v>5</v>
      </c>
      <c r="X130">
        <v>12.5</v>
      </c>
      <c r="Y130">
        <v>4.5</v>
      </c>
    </row>
    <row r="131" spans="1:25" ht="60" customHeight="1" x14ac:dyDescent="0.25">
      <c r="A131"/>
      <c r="B131" t="s">
        <v>3743</v>
      </c>
      <c r="C131" t="s">
        <v>3745</v>
      </c>
      <c r="D131" t="s">
        <v>618</v>
      </c>
      <c r="E131" t="s">
        <v>1686</v>
      </c>
      <c r="F131" t="s">
        <v>1687</v>
      </c>
      <c r="G131" t="s">
        <v>1436</v>
      </c>
      <c r="H131" s="11">
        <v>5.33</v>
      </c>
      <c r="I131" s="10">
        <f>H131*(1-IFERROR(VLOOKUP(G131,Rabat!$C$9:$D$43,2,0),0))</f>
        <v>5.33</v>
      </c>
      <c r="J131" t="s">
        <v>1816</v>
      </c>
      <c r="K131" t="s">
        <v>115</v>
      </c>
      <c r="L131" t="s">
        <v>1813</v>
      </c>
      <c r="M131">
        <v>100</v>
      </c>
      <c r="N131">
        <v>3000</v>
      </c>
      <c r="O131" t="s">
        <v>1818</v>
      </c>
      <c r="P131" s="12" t="str">
        <f>HYPERLINK("https://b2b.kobi.pl/pl/product/9697,zarowka-led-sw-1-5w-e14-6000k-kobi?currency=PLN")</f>
        <v>https://b2b.kobi.pl/pl/product/9697,zarowka-led-sw-1-5w-e14-6000k-kobi?currency=PLN</v>
      </c>
      <c r="Q131" s="12" t="str">
        <f>HYPERLINK("https://eprel.ec.europa.eu/qr/660756")</f>
        <v>https://eprel.ec.europa.eu/qr/660756</v>
      </c>
      <c r="R131" t="s">
        <v>1945</v>
      </c>
      <c r="S131" t="s">
        <v>2569</v>
      </c>
      <c r="T131">
        <v>0.01</v>
      </c>
      <c r="U131">
        <v>1.4999999999999999E-2</v>
      </c>
      <c r="V131">
        <v>2.5000000000000001E-2</v>
      </c>
      <c r="W131">
        <v>4</v>
      </c>
      <c r="X131">
        <v>10</v>
      </c>
      <c r="Y131">
        <v>3.5</v>
      </c>
    </row>
    <row r="132" spans="1:25" ht="60" customHeight="1" x14ac:dyDescent="0.25">
      <c r="A132"/>
      <c r="B132" t="s">
        <v>3743</v>
      </c>
      <c r="C132" t="s">
        <v>3745</v>
      </c>
      <c r="D132" t="s">
        <v>618</v>
      </c>
      <c r="E132" t="s">
        <v>1688</v>
      </c>
      <c r="F132" t="s">
        <v>1689</v>
      </c>
      <c r="G132" t="s">
        <v>1436</v>
      </c>
      <c r="H132" s="11">
        <v>6.36</v>
      </c>
      <c r="I132" s="10">
        <f>H132*(1-IFERROR(VLOOKUP(G132,Rabat!$C$9:$D$43,2,0),0))</f>
        <v>6.36</v>
      </c>
      <c r="J132" t="s">
        <v>1820</v>
      </c>
      <c r="K132" t="s">
        <v>116</v>
      </c>
      <c r="L132" t="s">
        <v>1813</v>
      </c>
      <c r="M132">
        <v>100</v>
      </c>
      <c r="N132">
        <v>6000</v>
      </c>
      <c r="O132" t="s">
        <v>1818</v>
      </c>
      <c r="P132" s="12" t="str">
        <f>HYPERLINK("https://b2b.kobi.pl/pl/product/9698,zarowka-led-sw-3w-e14-3000k-kobi?currency=PLN")</f>
        <v>https://b2b.kobi.pl/pl/product/9698,zarowka-led-sw-3w-e14-3000k-kobi?currency=PLN</v>
      </c>
      <c r="Q132" s="12" t="str">
        <f>HYPERLINK("https://eprel.ec.europa.eu/qr/660758")</f>
        <v>https://eprel.ec.europa.eu/qr/660758</v>
      </c>
      <c r="R132"/>
      <c r="S132" t="s">
        <v>2569</v>
      </c>
      <c r="T132">
        <v>0.01</v>
      </c>
      <c r="U132">
        <v>1.7000000000000001E-2</v>
      </c>
      <c r="V132">
        <v>2.5999999999999999E-2</v>
      </c>
      <c r="W132">
        <v>4</v>
      </c>
      <c r="X132">
        <v>4</v>
      </c>
      <c r="Y132">
        <v>10</v>
      </c>
    </row>
    <row r="133" spans="1:25" ht="60" customHeight="1" x14ac:dyDescent="0.25">
      <c r="A133"/>
      <c r="B133" t="s">
        <v>3743</v>
      </c>
      <c r="C133" t="s">
        <v>3745</v>
      </c>
      <c r="D133" t="s">
        <v>606</v>
      </c>
      <c r="E133" t="s">
        <v>3218</v>
      </c>
      <c r="F133" t="s">
        <v>3219</v>
      </c>
      <c r="G133" t="s">
        <v>1436</v>
      </c>
      <c r="H133" s="11">
        <v>21.43</v>
      </c>
      <c r="I133" s="10">
        <f>H133*(1-IFERROR(VLOOKUP(G133,Rabat!$C$9:$D$43,2,0),0))</f>
        <v>21.43</v>
      </c>
      <c r="J133" t="s">
        <v>1817</v>
      </c>
      <c r="K133" t="s">
        <v>3249</v>
      </c>
      <c r="L133" t="s">
        <v>1813</v>
      </c>
      <c r="M133">
        <v>100</v>
      </c>
      <c r="N133">
        <v>3600</v>
      </c>
      <c r="O133" t="s">
        <v>1818</v>
      </c>
      <c r="P133" s="12" t="str">
        <f>HYPERLINK("https://b2b.kobi.pl/pl/product/12902,zarowka-led-mb-8-5w-e14-3000k-kobi-premium?currency=PLN")</f>
        <v>https://b2b.kobi.pl/pl/product/12902,zarowka-led-mb-8-5w-e14-3000k-kobi-premium?currency=PLN</v>
      </c>
      <c r="Q133" s="12" t="str">
        <f>HYPERLINK("https://eprel.ec.europa.eu/qr/2420073")</f>
        <v>https://eprel.ec.europa.eu/qr/2420073</v>
      </c>
      <c r="R133"/>
      <c r="S133" t="s">
        <v>2569</v>
      </c>
      <c r="T133">
        <v>0.04</v>
      </c>
      <c r="U133">
        <v>0.05</v>
      </c>
      <c r="V133">
        <v>6.5000000000000002E-2</v>
      </c>
      <c r="W133">
        <v>5</v>
      </c>
      <c r="X133">
        <v>5</v>
      </c>
      <c r="Y133">
        <v>10.5</v>
      </c>
    </row>
    <row r="134" spans="1:25" ht="60" customHeight="1" x14ac:dyDescent="0.25">
      <c r="A134"/>
      <c r="B134" t="s">
        <v>3743</v>
      </c>
      <c r="C134" t="s">
        <v>3745</v>
      </c>
      <c r="D134" t="s">
        <v>618</v>
      </c>
      <c r="E134" t="s">
        <v>1690</v>
      </c>
      <c r="F134" t="s">
        <v>1691</v>
      </c>
      <c r="G134" t="s">
        <v>1436</v>
      </c>
      <c r="H134" s="11">
        <v>7.93</v>
      </c>
      <c r="I134" s="10">
        <f>H134*(1-IFERROR(VLOOKUP(G134,Rabat!$C$9:$D$43,2,0),0))</f>
        <v>7.93</v>
      </c>
      <c r="J134" t="s">
        <v>1816</v>
      </c>
      <c r="K134" t="s">
        <v>117</v>
      </c>
      <c r="L134" t="s">
        <v>1813</v>
      </c>
      <c r="M134">
        <v>100</v>
      </c>
      <c r="N134">
        <v>6000</v>
      </c>
      <c r="O134" t="s">
        <v>1818</v>
      </c>
      <c r="P134" s="12" t="str">
        <f>HYPERLINK("https://b2b.kobi.pl/pl/product/9699,zarowka-led-sw-4-5w-e14-3000k-kobi?currency=PLN")</f>
        <v>https://b2b.kobi.pl/pl/product/9699,zarowka-led-sw-4-5w-e14-3000k-kobi?currency=PLN</v>
      </c>
      <c r="Q134" s="12" t="str">
        <f>HYPERLINK("https://eprel.ec.europa.eu/qr/660760")</f>
        <v>https://eprel.ec.europa.eu/qr/660760</v>
      </c>
      <c r="R134"/>
      <c r="S134" t="s">
        <v>2569</v>
      </c>
      <c r="T134">
        <v>0.02</v>
      </c>
      <c r="U134">
        <v>1.7999999999999999E-2</v>
      </c>
      <c r="V134">
        <v>2.0400000000000001E-2</v>
      </c>
      <c r="W134">
        <v>3.8</v>
      </c>
      <c r="X134">
        <v>3.8</v>
      </c>
      <c r="Y134">
        <v>10.199999999999999</v>
      </c>
    </row>
    <row r="135" spans="1:25" ht="60" customHeight="1" x14ac:dyDescent="0.25">
      <c r="A135"/>
      <c r="B135" t="s">
        <v>3743</v>
      </c>
      <c r="C135" t="s">
        <v>3745</v>
      </c>
      <c r="D135" t="s">
        <v>606</v>
      </c>
      <c r="E135" t="s">
        <v>3220</v>
      </c>
      <c r="F135" t="s">
        <v>3221</v>
      </c>
      <c r="G135" t="s">
        <v>1436</v>
      </c>
      <c r="H135" s="11">
        <v>21.43</v>
      </c>
      <c r="I135" s="10">
        <f>H135*(1-IFERROR(VLOOKUP(G135,Rabat!$C$9:$D$43,2,0),0))</f>
        <v>21.43</v>
      </c>
      <c r="J135" t="s">
        <v>1817</v>
      </c>
      <c r="K135" t="s">
        <v>3250</v>
      </c>
      <c r="L135" t="s">
        <v>1813</v>
      </c>
      <c r="M135">
        <v>100</v>
      </c>
      <c r="N135">
        <v>3600</v>
      </c>
      <c r="O135" t="s">
        <v>1818</v>
      </c>
      <c r="P135" s="12" t="str">
        <f>HYPERLINK("https://b2b.kobi.pl/pl/product/12903,zarowka-led-mb-8-5w-e14-4000k-kobi-premium?currency=PLN")</f>
        <v>https://b2b.kobi.pl/pl/product/12903,zarowka-led-mb-8-5w-e14-4000k-kobi-premium?currency=PLN</v>
      </c>
      <c r="Q135" s="12" t="str">
        <f>HYPERLINK("https://eprel.ec.europa.eu/qr/2420080")</f>
        <v>https://eprel.ec.europa.eu/qr/2420080</v>
      </c>
      <c r="R135"/>
      <c r="S135" t="s">
        <v>2569</v>
      </c>
      <c r="T135">
        <v>0.04</v>
      </c>
      <c r="U135">
        <v>0.05</v>
      </c>
      <c r="V135">
        <v>6.5000000000000002E-2</v>
      </c>
      <c r="W135">
        <v>5</v>
      </c>
      <c r="X135">
        <v>5</v>
      </c>
      <c r="Y135">
        <v>10.5</v>
      </c>
    </row>
    <row r="136" spans="1:25" ht="60" customHeight="1" x14ac:dyDescent="0.25">
      <c r="A136"/>
      <c r="B136" t="s">
        <v>3743</v>
      </c>
      <c r="C136" t="s">
        <v>3745</v>
      </c>
      <c r="D136" t="s">
        <v>618</v>
      </c>
      <c r="E136" t="s">
        <v>1692</v>
      </c>
      <c r="F136" t="s">
        <v>1693</v>
      </c>
      <c r="G136" t="s">
        <v>1436</v>
      </c>
      <c r="H136" s="11">
        <v>7.93</v>
      </c>
      <c r="I136" s="10">
        <f>H136*(1-IFERROR(VLOOKUP(G136,Rabat!$C$9:$D$43,2,0),0))</f>
        <v>7.93</v>
      </c>
      <c r="J136" t="s">
        <v>1816</v>
      </c>
      <c r="K136" t="s">
        <v>118</v>
      </c>
      <c r="L136" t="s">
        <v>1813</v>
      </c>
      <c r="M136">
        <v>100</v>
      </c>
      <c r="N136">
        <v>6000</v>
      </c>
      <c r="O136" t="s">
        <v>1818</v>
      </c>
      <c r="P136" s="12" t="str">
        <f>HYPERLINK("https://b2b.kobi.pl/pl/product/9700,zarowka-led-sw-4-5w-e14-4000k-kobi?currency=PLN")</f>
        <v>https://b2b.kobi.pl/pl/product/9700,zarowka-led-sw-4-5w-e14-4000k-kobi?currency=PLN</v>
      </c>
      <c r="Q136" s="12" t="str">
        <f>HYPERLINK("https://eprel.ec.europa.eu/qr/660762")</f>
        <v>https://eprel.ec.europa.eu/qr/660762</v>
      </c>
      <c r="R136"/>
      <c r="S136" t="s">
        <v>2569</v>
      </c>
      <c r="T136">
        <v>0.02</v>
      </c>
      <c r="U136">
        <v>1.7999999999999999E-2</v>
      </c>
      <c r="V136">
        <v>2.0400000000000001E-2</v>
      </c>
      <c r="W136">
        <v>3.8</v>
      </c>
      <c r="X136">
        <v>3.8</v>
      </c>
      <c r="Y136">
        <v>10.199999999999999</v>
      </c>
    </row>
    <row r="137" spans="1:25" ht="60" customHeight="1" x14ac:dyDescent="0.25">
      <c r="A137"/>
      <c r="B137" t="s">
        <v>3743</v>
      </c>
      <c r="C137" t="s">
        <v>3745</v>
      </c>
      <c r="D137" t="s">
        <v>606</v>
      </c>
      <c r="E137" t="s">
        <v>3222</v>
      </c>
      <c r="F137" t="s">
        <v>3223</v>
      </c>
      <c r="G137" t="s">
        <v>1436</v>
      </c>
      <c r="H137" s="11">
        <v>21.43</v>
      </c>
      <c r="I137" s="10">
        <f>H137*(1-IFERROR(VLOOKUP(G137,Rabat!$C$9:$D$43,2,0),0))</f>
        <v>21.43</v>
      </c>
      <c r="J137" t="s">
        <v>1817</v>
      </c>
      <c r="K137" t="s">
        <v>3251</v>
      </c>
      <c r="L137" t="s">
        <v>1813</v>
      </c>
      <c r="M137">
        <v>100</v>
      </c>
      <c r="N137">
        <v>3600</v>
      </c>
      <c r="O137" t="s">
        <v>1818</v>
      </c>
      <c r="P137" s="12" t="str">
        <f>HYPERLINK("https://b2b.kobi.pl/pl/product/12904,zarowka-led-mb-8-5w-e14-6000k-kobi-premium?currency=PLN")</f>
        <v>https://b2b.kobi.pl/pl/product/12904,zarowka-led-mb-8-5w-e14-6000k-kobi-premium?currency=PLN</v>
      </c>
      <c r="Q137" s="12" t="str">
        <f>HYPERLINK("https://eprel.ec.europa.eu/qr/2420110")</f>
        <v>https://eprel.ec.europa.eu/qr/2420110</v>
      </c>
      <c r="R137"/>
      <c r="S137" t="s">
        <v>2569</v>
      </c>
      <c r="T137">
        <v>0.04</v>
      </c>
      <c r="U137">
        <v>0.05</v>
      </c>
      <c r="V137">
        <v>6.5000000000000002E-2</v>
      </c>
      <c r="W137">
        <v>5</v>
      </c>
      <c r="X137">
        <v>5</v>
      </c>
      <c r="Y137">
        <v>10.5</v>
      </c>
    </row>
    <row r="138" spans="1:25" ht="60" customHeight="1" x14ac:dyDescent="0.25">
      <c r="A138"/>
      <c r="B138" t="s">
        <v>3743</v>
      </c>
      <c r="C138" t="s">
        <v>3745</v>
      </c>
      <c r="D138" t="s">
        <v>618</v>
      </c>
      <c r="E138" t="s">
        <v>1694</v>
      </c>
      <c r="F138" t="s">
        <v>1695</v>
      </c>
      <c r="G138" t="s">
        <v>1436</v>
      </c>
      <c r="H138" s="11">
        <v>7.93</v>
      </c>
      <c r="I138" s="10">
        <f>H138*(1-IFERROR(VLOOKUP(G138,Rabat!$C$9:$D$43,2,0),0))</f>
        <v>7.93</v>
      </c>
      <c r="J138" t="s">
        <v>1816</v>
      </c>
      <c r="K138" t="s">
        <v>119</v>
      </c>
      <c r="L138" t="s">
        <v>1813</v>
      </c>
      <c r="M138">
        <v>100</v>
      </c>
      <c r="N138">
        <v>6000</v>
      </c>
      <c r="O138" t="s">
        <v>1818</v>
      </c>
      <c r="P138" s="12" t="str">
        <f>HYPERLINK("https://b2b.kobi.pl/pl/product/9701,zarowka-led-sw-4-5w-e14-6000k-kobi?currency=PLN")</f>
        <v>https://b2b.kobi.pl/pl/product/9701,zarowka-led-sw-4-5w-e14-6000k-kobi?currency=PLN</v>
      </c>
      <c r="Q138" s="12" t="str">
        <f>HYPERLINK("https://eprel.ec.europa.eu/qr/660763")</f>
        <v>https://eprel.ec.europa.eu/qr/660763</v>
      </c>
      <c r="R138"/>
      <c r="S138" t="s">
        <v>2569</v>
      </c>
      <c r="T138">
        <v>0.02</v>
      </c>
      <c r="U138">
        <v>1.7999999999999999E-2</v>
      </c>
      <c r="V138">
        <v>2.0400000000000001E-2</v>
      </c>
      <c r="W138">
        <v>3.8</v>
      </c>
      <c r="X138">
        <v>3.8</v>
      </c>
      <c r="Y138">
        <v>10.199999999999999</v>
      </c>
    </row>
    <row r="139" spans="1:25" ht="60" customHeight="1" x14ac:dyDescent="0.25">
      <c r="A139"/>
      <c r="B139" t="s">
        <v>3743</v>
      </c>
      <c r="C139" t="s">
        <v>3745</v>
      </c>
      <c r="D139" t="s">
        <v>606</v>
      </c>
      <c r="E139" t="s">
        <v>3224</v>
      </c>
      <c r="F139" t="s">
        <v>3225</v>
      </c>
      <c r="G139" t="s">
        <v>1436</v>
      </c>
      <c r="H139" s="11">
        <v>21.43</v>
      </c>
      <c r="I139" s="10">
        <f>H139*(1-IFERROR(VLOOKUP(G139,Rabat!$C$9:$D$43,2,0),0))</f>
        <v>21.43</v>
      </c>
      <c r="J139" t="s">
        <v>1817</v>
      </c>
      <c r="K139" t="s">
        <v>3252</v>
      </c>
      <c r="L139" t="s">
        <v>1813</v>
      </c>
      <c r="M139">
        <v>100</v>
      </c>
      <c r="N139">
        <v>3600</v>
      </c>
      <c r="O139" t="s">
        <v>1818</v>
      </c>
      <c r="P139" s="12" t="str">
        <f>HYPERLINK("https://b2b.kobi.pl/pl/product/12908,zarowka-led-mb-8-5w-e27-3000k-kobi-premium?currency=PLN")</f>
        <v>https://b2b.kobi.pl/pl/product/12908,zarowka-led-mb-8-5w-e27-3000k-kobi-premium?currency=PLN</v>
      </c>
      <c r="Q139" s="12" t="str">
        <f>HYPERLINK("https://eprel.ec.europa.eu/qr/2420170")</f>
        <v>https://eprel.ec.europa.eu/qr/2420170</v>
      </c>
      <c r="R139"/>
      <c r="S139" t="s">
        <v>2569</v>
      </c>
      <c r="T139">
        <v>0.04</v>
      </c>
      <c r="U139">
        <v>0.05</v>
      </c>
      <c r="V139">
        <v>6.5000000000000002E-2</v>
      </c>
      <c r="W139">
        <v>5</v>
      </c>
      <c r="X139">
        <v>5</v>
      </c>
      <c r="Y139">
        <v>10.5</v>
      </c>
    </row>
    <row r="140" spans="1:25" ht="60" customHeight="1" x14ac:dyDescent="0.25">
      <c r="A140"/>
      <c r="B140" t="s">
        <v>3743</v>
      </c>
      <c r="C140" t="s">
        <v>3745</v>
      </c>
      <c r="D140" t="s">
        <v>618</v>
      </c>
      <c r="E140" t="s">
        <v>1696</v>
      </c>
      <c r="F140" t="s">
        <v>1697</v>
      </c>
      <c r="G140" t="s">
        <v>1436</v>
      </c>
      <c r="H140" s="11">
        <v>8.8800000000000008</v>
      </c>
      <c r="I140" s="10">
        <f>H140*(1-IFERROR(VLOOKUP(G140,Rabat!$C$9:$D$43,2,0),0))</f>
        <v>8.8800000000000008</v>
      </c>
      <c r="J140" t="s">
        <v>1820</v>
      </c>
      <c r="K140" t="s">
        <v>120</v>
      </c>
      <c r="L140" t="s">
        <v>1813</v>
      </c>
      <c r="M140">
        <v>100</v>
      </c>
      <c r="N140">
        <v>6000</v>
      </c>
      <c r="O140" t="s">
        <v>1818</v>
      </c>
      <c r="P140" s="12" t="str">
        <f>HYPERLINK("https://b2b.kobi.pl/pl/product/9702,zarowka-led-sw-6w-e14-3000k-kobi?currency=PLN")</f>
        <v>https://b2b.kobi.pl/pl/product/9702,zarowka-led-sw-6w-e14-3000k-kobi?currency=PLN</v>
      </c>
      <c r="Q140" s="12" t="str">
        <f>HYPERLINK("https://eprel.ec.europa.eu/qr/660765")</f>
        <v>https://eprel.ec.europa.eu/qr/660765</v>
      </c>
      <c r="R140"/>
      <c r="S140" t="s">
        <v>2569</v>
      </c>
      <c r="T140">
        <v>0.02</v>
      </c>
      <c r="U140">
        <v>1.7999999999999999E-2</v>
      </c>
      <c r="V140">
        <v>2.0799999999999999E-2</v>
      </c>
      <c r="W140">
        <v>3.8</v>
      </c>
      <c r="X140">
        <v>3.8</v>
      </c>
      <c r="Y140">
        <v>10.199999999999999</v>
      </c>
    </row>
    <row r="141" spans="1:25" ht="60" customHeight="1" x14ac:dyDescent="0.25">
      <c r="A141"/>
      <c r="B141" t="s">
        <v>3743</v>
      </c>
      <c r="C141" t="s">
        <v>3745</v>
      </c>
      <c r="D141" t="s">
        <v>606</v>
      </c>
      <c r="E141" t="s">
        <v>3226</v>
      </c>
      <c r="F141" t="s">
        <v>3227</v>
      </c>
      <c r="G141" t="s">
        <v>1436</v>
      </c>
      <c r="H141" s="11">
        <v>21.43</v>
      </c>
      <c r="I141" s="10">
        <f>H141*(1-IFERROR(VLOOKUP(G141,Rabat!$C$9:$D$43,2,0),0))</f>
        <v>21.43</v>
      </c>
      <c r="J141" t="s">
        <v>1817</v>
      </c>
      <c r="K141" t="s">
        <v>3253</v>
      </c>
      <c r="L141" t="s">
        <v>1813</v>
      </c>
      <c r="M141">
        <v>100</v>
      </c>
      <c r="N141">
        <v>3600</v>
      </c>
      <c r="O141" t="s">
        <v>1818</v>
      </c>
      <c r="P141" s="12" t="str">
        <f>HYPERLINK("https://b2b.kobi.pl/pl/product/12909,zarowka-led-mb-8-5w-e27-4000k-kobi-premium?currency=PLN")</f>
        <v>https://b2b.kobi.pl/pl/product/12909,zarowka-led-mb-8-5w-e27-4000k-kobi-premium?currency=PLN</v>
      </c>
      <c r="Q141" s="12" t="str">
        <f>HYPERLINK("https://eprel.ec.europa.eu/qr/2420181")</f>
        <v>https://eprel.ec.europa.eu/qr/2420181</v>
      </c>
      <c r="R141"/>
      <c r="S141" t="s">
        <v>2569</v>
      </c>
      <c r="T141">
        <v>0.04</v>
      </c>
      <c r="U141">
        <v>0.05</v>
      </c>
      <c r="V141">
        <v>6.5000000000000002E-2</v>
      </c>
      <c r="W141">
        <v>5</v>
      </c>
      <c r="X141">
        <v>5</v>
      </c>
      <c r="Y141">
        <v>10.5</v>
      </c>
    </row>
    <row r="142" spans="1:25" ht="60" customHeight="1" x14ac:dyDescent="0.25">
      <c r="A142"/>
      <c r="B142" t="s">
        <v>3743</v>
      </c>
      <c r="C142" t="s">
        <v>3745</v>
      </c>
      <c r="D142" t="s">
        <v>618</v>
      </c>
      <c r="E142" t="s">
        <v>1698</v>
      </c>
      <c r="F142" t="s">
        <v>1699</v>
      </c>
      <c r="G142" t="s">
        <v>1436</v>
      </c>
      <c r="H142" s="11">
        <v>8.8800000000000008</v>
      </c>
      <c r="I142" s="10">
        <f>H142*(1-IFERROR(VLOOKUP(G142,Rabat!$C$9:$D$43,2,0),0))</f>
        <v>8.8800000000000008</v>
      </c>
      <c r="J142" t="s">
        <v>1820</v>
      </c>
      <c r="K142" t="s">
        <v>121</v>
      </c>
      <c r="L142" t="s">
        <v>1813</v>
      </c>
      <c r="M142">
        <v>100</v>
      </c>
      <c r="N142">
        <v>6000</v>
      </c>
      <c r="O142" t="s">
        <v>1818</v>
      </c>
      <c r="P142" s="12" t="str">
        <f>HYPERLINK("https://b2b.kobi.pl/pl/product/9703,zarowka-led-sw-6w-e14-4000k-kobi?currency=PLN")</f>
        <v>https://b2b.kobi.pl/pl/product/9703,zarowka-led-sw-6w-e14-4000k-kobi?currency=PLN</v>
      </c>
      <c r="Q142" s="12" t="str">
        <f>HYPERLINK("https://eprel.ec.europa.eu/qr/660766")</f>
        <v>https://eprel.ec.europa.eu/qr/660766</v>
      </c>
      <c r="R142"/>
      <c r="S142" t="s">
        <v>2569</v>
      </c>
      <c r="T142">
        <v>0.02</v>
      </c>
      <c r="U142">
        <v>1.7999999999999999E-2</v>
      </c>
      <c r="V142">
        <v>2.0799999999999999E-2</v>
      </c>
      <c r="W142">
        <v>3.8</v>
      </c>
      <c r="X142">
        <v>3.8</v>
      </c>
      <c r="Y142">
        <v>10.199999999999999</v>
      </c>
    </row>
    <row r="143" spans="1:25" ht="60" customHeight="1" x14ac:dyDescent="0.25">
      <c r="A143"/>
      <c r="B143" t="s">
        <v>3743</v>
      </c>
      <c r="C143" t="s">
        <v>3745</v>
      </c>
      <c r="D143" t="s">
        <v>606</v>
      </c>
      <c r="E143" t="s">
        <v>3228</v>
      </c>
      <c r="F143" t="s">
        <v>3229</v>
      </c>
      <c r="G143" t="s">
        <v>1436</v>
      </c>
      <c r="H143" s="11">
        <v>21.43</v>
      </c>
      <c r="I143" s="10">
        <f>H143*(1-IFERROR(VLOOKUP(G143,Rabat!$C$9:$D$43,2,0),0))</f>
        <v>21.43</v>
      </c>
      <c r="J143" t="s">
        <v>1817</v>
      </c>
      <c r="K143" t="s">
        <v>3254</v>
      </c>
      <c r="L143" t="s">
        <v>1813</v>
      </c>
      <c r="M143">
        <v>100</v>
      </c>
      <c r="N143">
        <v>3600</v>
      </c>
      <c r="O143" t="s">
        <v>1818</v>
      </c>
      <c r="P143" s="12" t="str">
        <f>HYPERLINK("https://b2b.kobi.pl/pl/product/12910,zarowka-led-mb-8-5w-e27-6000k-kobi-premium?currency=PLN")</f>
        <v>https://b2b.kobi.pl/pl/product/12910,zarowka-led-mb-8-5w-e27-6000k-kobi-premium?currency=PLN</v>
      </c>
      <c r="Q143" s="12" t="str">
        <f>HYPERLINK("https://eprel.ec.europa.eu/qr/2420184")</f>
        <v>https://eprel.ec.europa.eu/qr/2420184</v>
      </c>
      <c r="R143"/>
      <c r="S143" t="s">
        <v>2569</v>
      </c>
      <c r="T143">
        <v>0.04</v>
      </c>
      <c r="U143">
        <v>0.05</v>
      </c>
      <c r="V143">
        <v>6.5000000000000002E-2</v>
      </c>
      <c r="W143">
        <v>5</v>
      </c>
      <c r="X143">
        <v>5</v>
      </c>
      <c r="Y143">
        <v>10.5</v>
      </c>
    </row>
    <row r="144" spans="1:25" ht="60" customHeight="1" x14ac:dyDescent="0.25">
      <c r="A144"/>
      <c r="B144" t="s">
        <v>3743</v>
      </c>
      <c r="C144" t="s">
        <v>3745</v>
      </c>
      <c r="D144" t="s">
        <v>618</v>
      </c>
      <c r="E144" t="s">
        <v>1700</v>
      </c>
      <c r="F144" t="s">
        <v>1701</v>
      </c>
      <c r="G144" t="s">
        <v>1436</v>
      </c>
      <c r="H144" s="11">
        <v>8.8800000000000008</v>
      </c>
      <c r="I144" s="10">
        <f>H144*(1-IFERROR(VLOOKUP(G144,Rabat!$C$9:$D$43,2,0),0))</f>
        <v>8.8800000000000008</v>
      </c>
      <c r="J144" t="s">
        <v>1820</v>
      </c>
      <c r="K144" t="s">
        <v>122</v>
      </c>
      <c r="L144" t="s">
        <v>1813</v>
      </c>
      <c r="M144">
        <v>100</v>
      </c>
      <c r="N144">
        <v>6000</v>
      </c>
      <c r="O144" t="s">
        <v>1818</v>
      </c>
      <c r="P144" s="12" t="str">
        <f>HYPERLINK("https://b2b.kobi.pl/pl/product/9704,zarowka-led-sw-6w-e14-6000k-kobi?currency=PLN")</f>
        <v>https://b2b.kobi.pl/pl/product/9704,zarowka-led-sw-6w-e14-6000k-kobi?currency=PLN</v>
      </c>
      <c r="Q144" s="12" t="str">
        <f>HYPERLINK("https://eprel.ec.europa.eu/qr/660767")</f>
        <v>https://eprel.ec.europa.eu/qr/660767</v>
      </c>
      <c r="R144"/>
      <c r="S144" t="s">
        <v>2569</v>
      </c>
      <c r="T144">
        <v>0.02</v>
      </c>
      <c r="U144">
        <v>1.7999999999999999E-2</v>
      </c>
      <c r="V144">
        <v>2.0799999999999999E-2</v>
      </c>
      <c r="W144">
        <v>3.8</v>
      </c>
      <c r="X144">
        <v>3.8</v>
      </c>
      <c r="Y144">
        <v>10.199999999999999</v>
      </c>
    </row>
    <row r="145" spans="1:25" ht="60" customHeight="1" x14ac:dyDescent="0.25">
      <c r="A145"/>
      <c r="B145" t="s">
        <v>3743</v>
      </c>
      <c r="C145" t="s">
        <v>3745</v>
      </c>
      <c r="D145" t="s">
        <v>618</v>
      </c>
      <c r="E145" t="s">
        <v>1702</v>
      </c>
      <c r="F145" t="s">
        <v>1703</v>
      </c>
      <c r="G145" t="s">
        <v>1436</v>
      </c>
      <c r="H145" s="11">
        <v>8.8800000000000008</v>
      </c>
      <c r="I145" s="10">
        <f>H145*(1-IFERROR(VLOOKUP(G145,Rabat!$C$9:$D$43,2,0),0))</f>
        <v>8.8800000000000008</v>
      </c>
      <c r="J145" t="s">
        <v>1820</v>
      </c>
      <c r="K145" t="s">
        <v>126</v>
      </c>
      <c r="L145" t="s">
        <v>1813</v>
      </c>
      <c r="M145">
        <v>100</v>
      </c>
      <c r="N145">
        <v>5600</v>
      </c>
      <c r="O145" t="s">
        <v>1818</v>
      </c>
      <c r="P145" s="12" t="str">
        <f>HYPERLINK("https://b2b.kobi.pl/pl/product/9711,zarowka-led-sw-6w-e27-3000k-kobi?currency=PLN")</f>
        <v>https://b2b.kobi.pl/pl/product/9711,zarowka-led-sw-6w-e27-3000k-kobi?currency=PLN</v>
      </c>
      <c r="Q145" s="12" t="str">
        <f>HYPERLINK("https://eprel.ec.europa.eu/qr/660782")</f>
        <v>https://eprel.ec.europa.eu/qr/660782</v>
      </c>
      <c r="R145"/>
      <c r="S145" t="s">
        <v>2569</v>
      </c>
      <c r="T145">
        <v>0.02</v>
      </c>
      <c r="U145">
        <v>0.02</v>
      </c>
      <c r="V145">
        <v>2.9000000000000001E-2</v>
      </c>
      <c r="W145">
        <v>4</v>
      </c>
      <c r="X145">
        <v>3.8</v>
      </c>
      <c r="Y145">
        <v>10.6</v>
      </c>
    </row>
    <row r="146" spans="1:25" ht="60" customHeight="1" x14ac:dyDescent="0.25">
      <c r="A146"/>
      <c r="B146" t="s">
        <v>3743</v>
      </c>
      <c r="C146" t="s">
        <v>3745</v>
      </c>
      <c r="D146" t="s">
        <v>618</v>
      </c>
      <c r="E146" t="s">
        <v>1704</v>
      </c>
      <c r="F146" t="s">
        <v>1705</v>
      </c>
      <c r="G146" t="s">
        <v>1436</v>
      </c>
      <c r="H146" s="11">
        <v>8.8800000000000008</v>
      </c>
      <c r="I146" s="10">
        <f>H146*(1-IFERROR(VLOOKUP(G146,Rabat!$C$9:$D$43,2,0),0))</f>
        <v>8.8800000000000008</v>
      </c>
      <c r="J146" t="s">
        <v>1820</v>
      </c>
      <c r="K146" t="s">
        <v>127</v>
      </c>
      <c r="L146" t="s">
        <v>1813</v>
      </c>
      <c r="M146">
        <v>100</v>
      </c>
      <c r="N146">
        <v>5600</v>
      </c>
      <c r="O146" t="s">
        <v>1818</v>
      </c>
      <c r="P146" s="12" t="str">
        <f>HYPERLINK("https://b2b.kobi.pl/pl/product/9712,zarowka-led-sw-6w-e27-4000k-kobi?currency=PLN")</f>
        <v>https://b2b.kobi.pl/pl/product/9712,zarowka-led-sw-6w-e27-4000k-kobi?currency=PLN</v>
      </c>
      <c r="Q146" s="12" t="str">
        <f>HYPERLINK("https://eprel.ec.europa.eu/qr/660784")</f>
        <v>https://eprel.ec.europa.eu/qr/660784</v>
      </c>
      <c r="R146"/>
      <c r="S146" t="s">
        <v>2569</v>
      </c>
      <c r="T146">
        <v>0.02</v>
      </c>
      <c r="U146">
        <v>0.02</v>
      </c>
      <c r="V146">
        <v>2.9000000000000001E-2</v>
      </c>
      <c r="W146">
        <v>3.8</v>
      </c>
      <c r="X146">
        <v>3.8</v>
      </c>
      <c r="Y146">
        <v>10.6</v>
      </c>
    </row>
    <row r="147" spans="1:25" ht="60" customHeight="1" x14ac:dyDescent="0.25">
      <c r="A147"/>
      <c r="B147" t="s">
        <v>3743</v>
      </c>
      <c r="C147" t="s">
        <v>3745</v>
      </c>
      <c r="D147" t="s">
        <v>618</v>
      </c>
      <c r="E147" t="s">
        <v>1706</v>
      </c>
      <c r="F147" t="s">
        <v>1707</v>
      </c>
      <c r="G147" t="s">
        <v>1436</v>
      </c>
      <c r="H147" s="11">
        <v>8.8800000000000008</v>
      </c>
      <c r="I147" s="10">
        <f>H147*(1-IFERROR(VLOOKUP(G147,Rabat!$C$9:$D$43,2,0),0))</f>
        <v>8.8800000000000008</v>
      </c>
      <c r="J147" t="s">
        <v>1820</v>
      </c>
      <c r="K147" t="s">
        <v>128</v>
      </c>
      <c r="L147" t="s">
        <v>1813</v>
      </c>
      <c r="M147">
        <v>100</v>
      </c>
      <c r="N147">
        <v>7000</v>
      </c>
      <c r="O147" t="s">
        <v>1818</v>
      </c>
      <c r="P147" s="12" t="str">
        <f>HYPERLINK("https://b2b.kobi.pl/pl/product/9713,zarowka-led-sw-6w-e27-6000k-kobi?currency=PLN")</f>
        <v>https://b2b.kobi.pl/pl/product/9713,zarowka-led-sw-6w-e27-6000k-kobi?currency=PLN</v>
      </c>
      <c r="Q147" s="12" t="str">
        <f>HYPERLINK("https://eprel.ec.europa.eu/qr/660786")</f>
        <v>https://eprel.ec.europa.eu/qr/660786</v>
      </c>
      <c r="R147"/>
      <c r="S147" t="s">
        <v>2569</v>
      </c>
      <c r="T147">
        <v>0.02</v>
      </c>
      <c r="U147">
        <v>0.02</v>
      </c>
      <c r="V147">
        <v>2.9000000000000001E-2</v>
      </c>
      <c r="W147">
        <v>3.8</v>
      </c>
      <c r="X147">
        <v>3.8</v>
      </c>
      <c r="Y147">
        <v>10.6</v>
      </c>
    </row>
    <row r="148" spans="1:25" ht="60" customHeight="1" x14ac:dyDescent="0.25">
      <c r="A148"/>
      <c r="B148" t="s">
        <v>3743</v>
      </c>
      <c r="C148" t="s">
        <v>3745</v>
      </c>
      <c r="D148" t="s">
        <v>16</v>
      </c>
      <c r="E148" t="s">
        <v>1708</v>
      </c>
      <c r="F148" t="s">
        <v>1709</v>
      </c>
      <c r="G148" t="s">
        <v>1436</v>
      </c>
      <c r="H148" s="11">
        <v>5.71</v>
      </c>
      <c r="I148" s="10">
        <f>H148*(1-IFERROR(VLOOKUP(G148,Rabat!$C$9:$D$43,2,0),0))</f>
        <v>5.71</v>
      </c>
      <c r="J148" t="s">
        <v>1816</v>
      </c>
      <c r="K148" t="s">
        <v>129</v>
      </c>
      <c r="L148" t="s">
        <v>1813</v>
      </c>
      <c r="M148">
        <v>100</v>
      </c>
      <c r="N148">
        <v>6000</v>
      </c>
      <c r="O148" t="s">
        <v>1818</v>
      </c>
      <c r="P148" s="12" t="str">
        <f>HYPERLINK("https://b2b.kobi.pl/pl/product/9638,zarowka-led-sw-7w-e27-3000k-led2b?currency=PLN")</f>
        <v>https://b2b.kobi.pl/pl/product/9638,zarowka-led-sw-7w-e27-3000k-led2b?currency=PLN</v>
      </c>
      <c r="Q148" s="12" t="str">
        <f>HYPERLINK("https://eprel.ec.europa.eu/qr/660526")</f>
        <v>https://eprel.ec.europa.eu/qr/660526</v>
      </c>
      <c r="R148" t="s">
        <v>1945</v>
      </c>
      <c r="S148" t="s">
        <v>2569</v>
      </c>
      <c r="T148">
        <v>0.02</v>
      </c>
      <c r="U148">
        <v>1.9E-2</v>
      </c>
      <c r="V148">
        <v>2.9000000000000001E-2</v>
      </c>
      <c r="W148">
        <v>4.5</v>
      </c>
      <c r="X148">
        <v>8.5</v>
      </c>
      <c r="Y148">
        <v>4.5</v>
      </c>
    </row>
    <row r="149" spans="1:25" ht="60" customHeight="1" x14ac:dyDescent="0.25">
      <c r="A149"/>
      <c r="B149" t="s">
        <v>3743</v>
      </c>
      <c r="C149" t="s">
        <v>3745</v>
      </c>
      <c r="D149" t="s">
        <v>16</v>
      </c>
      <c r="E149" t="s">
        <v>1710</v>
      </c>
      <c r="F149" t="s">
        <v>1711</v>
      </c>
      <c r="G149" t="s">
        <v>1436</v>
      </c>
      <c r="H149" s="11">
        <v>5.71</v>
      </c>
      <c r="I149" s="10">
        <f>H149*(1-IFERROR(VLOOKUP(G149,Rabat!$C$9:$D$43,2,0),0))</f>
        <v>5.71</v>
      </c>
      <c r="J149" t="s">
        <v>1816</v>
      </c>
      <c r="K149" t="s">
        <v>130</v>
      </c>
      <c r="L149" t="s">
        <v>1813</v>
      </c>
      <c r="M149">
        <v>100</v>
      </c>
      <c r="N149">
        <v>6000</v>
      </c>
      <c r="O149" t="s">
        <v>1818</v>
      </c>
      <c r="P149" s="12" t="str">
        <f>HYPERLINK("https://b2b.kobi.pl/pl/product/9640,zarowka-led-sw-7w-e27-6500k-led2b?currency=PLN")</f>
        <v>https://b2b.kobi.pl/pl/product/9640,zarowka-led-sw-7w-e27-6500k-led2b?currency=PLN</v>
      </c>
      <c r="Q149" s="12" t="str">
        <f>HYPERLINK("https://eprel.ec.europa.eu/qr/660609")</f>
        <v>https://eprel.ec.europa.eu/qr/660609</v>
      </c>
      <c r="R149" t="s">
        <v>1945</v>
      </c>
      <c r="S149" t="s">
        <v>2569</v>
      </c>
      <c r="T149">
        <v>0.02</v>
      </c>
      <c r="U149">
        <v>1.9E-2</v>
      </c>
      <c r="V149">
        <v>2.9000000000000001E-2</v>
      </c>
      <c r="W149">
        <v>4.5</v>
      </c>
      <c r="X149">
        <v>8.5</v>
      </c>
      <c r="Y149">
        <v>4.5</v>
      </c>
    </row>
    <row r="150" spans="1:25" ht="60" customHeight="1" x14ac:dyDescent="0.25">
      <c r="A150"/>
      <c r="B150" t="s">
        <v>3743</v>
      </c>
      <c r="C150" t="s">
        <v>3745</v>
      </c>
      <c r="D150" t="s">
        <v>16</v>
      </c>
      <c r="E150" t="s">
        <v>1712</v>
      </c>
      <c r="F150" t="s">
        <v>1713</v>
      </c>
      <c r="G150" t="s">
        <v>1436</v>
      </c>
      <c r="H150" s="11">
        <v>8.02</v>
      </c>
      <c r="I150" s="10">
        <f>H150*(1-IFERROR(VLOOKUP(G150,Rabat!$C$9:$D$43,2,0),0))</f>
        <v>8.02</v>
      </c>
      <c r="J150" t="s">
        <v>1816</v>
      </c>
      <c r="K150" t="s">
        <v>476</v>
      </c>
      <c r="L150" t="s">
        <v>1813</v>
      </c>
      <c r="M150">
        <v>100</v>
      </c>
      <c r="N150">
        <v>6000</v>
      </c>
      <c r="O150" t="s">
        <v>1818</v>
      </c>
      <c r="P150" s="12" t="str">
        <f>HYPERLINK("https://b2b.kobi.pl/pl/product/9635,zarowka-led-sw-8-5w-e14-3000k-led2b?currency=PLN")</f>
        <v>https://b2b.kobi.pl/pl/product/9635,zarowka-led-sw-8-5w-e14-3000k-led2b?currency=PLN</v>
      </c>
      <c r="Q150" s="12" t="str">
        <f>HYPERLINK("https://eprel.ec.europa.eu/qr/2044603")</f>
        <v>https://eprel.ec.europa.eu/qr/2044603</v>
      </c>
      <c r="R150"/>
      <c r="S150" t="s">
        <v>2569</v>
      </c>
      <c r="T150">
        <v>0.02</v>
      </c>
      <c r="U150">
        <v>0.02</v>
      </c>
      <c r="V150">
        <v>2.5000000000000001E-2</v>
      </c>
      <c r="W150">
        <v>3.9</v>
      </c>
      <c r="X150">
        <v>3.9</v>
      </c>
      <c r="Y150">
        <v>11.2</v>
      </c>
    </row>
    <row r="151" spans="1:25" ht="60" customHeight="1" x14ac:dyDescent="0.25">
      <c r="A151"/>
      <c r="B151" t="s">
        <v>3743</v>
      </c>
      <c r="C151" t="s">
        <v>3745</v>
      </c>
      <c r="D151" t="s">
        <v>16</v>
      </c>
      <c r="E151" t="s">
        <v>1714</v>
      </c>
      <c r="F151" t="s">
        <v>1715</v>
      </c>
      <c r="G151" t="s">
        <v>1436</v>
      </c>
      <c r="H151" s="11">
        <v>8.02</v>
      </c>
      <c r="I151" s="10">
        <f>H151*(1-IFERROR(VLOOKUP(G151,Rabat!$C$9:$D$43,2,0),0))</f>
        <v>8.02</v>
      </c>
      <c r="J151" t="s">
        <v>1816</v>
      </c>
      <c r="K151" t="s">
        <v>477</v>
      </c>
      <c r="L151" t="s">
        <v>1813</v>
      </c>
      <c r="M151">
        <v>100</v>
      </c>
      <c r="N151">
        <v>6000</v>
      </c>
      <c r="O151" t="s">
        <v>1818</v>
      </c>
      <c r="P151" s="12" t="str">
        <f>HYPERLINK("https://b2b.kobi.pl/pl/product/9636,zarowka-led-sw-8-5w-e14-4000k-led2b?currency=PLN")</f>
        <v>https://b2b.kobi.pl/pl/product/9636,zarowka-led-sw-8-5w-e14-4000k-led2b?currency=PLN</v>
      </c>
      <c r="Q151" s="12" t="str">
        <f>HYPERLINK("https://eprel.ec.europa.eu/qr/2044637")</f>
        <v>https://eprel.ec.europa.eu/qr/2044637</v>
      </c>
      <c r="R151"/>
      <c r="S151" t="s">
        <v>2569</v>
      </c>
      <c r="T151">
        <v>0.02</v>
      </c>
      <c r="U151">
        <v>0.02</v>
      </c>
      <c r="V151">
        <v>2.5000000000000001E-2</v>
      </c>
      <c r="W151">
        <v>3.9</v>
      </c>
      <c r="X151">
        <v>3.9</v>
      </c>
      <c r="Y151">
        <v>11.2</v>
      </c>
    </row>
    <row r="152" spans="1:25" ht="60" customHeight="1" x14ac:dyDescent="0.25">
      <c r="A152"/>
      <c r="B152" t="s">
        <v>3743</v>
      </c>
      <c r="C152" t="s">
        <v>3745</v>
      </c>
      <c r="D152" t="s">
        <v>16</v>
      </c>
      <c r="E152" t="s">
        <v>1716</v>
      </c>
      <c r="F152" t="s">
        <v>1717</v>
      </c>
      <c r="G152" t="s">
        <v>1436</v>
      </c>
      <c r="H152" s="11">
        <v>8.02</v>
      </c>
      <c r="I152" s="10">
        <f>H152*(1-IFERROR(VLOOKUP(G152,Rabat!$C$9:$D$43,2,0),0))</f>
        <v>8.02</v>
      </c>
      <c r="J152" t="s">
        <v>1816</v>
      </c>
      <c r="K152" t="s">
        <v>478</v>
      </c>
      <c r="L152" t="s">
        <v>1813</v>
      </c>
      <c r="M152">
        <v>100</v>
      </c>
      <c r="N152">
        <v>6000</v>
      </c>
      <c r="O152" t="s">
        <v>1818</v>
      </c>
      <c r="P152" s="12" t="str">
        <f>HYPERLINK("https://b2b.kobi.pl/pl/product/9637,zarowka-led-sw-8-5w-e14-6500k-led2b?currency=PLN")</f>
        <v>https://b2b.kobi.pl/pl/product/9637,zarowka-led-sw-8-5w-e14-6500k-led2b?currency=PLN</v>
      </c>
      <c r="Q152" s="12" t="str">
        <f>HYPERLINK("https://eprel.ec.europa.eu/qr/2044649")</f>
        <v>https://eprel.ec.europa.eu/qr/2044649</v>
      </c>
      <c r="R152"/>
      <c r="S152" t="s">
        <v>2569</v>
      </c>
      <c r="T152">
        <v>0.02</v>
      </c>
      <c r="U152">
        <v>0.02</v>
      </c>
      <c r="V152">
        <v>2.5000000000000001E-2</v>
      </c>
      <c r="W152">
        <v>3.9</v>
      </c>
      <c r="X152">
        <v>3.9</v>
      </c>
      <c r="Y152">
        <v>11.2</v>
      </c>
    </row>
    <row r="153" spans="1:25" ht="60" customHeight="1" x14ac:dyDescent="0.25">
      <c r="A153"/>
      <c r="B153" t="s">
        <v>3743</v>
      </c>
      <c r="C153" t="s">
        <v>3745</v>
      </c>
      <c r="D153" t="s">
        <v>16</v>
      </c>
      <c r="E153" t="s">
        <v>1718</v>
      </c>
      <c r="F153" t="s">
        <v>1719</v>
      </c>
      <c r="G153" t="s">
        <v>1436</v>
      </c>
      <c r="H153" s="11">
        <v>8.02</v>
      </c>
      <c r="I153" s="10">
        <f>H153*(1-IFERROR(VLOOKUP(G153,Rabat!$C$9:$D$43,2,0),0))</f>
        <v>8.02</v>
      </c>
      <c r="J153" t="s">
        <v>1816</v>
      </c>
      <c r="K153" t="s">
        <v>479</v>
      </c>
      <c r="L153" t="s">
        <v>1813</v>
      </c>
      <c r="M153">
        <v>100</v>
      </c>
      <c r="N153">
        <v>6000</v>
      </c>
      <c r="O153" t="s">
        <v>1818</v>
      </c>
      <c r="P153" s="12" t="str">
        <f>HYPERLINK("https://b2b.kobi.pl/pl/product/9641,zarowka-led-sw-8-5w-e27-3000k-led2b?currency=PLN")</f>
        <v>https://b2b.kobi.pl/pl/product/9641,zarowka-led-sw-8-5w-e27-3000k-led2b?currency=PLN</v>
      </c>
      <c r="Q153" s="12" t="str">
        <f>HYPERLINK("https://eprel.ec.europa.eu/qr/2044603")</f>
        <v>https://eprel.ec.europa.eu/qr/2044603</v>
      </c>
      <c r="R153"/>
      <c r="S153" t="s">
        <v>2569</v>
      </c>
      <c r="T153">
        <v>0.02</v>
      </c>
      <c r="U153">
        <v>0.02</v>
      </c>
      <c r="V153">
        <v>2.5999999999999999E-2</v>
      </c>
      <c r="W153">
        <v>3.9</v>
      </c>
      <c r="X153">
        <v>3.9</v>
      </c>
      <c r="Y153">
        <v>11.2</v>
      </c>
    </row>
    <row r="154" spans="1:25" ht="60" customHeight="1" x14ac:dyDescent="0.25">
      <c r="A154"/>
      <c r="B154" t="s">
        <v>3743</v>
      </c>
      <c r="C154" t="s">
        <v>3745</v>
      </c>
      <c r="D154" t="s">
        <v>16</v>
      </c>
      <c r="E154" t="s">
        <v>1720</v>
      </c>
      <c r="F154" t="s">
        <v>1721</v>
      </c>
      <c r="G154" t="s">
        <v>1436</v>
      </c>
      <c r="H154" s="11">
        <v>8.02</v>
      </c>
      <c r="I154" s="10">
        <f>H154*(1-IFERROR(VLOOKUP(G154,Rabat!$C$9:$D$43,2,0),0))</f>
        <v>8.02</v>
      </c>
      <c r="J154" t="s">
        <v>1816</v>
      </c>
      <c r="K154" t="s">
        <v>480</v>
      </c>
      <c r="L154" t="s">
        <v>1813</v>
      </c>
      <c r="M154">
        <v>100</v>
      </c>
      <c r="N154">
        <v>6000</v>
      </c>
      <c r="O154" t="s">
        <v>1818</v>
      </c>
      <c r="P154" s="12" t="str">
        <f>HYPERLINK("https://b2b.kobi.pl/pl/product/9642,zarowka-led-sw-8-5w-e27-4000k-led2b?currency=PLN")</f>
        <v>https://b2b.kobi.pl/pl/product/9642,zarowka-led-sw-8-5w-e27-4000k-led2b?currency=PLN</v>
      </c>
      <c r="Q154" s="12" t="str">
        <f>HYPERLINK("https://eprel.ec.europa.eu/qr/2044637")</f>
        <v>https://eprel.ec.europa.eu/qr/2044637</v>
      </c>
      <c r="R154"/>
      <c r="S154" t="s">
        <v>2569</v>
      </c>
      <c r="T154">
        <v>0.02</v>
      </c>
      <c r="U154">
        <v>0.02</v>
      </c>
      <c r="V154">
        <v>2.5999999999999999E-2</v>
      </c>
      <c r="W154">
        <v>3.9</v>
      </c>
      <c r="X154">
        <v>3.9</v>
      </c>
      <c r="Y154">
        <v>11.2</v>
      </c>
    </row>
    <row r="155" spans="1:25" ht="60" customHeight="1" x14ac:dyDescent="0.25">
      <c r="A155"/>
      <c r="B155" t="s">
        <v>3743</v>
      </c>
      <c r="C155" t="s">
        <v>3745</v>
      </c>
      <c r="D155" t="s">
        <v>16</v>
      </c>
      <c r="E155" t="s">
        <v>1722</v>
      </c>
      <c r="F155" t="s">
        <v>1723</v>
      </c>
      <c r="G155" t="s">
        <v>1436</v>
      </c>
      <c r="H155" s="11">
        <v>8.02</v>
      </c>
      <c r="I155" s="10">
        <f>H155*(1-IFERROR(VLOOKUP(G155,Rabat!$C$9:$D$43,2,0),0))</f>
        <v>8.02</v>
      </c>
      <c r="J155" t="s">
        <v>1816</v>
      </c>
      <c r="K155" t="s">
        <v>481</v>
      </c>
      <c r="L155" t="s">
        <v>1813</v>
      </c>
      <c r="M155">
        <v>100</v>
      </c>
      <c r="N155">
        <v>6000</v>
      </c>
      <c r="O155" t="s">
        <v>1818</v>
      </c>
      <c r="P155" s="12" t="str">
        <f>HYPERLINK("https://b2b.kobi.pl/pl/product/9643,zarowka-led-sw-8-5w-e27-6500k-led2b?currency=PLN")</f>
        <v>https://b2b.kobi.pl/pl/product/9643,zarowka-led-sw-8-5w-e27-6500k-led2b?currency=PLN</v>
      </c>
      <c r="Q155" s="12" t="str">
        <f>HYPERLINK("https://eprel.ec.europa.eu/qr/2044603")</f>
        <v>https://eprel.ec.europa.eu/qr/2044603</v>
      </c>
      <c r="R155"/>
      <c r="S155" t="s">
        <v>2569</v>
      </c>
      <c r="T155">
        <v>0.02</v>
      </c>
      <c r="U155">
        <v>0.02</v>
      </c>
      <c r="V155">
        <v>2.5999999999999999E-2</v>
      </c>
      <c r="W155">
        <v>3.9</v>
      </c>
      <c r="X155">
        <v>3.9</v>
      </c>
      <c r="Y155">
        <v>11.2</v>
      </c>
    </row>
    <row r="156" spans="1:25" ht="60" customHeight="1" x14ac:dyDescent="0.25">
      <c r="A156"/>
      <c r="B156" t="s">
        <v>3743</v>
      </c>
      <c r="C156" t="s">
        <v>3745</v>
      </c>
      <c r="D156" t="s">
        <v>606</v>
      </c>
      <c r="E156" t="s">
        <v>1724</v>
      </c>
      <c r="F156" t="s">
        <v>1725</v>
      </c>
      <c r="G156" t="s">
        <v>1436</v>
      </c>
      <c r="H156" s="11">
        <v>18.809999999999999</v>
      </c>
      <c r="I156" s="10">
        <f>H156*(1-IFERROR(VLOOKUP(G156,Rabat!$C$9:$D$43,2,0),0))</f>
        <v>18.809999999999999</v>
      </c>
      <c r="J156" t="s">
        <v>1812</v>
      </c>
      <c r="K156" t="s">
        <v>123</v>
      </c>
      <c r="L156" t="s">
        <v>1813</v>
      </c>
      <c r="M156">
        <v>100</v>
      </c>
      <c r="N156">
        <v>3600</v>
      </c>
      <c r="O156" t="s">
        <v>1818</v>
      </c>
      <c r="P156" s="12" t="str">
        <f>HYPERLINK("https://b2b.kobi.pl/pl/product/9707,zarowka-led-sw-9w-e14-3000k-kobi-premium?currency=PLN")</f>
        <v>https://b2b.kobi.pl/pl/product/9707,zarowka-led-sw-9w-e14-3000k-kobi-premium?currency=PLN</v>
      </c>
      <c r="Q156" s="12" t="str">
        <f>HYPERLINK("https://eprel.ec.europa.eu/qr/660768")</f>
        <v>https://eprel.ec.europa.eu/qr/660768</v>
      </c>
      <c r="R156"/>
      <c r="S156" t="s">
        <v>2569</v>
      </c>
      <c r="T156">
        <v>0.04</v>
      </c>
      <c r="U156">
        <v>4.4999999999999998E-2</v>
      </c>
      <c r="V156">
        <v>6.3E-2</v>
      </c>
      <c r="W156">
        <v>4.5999999999999996</v>
      </c>
      <c r="X156">
        <v>4.5999999999999996</v>
      </c>
      <c r="Y156">
        <v>12.5</v>
      </c>
    </row>
    <row r="157" spans="1:25" ht="60" customHeight="1" x14ac:dyDescent="0.25">
      <c r="A157"/>
      <c r="B157" t="s">
        <v>3743</v>
      </c>
      <c r="C157" t="s">
        <v>3745</v>
      </c>
      <c r="D157" t="s">
        <v>606</v>
      </c>
      <c r="E157" t="s">
        <v>1726</v>
      </c>
      <c r="F157" t="s">
        <v>1727</v>
      </c>
      <c r="G157" t="s">
        <v>1436</v>
      </c>
      <c r="H157" s="11">
        <v>18.809999999999999</v>
      </c>
      <c r="I157" s="10">
        <f>H157*(1-IFERROR(VLOOKUP(G157,Rabat!$C$9:$D$43,2,0),0))</f>
        <v>18.809999999999999</v>
      </c>
      <c r="J157" t="s">
        <v>1812</v>
      </c>
      <c r="K157" t="s">
        <v>124</v>
      </c>
      <c r="L157" t="s">
        <v>1813</v>
      </c>
      <c r="M157">
        <v>100</v>
      </c>
      <c r="N157">
        <v>3600</v>
      </c>
      <c r="O157" t="s">
        <v>1818</v>
      </c>
      <c r="P157" s="12" t="str">
        <f>HYPERLINK("https://b2b.kobi.pl/pl/product/9708,zarowka-led-sw-9w-e14-4000k-kobi-premium?currency=PLN")</f>
        <v>https://b2b.kobi.pl/pl/product/9708,zarowka-led-sw-9w-e14-4000k-kobi-premium?currency=PLN</v>
      </c>
      <c r="Q157" s="12" t="str">
        <f>HYPERLINK("https://eprel.ec.europa.eu/qr/660769")</f>
        <v>https://eprel.ec.europa.eu/qr/660769</v>
      </c>
      <c r="R157"/>
      <c r="S157" t="s">
        <v>2569</v>
      </c>
      <c r="T157">
        <v>0.04</v>
      </c>
      <c r="U157">
        <v>4.4999999999999998E-2</v>
      </c>
      <c r="V157">
        <v>6.3E-2</v>
      </c>
      <c r="W157">
        <v>4.5</v>
      </c>
      <c r="X157">
        <v>4.7</v>
      </c>
      <c r="Y157">
        <v>12.5</v>
      </c>
    </row>
    <row r="158" spans="1:25" ht="60" customHeight="1" x14ac:dyDescent="0.25">
      <c r="A158"/>
      <c r="B158" t="s">
        <v>3743</v>
      </c>
      <c r="C158" t="s">
        <v>3745</v>
      </c>
      <c r="D158" t="s">
        <v>606</v>
      </c>
      <c r="E158" t="s">
        <v>1728</v>
      </c>
      <c r="F158" t="s">
        <v>1729</v>
      </c>
      <c r="G158" t="s">
        <v>1436</v>
      </c>
      <c r="H158" s="11">
        <v>18.809999999999999</v>
      </c>
      <c r="I158" s="10">
        <f>H158*(1-IFERROR(VLOOKUP(G158,Rabat!$C$9:$D$43,2,0),0))</f>
        <v>18.809999999999999</v>
      </c>
      <c r="J158" t="s">
        <v>1812</v>
      </c>
      <c r="K158" t="s">
        <v>125</v>
      </c>
      <c r="L158" t="s">
        <v>1813</v>
      </c>
      <c r="M158">
        <v>100</v>
      </c>
      <c r="N158">
        <v>3600</v>
      </c>
      <c r="O158" t="s">
        <v>1818</v>
      </c>
      <c r="P158" s="12" t="str">
        <f>HYPERLINK("https://b2b.kobi.pl/pl/product/9709,zarowka-led-sw-9w-e14-6000k-kobi-premium?currency=PLN")</f>
        <v>https://b2b.kobi.pl/pl/product/9709,zarowka-led-sw-9w-e14-6000k-kobi-premium?currency=PLN</v>
      </c>
      <c r="Q158" s="12" t="str">
        <f>HYPERLINK("https://eprel.ec.europa.eu/qr/660771")</f>
        <v>https://eprel.ec.europa.eu/qr/660771</v>
      </c>
      <c r="R158"/>
      <c r="S158" t="s">
        <v>2569</v>
      </c>
      <c r="T158">
        <v>0.04</v>
      </c>
      <c r="U158">
        <v>4.4999999999999998E-2</v>
      </c>
      <c r="V158">
        <v>6.3E-2</v>
      </c>
      <c r="W158">
        <v>5</v>
      </c>
      <c r="X158">
        <v>12.5</v>
      </c>
      <c r="Y158">
        <v>4.5</v>
      </c>
    </row>
    <row r="159" spans="1:25" ht="60" customHeight="1" x14ac:dyDescent="0.25">
      <c r="A159"/>
      <c r="B159" t="s">
        <v>3743</v>
      </c>
      <c r="C159" t="s">
        <v>3745</v>
      </c>
      <c r="D159" t="s">
        <v>606</v>
      </c>
      <c r="E159" t="s">
        <v>1730</v>
      </c>
      <c r="F159" t="s">
        <v>1731</v>
      </c>
      <c r="G159" t="s">
        <v>1436</v>
      </c>
      <c r="H159" s="11">
        <v>18.809999999999999</v>
      </c>
      <c r="I159" s="10">
        <f>H159*(1-IFERROR(VLOOKUP(G159,Rabat!$C$9:$D$43,2,0),0))</f>
        <v>18.809999999999999</v>
      </c>
      <c r="J159" t="s">
        <v>1816</v>
      </c>
      <c r="K159" t="s">
        <v>131</v>
      </c>
      <c r="L159" t="s">
        <v>1813</v>
      </c>
      <c r="M159">
        <v>100</v>
      </c>
      <c r="N159">
        <v>3600</v>
      </c>
      <c r="O159" t="s">
        <v>1818</v>
      </c>
      <c r="P159" s="12" t="str">
        <f>HYPERLINK("https://b2b.kobi.pl/pl/product/9714,zarowka-led-sw-9w-e27-3000k-kobi-premium?currency=PLN")</f>
        <v>https://b2b.kobi.pl/pl/product/9714,zarowka-led-sw-9w-e27-3000k-kobi-premium?currency=PLN</v>
      </c>
      <c r="Q159" s="12" t="str">
        <f>HYPERLINK("https://eprel.ec.europa.eu/qr/660788")</f>
        <v>https://eprel.ec.europa.eu/qr/660788</v>
      </c>
      <c r="R159"/>
      <c r="S159" t="s">
        <v>2569</v>
      </c>
      <c r="T159">
        <v>0.04</v>
      </c>
      <c r="U159">
        <v>0.05</v>
      </c>
      <c r="V159">
        <v>6.8000000000000005E-2</v>
      </c>
      <c r="W159">
        <v>5</v>
      </c>
      <c r="X159">
        <v>12.5</v>
      </c>
      <c r="Y159">
        <v>4.5</v>
      </c>
    </row>
    <row r="160" spans="1:25" ht="60" customHeight="1" x14ac:dyDescent="0.25">
      <c r="A160"/>
      <c r="B160" t="s">
        <v>3743</v>
      </c>
      <c r="C160" t="s">
        <v>3745</v>
      </c>
      <c r="D160" t="s">
        <v>606</v>
      </c>
      <c r="E160" t="s">
        <v>1732</v>
      </c>
      <c r="F160" t="s">
        <v>1733</v>
      </c>
      <c r="G160" t="s">
        <v>1436</v>
      </c>
      <c r="H160" s="11">
        <v>18.809999999999999</v>
      </c>
      <c r="I160" s="10">
        <f>H160*(1-IFERROR(VLOOKUP(G160,Rabat!$C$9:$D$43,2,0),0))</f>
        <v>18.809999999999999</v>
      </c>
      <c r="J160" t="s">
        <v>1816</v>
      </c>
      <c r="K160" t="s">
        <v>132</v>
      </c>
      <c r="L160" t="s">
        <v>1813</v>
      </c>
      <c r="M160">
        <v>100</v>
      </c>
      <c r="N160">
        <v>3600</v>
      </c>
      <c r="O160" t="s">
        <v>1818</v>
      </c>
      <c r="P160" s="12" t="str">
        <f>HYPERLINK("https://b2b.kobi.pl/pl/product/9715,zarowka-led-sw-9w-e27-4000k-kobi-premium?currency=PLN")</f>
        <v>https://b2b.kobi.pl/pl/product/9715,zarowka-led-sw-9w-e27-4000k-kobi-premium?currency=PLN</v>
      </c>
      <c r="Q160" s="12" t="str">
        <f>HYPERLINK("https://eprel.ec.europa.eu/qr/660791")</f>
        <v>https://eprel.ec.europa.eu/qr/660791</v>
      </c>
      <c r="R160"/>
      <c r="S160" t="s">
        <v>2569</v>
      </c>
      <c r="T160">
        <v>0.04</v>
      </c>
      <c r="U160">
        <v>0.05</v>
      </c>
      <c r="V160">
        <v>6.8000000000000005E-2</v>
      </c>
      <c r="W160">
        <v>5</v>
      </c>
      <c r="X160">
        <v>12.5</v>
      </c>
      <c r="Y160">
        <v>4.5</v>
      </c>
    </row>
    <row r="161" spans="1:25" ht="60" customHeight="1" x14ac:dyDescent="0.25">
      <c r="A161"/>
      <c r="B161" t="s">
        <v>3743</v>
      </c>
      <c r="C161" t="s">
        <v>3745</v>
      </c>
      <c r="D161" t="s">
        <v>606</v>
      </c>
      <c r="E161" t="s">
        <v>1734</v>
      </c>
      <c r="F161" t="s">
        <v>1735</v>
      </c>
      <c r="G161" t="s">
        <v>1436</v>
      </c>
      <c r="H161" s="11">
        <v>18.809999999999999</v>
      </c>
      <c r="I161" s="10">
        <f>H161*(1-IFERROR(VLOOKUP(G161,Rabat!$C$9:$D$43,2,0),0))</f>
        <v>18.809999999999999</v>
      </c>
      <c r="J161" t="s">
        <v>1816</v>
      </c>
      <c r="K161" t="s">
        <v>133</v>
      </c>
      <c r="L161" t="s">
        <v>1813</v>
      </c>
      <c r="M161">
        <v>100</v>
      </c>
      <c r="N161">
        <v>3600</v>
      </c>
      <c r="O161" t="s">
        <v>1818</v>
      </c>
      <c r="P161" s="12" t="str">
        <f>HYPERLINK("https://b2b.kobi.pl/pl/product/9716,zarowka-led-sw-9w-e27-6000k-kobi-premium?currency=PLN")</f>
        <v>https://b2b.kobi.pl/pl/product/9716,zarowka-led-sw-9w-e27-6000k-kobi-premium?currency=PLN</v>
      </c>
      <c r="Q161" s="12" t="str">
        <f>HYPERLINK("https://eprel.ec.europa.eu/qr/660792")</f>
        <v>https://eprel.ec.europa.eu/qr/660792</v>
      </c>
      <c r="R161"/>
      <c r="S161" t="s">
        <v>2569</v>
      </c>
      <c r="T161">
        <v>0.04</v>
      </c>
      <c r="U161">
        <v>0.05</v>
      </c>
      <c r="V161">
        <v>6.8000000000000005E-2</v>
      </c>
      <c r="W161">
        <v>5</v>
      </c>
      <c r="X161">
        <v>12.5</v>
      </c>
      <c r="Y161">
        <v>4.5</v>
      </c>
    </row>
    <row r="162" spans="1:25" ht="60" customHeight="1" x14ac:dyDescent="0.25">
      <c r="A162"/>
      <c r="B162" t="s">
        <v>3743</v>
      </c>
      <c r="C162" t="s">
        <v>3745</v>
      </c>
      <c r="D162" t="s">
        <v>606</v>
      </c>
      <c r="E162" t="s">
        <v>3230</v>
      </c>
      <c r="F162" t="s">
        <v>3231</v>
      </c>
      <c r="G162" t="s">
        <v>1436</v>
      </c>
      <c r="H162" s="11">
        <v>21.43</v>
      </c>
      <c r="I162" s="10">
        <f>H162*(1-IFERROR(VLOOKUP(G162,Rabat!$C$9:$D$43,2,0),0))</f>
        <v>21.43</v>
      </c>
      <c r="J162" t="s">
        <v>1817</v>
      </c>
      <c r="K162" t="s">
        <v>3255</v>
      </c>
      <c r="L162" t="s">
        <v>1813</v>
      </c>
      <c r="M162">
        <v>100</v>
      </c>
      <c r="N162">
        <v>3600</v>
      </c>
      <c r="O162" t="s">
        <v>1818</v>
      </c>
      <c r="P162" s="12" t="str">
        <f>HYPERLINK("https://b2b.kobi.pl/pl/product/12905,zarowka-led-sw-8-5w-e14-3000k-kobi-premium?currency=PLN")</f>
        <v>https://b2b.kobi.pl/pl/product/12905,zarowka-led-sw-8-5w-e14-3000k-kobi-premium?currency=PLN</v>
      </c>
      <c r="Q162" s="12" t="str">
        <f>HYPERLINK("https://eprel.ec.europa.eu/qr/2419929")</f>
        <v>https://eprel.ec.europa.eu/qr/2419929</v>
      </c>
      <c r="R162"/>
      <c r="S162" t="s">
        <v>2569</v>
      </c>
      <c r="T162">
        <v>0.04</v>
      </c>
      <c r="U162">
        <v>0.05</v>
      </c>
      <c r="V162">
        <v>6.5000000000000002E-2</v>
      </c>
      <c r="W162">
        <v>4.7</v>
      </c>
      <c r="X162">
        <v>4.7</v>
      </c>
      <c r="Y162">
        <v>12.5</v>
      </c>
    </row>
    <row r="163" spans="1:25" ht="60" customHeight="1" x14ac:dyDescent="0.25">
      <c r="A163"/>
      <c r="B163" t="s">
        <v>3743</v>
      </c>
      <c r="C163" t="s">
        <v>3745</v>
      </c>
      <c r="D163" t="s">
        <v>618</v>
      </c>
      <c r="E163" t="s">
        <v>2734</v>
      </c>
      <c r="F163" t="s">
        <v>1488</v>
      </c>
      <c r="G163" t="s">
        <v>1436</v>
      </c>
      <c r="H163" s="11">
        <v>8.75</v>
      </c>
      <c r="I163" s="10">
        <f>H163*(1-IFERROR(VLOOKUP(G163,Rabat!$C$9:$D$43,2,0),0))</f>
        <v>8.75</v>
      </c>
      <c r="J163" t="s">
        <v>1812</v>
      </c>
      <c r="K163" t="s">
        <v>24</v>
      </c>
      <c r="L163" t="s">
        <v>1813</v>
      </c>
      <c r="M163">
        <v>100</v>
      </c>
      <c r="N163">
        <v>2500</v>
      </c>
      <c r="O163" t="s">
        <v>1818</v>
      </c>
      <c r="P163" s="12" t="str">
        <f>HYPERLINK("https://b2b.kobi.pl/pl/product/9475,zarowka-filamentowa-led-fgs-7w-e27-3000k-kobi-360-line?currency=PLN")</f>
        <v>https://b2b.kobi.pl/pl/product/9475,zarowka-filamentowa-led-fgs-7w-e27-3000k-kobi-360-line?currency=PLN</v>
      </c>
      <c r="Q163" s="12" t="str">
        <f>HYPERLINK("https://eprel.ec.europa.eu/qr/659645")</f>
        <v>https://eprel.ec.europa.eu/qr/659645</v>
      </c>
      <c r="R163"/>
      <c r="S163" t="s">
        <v>2569</v>
      </c>
      <c r="T163">
        <v>0.03</v>
      </c>
      <c r="U163">
        <v>0.03</v>
      </c>
      <c r="V163">
        <v>4.4999999999999998E-2</v>
      </c>
      <c r="W163">
        <v>6.2</v>
      </c>
      <c r="X163">
        <v>6.2</v>
      </c>
      <c r="Y163">
        <v>11.5</v>
      </c>
    </row>
    <row r="164" spans="1:25" ht="60" customHeight="1" x14ac:dyDescent="0.25">
      <c r="A164"/>
      <c r="B164" t="s">
        <v>3743</v>
      </c>
      <c r="C164" t="s">
        <v>3745</v>
      </c>
      <c r="D164" t="s">
        <v>606</v>
      </c>
      <c r="E164" t="s">
        <v>3232</v>
      </c>
      <c r="F164" t="s">
        <v>3233</v>
      </c>
      <c r="G164" t="s">
        <v>1436</v>
      </c>
      <c r="H164" s="11">
        <v>21.43</v>
      </c>
      <c r="I164" s="10">
        <f>H164*(1-IFERROR(VLOOKUP(G164,Rabat!$C$9:$D$43,2,0),0))</f>
        <v>21.43</v>
      </c>
      <c r="J164" t="s">
        <v>1817</v>
      </c>
      <c r="K164" t="s">
        <v>3256</v>
      </c>
      <c r="L164" t="s">
        <v>1813</v>
      </c>
      <c r="M164">
        <v>100</v>
      </c>
      <c r="N164">
        <v>3600</v>
      </c>
      <c r="O164" t="s">
        <v>1818</v>
      </c>
      <c r="P164" s="12" t="str">
        <f>HYPERLINK("https://b2b.kobi.pl/pl/product/12906,zarowka-led-sw-8-5w-e14-4000k-kobi-premium?currency=PLN")</f>
        <v>https://b2b.kobi.pl/pl/product/12906,zarowka-led-sw-8-5w-e14-4000k-kobi-premium?currency=PLN</v>
      </c>
      <c r="Q164" s="12" t="str">
        <f>HYPERLINK("https://eprel.ec.europa.eu/qr/2420007")</f>
        <v>https://eprel.ec.europa.eu/qr/2420007</v>
      </c>
      <c r="R164"/>
      <c r="S164" t="s">
        <v>2569</v>
      </c>
      <c r="T164">
        <v>0.04</v>
      </c>
      <c r="U164">
        <v>0.05</v>
      </c>
      <c r="V164">
        <v>6.5000000000000002E-2</v>
      </c>
      <c r="W164">
        <v>4.7</v>
      </c>
      <c r="X164">
        <v>4.7</v>
      </c>
      <c r="Y164">
        <v>12.5</v>
      </c>
    </row>
    <row r="165" spans="1:25" ht="60" customHeight="1" x14ac:dyDescent="0.25">
      <c r="A165"/>
      <c r="B165" t="s">
        <v>3743</v>
      </c>
      <c r="C165" t="s">
        <v>3745</v>
      </c>
      <c r="D165" t="s">
        <v>618</v>
      </c>
      <c r="E165" t="s">
        <v>2735</v>
      </c>
      <c r="F165" t="s">
        <v>1489</v>
      </c>
      <c r="G165" t="s">
        <v>1436</v>
      </c>
      <c r="H165" s="11">
        <v>8.75</v>
      </c>
      <c r="I165" s="10">
        <f>H165*(1-IFERROR(VLOOKUP(G165,Rabat!$C$9:$D$43,2,0),0))</f>
        <v>8.75</v>
      </c>
      <c r="J165" t="s">
        <v>1812</v>
      </c>
      <c r="K165" t="s">
        <v>25</v>
      </c>
      <c r="L165" t="s">
        <v>1813</v>
      </c>
      <c r="M165">
        <v>100</v>
      </c>
      <c r="N165">
        <v>2500</v>
      </c>
      <c r="O165" t="s">
        <v>1818</v>
      </c>
      <c r="P165" s="12" t="str">
        <f>HYPERLINK("https://b2b.kobi.pl/pl/product/9476,zarowka-filamentowa-led-fgs-7w-e27-4000k-kobi-360-line?currency=PLN")</f>
        <v>https://b2b.kobi.pl/pl/product/9476,zarowka-filamentowa-led-fgs-7w-e27-4000k-kobi-360-line?currency=PLN</v>
      </c>
      <c r="Q165" s="12" t="str">
        <f>HYPERLINK("https://eprel.ec.europa.eu/qr/659651")</f>
        <v>https://eprel.ec.europa.eu/qr/659651</v>
      </c>
      <c r="R165"/>
      <c r="S165" t="s">
        <v>2569</v>
      </c>
      <c r="T165">
        <v>0.03</v>
      </c>
      <c r="U165">
        <v>0.03</v>
      </c>
      <c r="V165">
        <v>4.4999999999999998E-2</v>
      </c>
      <c r="W165">
        <v>6.2</v>
      </c>
      <c r="X165">
        <v>6.2</v>
      </c>
      <c r="Y165">
        <v>11.5</v>
      </c>
    </row>
    <row r="166" spans="1:25" ht="60" customHeight="1" x14ac:dyDescent="0.25">
      <c r="A166"/>
      <c r="B166" t="s">
        <v>3743</v>
      </c>
      <c r="C166" t="s">
        <v>3745</v>
      </c>
      <c r="D166" t="s">
        <v>618</v>
      </c>
      <c r="E166" t="s">
        <v>2736</v>
      </c>
      <c r="F166" t="s">
        <v>2267</v>
      </c>
      <c r="G166" t="s">
        <v>1436</v>
      </c>
      <c r="H166" s="11">
        <v>9.69</v>
      </c>
      <c r="I166" s="10">
        <f>H166*(1-IFERROR(VLOOKUP(G166,Rabat!$C$9:$D$43,2,0),0))</f>
        <v>9.69</v>
      </c>
      <c r="J166" t="s">
        <v>1812</v>
      </c>
      <c r="K166" t="s">
        <v>2273</v>
      </c>
      <c r="L166" t="s">
        <v>1813</v>
      </c>
      <c r="M166">
        <v>100</v>
      </c>
      <c r="N166">
        <v>2500</v>
      </c>
      <c r="O166" t="s">
        <v>1818</v>
      </c>
      <c r="P166" s="12" t="str">
        <f>HYPERLINK("https://b2b.kobi.pl/pl/product/12526,zarowka-filamentowa-led-fgs-7w-e27-3000k-mleczna-kobi-360-line?currency=PLN")</f>
        <v>https://b2b.kobi.pl/pl/product/12526,zarowka-filamentowa-led-fgs-7w-e27-3000k-mleczna-kobi-360-line?currency=PLN</v>
      </c>
      <c r="Q166" s="12" t="str">
        <f>HYPERLINK("https://eprel.ec.europa.eu/qr/2264665")</f>
        <v>https://eprel.ec.europa.eu/qr/2264665</v>
      </c>
      <c r="R166"/>
      <c r="S166" t="s">
        <v>2569</v>
      </c>
      <c r="T166">
        <v>0.02</v>
      </c>
      <c r="U166">
        <v>1.83E-2</v>
      </c>
      <c r="V166">
        <v>2.7E-2</v>
      </c>
      <c r="W166">
        <v>6.2</v>
      </c>
      <c r="X166">
        <v>6.2</v>
      </c>
      <c r="Y166">
        <v>11.8</v>
      </c>
    </row>
    <row r="167" spans="1:25" ht="60" customHeight="1" x14ac:dyDescent="0.25">
      <c r="A167"/>
      <c r="B167" t="s">
        <v>3743</v>
      </c>
      <c r="C167" t="s">
        <v>3745</v>
      </c>
      <c r="D167" t="s">
        <v>618</v>
      </c>
      <c r="E167" t="s">
        <v>2737</v>
      </c>
      <c r="F167" t="s">
        <v>2268</v>
      </c>
      <c r="G167" t="s">
        <v>1436</v>
      </c>
      <c r="H167" s="11">
        <v>9.69</v>
      </c>
      <c r="I167" s="10">
        <f>H167*(1-IFERROR(VLOOKUP(G167,Rabat!$C$9:$D$43,2,0),0))</f>
        <v>9.69</v>
      </c>
      <c r="J167" t="s">
        <v>1812</v>
      </c>
      <c r="K167" t="s">
        <v>2274</v>
      </c>
      <c r="L167" t="s">
        <v>1813</v>
      </c>
      <c r="M167">
        <v>100</v>
      </c>
      <c r="N167">
        <v>2500</v>
      </c>
      <c r="O167" t="s">
        <v>1818</v>
      </c>
      <c r="P167" s="12" t="str">
        <f>HYPERLINK("https://b2b.kobi.pl/pl/product/12527,zarowka-filamentowa-led-fgs-7w-e27-4000k-mleczna-kobi-360-line?currency=PLN")</f>
        <v>https://b2b.kobi.pl/pl/product/12527,zarowka-filamentowa-led-fgs-7w-e27-4000k-mleczna-kobi-360-line?currency=PLN</v>
      </c>
      <c r="Q167" s="12" t="str">
        <f>HYPERLINK("https://eprel.ec.europa.eu/qr/2265372")</f>
        <v>https://eprel.ec.europa.eu/qr/2265372</v>
      </c>
      <c r="R167"/>
      <c r="S167" t="s">
        <v>2569</v>
      </c>
      <c r="T167">
        <v>0.02</v>
      </c>
      <c r="U167">
        <v>1.83E-2</v>
      </c>
      <c r="V167">
        <v>2.7E-2</v>
      </c>
      <c r="W167">
        <v>6.2</v>
      </c>
      <c r="X167">
        <v>6.2</v>
      </c>
      <c r="Y167">
        <v>11.8</v>
      </c>
    </row>
    <row r="168" spans="1:25" ht="60" customHeight="1" x14ac:dyDescent="0.25">
      <c r="A168"/>
      <c r="B168" t="s">
        <v>3743</v>
      </c>
      <c r="C168" t="s">
        <v>3745</v>
      </c>
      <c r="D168" t="s">
        <v>618</v>
      </c>
      <c r="E168" t="s">
        <v>2738</v>
      </c>
      <c r="F168" t="s">
        <v>2269</v>
      </c>
      <c r="G168" t="s">
        <v>1436</v>
      </c>
      <c r="H168" s="11">
        <v>11.88</v>
      </c>
      <c r="I168" s="10">
        <f>H168*(1-IFERROR(VLOOKUP(G168,Rabat!$C$9:$D$43,2,0),0))</f>
        <v>11.88</v>
      </c>
      <c r="J168" t="s">
        <v>1812</v>
      </c>
      <c r="K168" t="s">
        <v>2275</v>
      </c>
      <c r="L168" t="s">
        <v>1813</v>
      </c>
      <c r="M168">
        <v>100</v>
      </c>
      <c r="N168">
        <v>2500</v>
      </c>
      <c r="O168" t="s">
        <v>1818</v>
      </c>
      <c r="P168" s="12" t="str">
        <f>HYPERLINK("https://b2b.kobi.pl/pl/product/12524,zarowka-filamentowa-led-fgs-10w-e27-3000k-kobi-360-line?currency=PLN")</f>
        <v>https://b2b.kobi.pl/pl/product/12524,zarowka-filamentowa-led-fgs-10w-e27-3000k-kobi-360-line?currency=PLN</v>
      </c>
      <c r="Q168" s="12" t="str">
        <f>HYPERLINK("https://eprel.ec.europa.eu/qr/2265500")</f>
        <v>https://eprel.ec.europa.eu/qr/2265500</v>
      </c>
      <c r="R168"/>
      <c r="S168" t="s">
        <v>2569</v>
      </c>
      <c r="T168">
        <v>0.02</v>
      </c>
      <c r="U168">
        <v>1.83E-2</v>
      </c>
      <c r="V168">
        <v>0.03</v>
      </c>
      <c r="W168">
        <v>6.2</v>
      </c>
      <c r="X168">
        <v>6.2</v>
      </c>
      <c r="Y168">
        <v>11.8</v>
      </c>
    </row>
    <row r="169" spans="1:25" ht="60" customHeight="1" x14ac:dyDescent="0.25">
      <c r="A169"/>
      <c r="B169" t="s">
        <v>3743</v>
      </c>
      <c r="C169" t="s">
        <v>3745</v>
      </c>
      <c r="D169" t="s">
        <v>618</v>
      </c>
      <c r="E169" t="s">
        <v>2739</v>
      </c>
      <c r="F169" t="s">
        <v>2270</v>
      </c>
      <c r="G169" t="s">
        <v>1436</v>
      </c>
      <c r="H169" s="11">
        <v>11.88</v>
      </c>
      <c r="I169" s="10">
        <f>H169*(1-IFERROR(VLOOKUP(G169,Rabat!$C$9:$D$43,2,0),0))</f>
        <v>11.88</v>
      </c>
      <c r="J169" t="s">
        <v>1812</v>
      </c>
      <c r="K169" t="s">
        <v>2276</v>
      </c>
      <c r="L169" t="s">
        <v>1813</v>
      </c>
      <c r="M169">
        <v>100</v>
      </c>
      <c r="N169">
        <v>2500</v>
      </c>
      <c r="O169" t="s">
        <v>1818</v>
      </c>
      <c r="P169" s="12" t="str">
        <f>HYPERLINK("https://b2b.kobi.pl/pl/product/12525,zarowka-filamentowa-led-fgs-10w-e27-4000k-kobi-360-line?currency=PLN")</f>
        <v>https://b2b.kobi.pl/pl/product/12525,zarowka-filamentowa-led-fgs-10w-e27-4000k-kobi-360-line?currency=PLN</v>
      </c>
      <c r="Q169" s="12" t="str">
        <f>HYPERLINK("https://eprel.ec.europa.eu/qr/2265506")</f>
        <v>https://eprel.ec.europa.eu/qr/2265506</v>
      </c>
      <c r="R169"/>
      <c r="S169" t="s">
        <v>2569</v>
      </c>
      <c r="T169">
        <v>0.02</v>
      </c>
      <c r="U169">
        <v>1.83E-2</v>
      </c>
      <c r="V169">
        <v>0.03</v>
      </c>
      <c r="W169">
        <v>6.2</v>
      </c>
      <c r="X169">
        <v>6.2</v>
      </c>
      <c r="Y169">
        <v>11.8</v>
      </c>
    </row>
    <row r="170" spans="1:25" ht="60" customHeight="1" x14ac:dyDescent="0.25">
      <c r="A170"/>
      <c r="B170" t="s">
        <v>3743</v>
      </c>
      <c r="C170" t="s">
        <v>3745</v>
      </c>
      <c r="D170" t="s">
        <v>618</v>
      </c>
      <c r="E170" t="s">
        <v>3472</v>
      </c>
      <c r="F170" t="s">
        <v>3473</v>
      </c>
      <c r="G170" t="s">
        <v>1436</v>
      </c>
      <c r="H170" s="11">
        <v>12.81</v>
      </c>
      <c r="I170" s="10">
        <f>H170*(1-IFERROR(VLOOKUP(G170,Rabat!$C$9:$D$43,2,0),0))</f>
        <v>12.81</v>
      </c>
      <c r="J170" t="s">
        <v>1812</v>
      </c>
      <c r="K170" t="s">
        <v>3513</v>
      </c>
      <c r="L170" t="s">
        <v>1813</v>
      </c>
      <c r="M170">
        <v>100</v>
      </c>
      <c r="N170">
        <v>2500</v>
      </c>
      <c r="O170" t="s">
        <v>1818</v>
      </c>
      <c r="P170" s="12" t="str">
        <f>HYPERLINK("https://b2b.kobi.pl/pl/product/13077,zarowka-filamentowa-led-fgs-10w-e27-3000k-mleczna-kobi?currency=PLN")</f>
        <v>https://b2b.kobi.pl/pl/product/13077,zarowka-filamentowa-led-fgs-10w-e27-3000k-mleczna-kobi?currency=PLN</v>
      </c>
      <c r="Q170" s="12" t="str">
        <f>HYPERLINK("https://eprel.ec.europa.eu/qr/2478702")</f>
        <v>https://eprel.ec.europa.eu/qr/2478702</v>
      </c>
      <c r="R170"/>
      <c r="S170" t="s">
        <v>2569</v>
      </c>
      <c r="T170">
        <v>0.02</v>
      </c>
      <c r="U170">
        <v>1.83E-2</v>
      </c>
      <c r="V170">
        <v>0.03</v>
      </c>
      <c r="W170">
        <v>6.2</v>
      </c>
      <c r="X170">
        <v>6.2</v>
      </c>
      <c r="Y170">
        <v>11.8</v>
      </c>
    </row>
    <row r="171" spans="1:25" ht="60" customHeight="1" x14ac:dyDescent="0.25">
      <c r="A171"/>
      <c r="B171" t="s">
        <v>3743</v>
      </c>
      <c r="C171" t="s">
        <v>3745</v>
      </c>
      <c r="D171" t="s">
        <v>618</v>
      </c>
      <c r="E171" t="s">
        <v>3474</v>
      </c>
      <c r="F171" t="s">
        <v>3475</v>
      </c>
      <c r="G171" t="s">
        <v>1436</v>
      </c>
      <c r="H171" s="11">
        <v>12.81</v>
      </c>
      <c r="I171" s="10">
        <f>H171*(1-IFERROR(VLOOKUP(G171,Rabat!$C$9:$D$43,2,0),0))</f>
        <v>12.81</v>
      </c>
      <c r="J171" t="s">
        <v>1812</v>
      </c>
      <c r="K171" t="s">
        <v>3514</v>
      </c>
      <c r="L171" t="s">
        <v>1813</v>
      </c>
      <c r="M171">
        <v>100</v>
      </c>
      <c r="N171">
        <v>2500</v>
      </c>
      <c r="O171" t="s">
        <v>1818</v>
      </c>
      <c r="P171" s="12" t="str">
        <f>HYPERLINK("https://b2b.kobi.pl/pl/product/13078,zarowka-filamentowa-led-fgs-10w-e27-4000k-mleczna-kobi?currency=PLN")</f>
        <v>https://b2b.kobi.pl/pl/product/13078,zarowka-filamentowa-led-fgs-10w-e27-4000k-mleczna-kobi?currency=PLN</v>
      </c>
      <c r="Q171" s="12" t="str">
        <f>HYPERLINK("https://eprel.ec.europa.eu/qr/2478735")</f>
        <v>https://eprel.ec.europa.eu/qr/2478735</v>
      </c>
      <c r="R171"/>
      <c r="S171" t="s">
        <v>2569</v>
      </c>
      <c r="T171">
        <v>0.02</v>
      </c>
      <c r="U171">
        <v>1.83E-2</v>
      </c>
      <c r="V171">
        <v>0.03</v>
      </c>
      <c r="W171">
        <v>6.2</v>
      </c>
      <c r="X171">
        <v>6.2</v>
      </c>
      <c r="Y171">
        <v>11.8</v>
      </c>
    </row>
    <row r="172" spans="1:25" ht="60" customHeight="1" x14ac:dyDescent="0.25">
      <c r="A172"/>
      <c r="B172" t="s">
        <v>3743</v>
      </c>
      <c r="C172" t="s">
        <v>3745</v>
      </c>
      <c r="D172" t="s">
        <v>606</v>
      </c>
      <c r="E172" t="s">
        <v>3234</v>
      </c>
      <c r="F172" t="s">
        <v>3235</v>
      </c>
      <c r="G172" t="s">
        <v>1436</v>
      </c>
      <c r="H172" s="11">
        <v>21.43</v>
      </c>
      <c r="I172" s="10">
        <f>H172*(1-IFERROR(VLOOKUP(G172,Rabat!$C$9:$D$43,2,0),0))</f>
        <v>21.43</v>
      </c>
      <c r="J172" t="s">
        <v>1817</v>
      </c>
      <c r="K172" t="s">
        <v>3257</v>
      </c>
      <c r="L172" t="s">
        <v>1813</v>
      </c>
      <c r="M172">
        <v>100</v>
      </c>
      <c r="N172">
        <v>3600</v>
      </c>
      <c r="O172" t="s">
        <v>1818</v>
      </c>
      <c r="P172" s="12" t="str">
        <f>HYPERLINK("https://b2b.kobi.pl/pl/product/12907,zarowka-led-sw-8-5w-e14-6000k-kobi-premium?currency=PLN")</f>
        <v>https://b2b.kobi.pl/pl/product/12907,zarowka-led-sw-8-5w-e14-6000k-kobi-premium?currency=PLN</v>
      </c>
      <c r="Q172" s="12" t="str">
        <f>HYPERLINK("https://eprel.ec.europa.eu/qr/2420015")</f>
        <v>https://eprel.ec.europa.eu/qr/2420015</v>
      </c>
      <c r="R172"/>
      <c r="S172" t="s">
        <v>2569</v>
      </c>
      <c r="T172">
        <v>0.04</v>
      </c>
      <c r="U172">
        <v>0.05</v>
      </c>
      <c r="V172">
        <v>6.5000000000000002E-2</v>
      </c>
      <c r="W172">
        <v>4.7</v>
      </c>
      <c r="X172">
        <v>4.7</v>
      </c>
      <c r="Y172">
        <v>12.5</v>
      </c>
    </row>
    <row r="173" spans="1:25" ht="60" customHeight="1" x14ac:dyDescent="0.25">
      <c r="A173"/>
      <c r="B173" t="s">
        <v>3743</v>
      </c>
      <c r="C173" t="s">
        <v>3745</v>
      </c>
      <c r="D173" t="s">
        <v>618</v>
      </c>
      <c r="E173" t="s">
        <v>2740</v>
      </c>
      <c r="F173" t="s">
        <v>2266</v>
      </c>
      <c r="G173" t="s">
        <v>1436</v>
      </c>
      <c r="H173" s="11">
        <v>13.96</v>
      </c>
      <c r="I173" s="10">
        <f>H173*(1-IFERROR(VLOOKUP(G173,Rabat!$C$9:$D$43,2,0),0))</f>
        <v>13.96</v>
      </c>
      <c r="J173" t="s">
        <v>1812</v>
      </c>
      <c r="K173" t="s">
        <v>2272</v>
      </c>
      <c r="L173" t="s">
        <v>1813</v>
      </c>
      <c r="M173">
        <v>100</v>
      </c>
      <c r="N173">
        <v>2500</v>
      </c>
      <c r="O173" t="s">
        <v>1818</v>
      </c>
      <c r="P173" s="12" t="str">
        <f>HYPERLINK("https://b2b.kobi.pl/pl/product/12529,zarowka-filamentowa-led-fgs-12w-e27-3000k-kobi-360-line?currency=PLN")</f>
        <v>https://b2b.kobi.pl/pl/product/12529,zarowka-filamentowa-led-fgs-12w-e27-3000k-kobi-360-line?currency=PLN</v>
      </c>
      <c r="Q173" s="12" t="str">
        <f>HYPERLINK("https://eprel.ec.europa.eu/qr/2265512")</f>
        <v>https://eprel.ec.europa.eu/qr/2265512</v>
      </c>
      <c r="R173"/>
      <c r="S173" t="s">
        <v>2569</v>
      </c>
      <c r="T173">
        <v>0.02</v>
      </c>
      <c r="U173">
        <v>1.83E-2</v>
      </c>
      <c r="V173">
        <v>3.2000000000000001E-2</v>
      </c>
      <c r="W173">
        <v>6.2</v>
      </c>
      <c r="X173">
        <v>6.2</v>
      </c>
      <c r="Y173">
        <v>11.8</v>
      </c>
    </row>
    <row r="174" spans="1:25" ht="60" customHeight="1" x14ac:dyDescent="0.25">
      <c r="A174"/>
      <c r="B174" t="s">
        <v>3743</v>
      </c>
      <c r="C174" t="s">
        <v>3745</v>
      </c>
      <c r="D174" t="s">
        <v>606</v>
      </c>
      <c r="E174" t="s">
        <v>3236</v>
      </c>
      <c r="F174" t="s">
        <v>3237</v>
      </c>
      <c r="G174" t="s">
        <v>1436</v>
      </c>
      <c r="H174" s="11">
        <v>21.43</v>
      </c>
      <c r="I174" s="10">
        <f>H174*(1-IFERROR(VLOOKUP(G174,Rabat!$C$9:$D$43,2,0),0))</f>
        <v>21.43</v>
      </c>
      <c r="J174" t="s">
        <v>1817</v>
      </c>
      <c r="K174" t="s">
        <v>3258</v>
      </c>
      <c r="L174" t="s">
        <v>1813</v>
      </c>
      <c r="M174">
        <v>100</v>
      </c>
      <c r="N174">
        <v>3600</v>
      </c>
      <c r="O174" t="s">
        <v>1818</v>
      </c>
      <c r="P174" s="12" t="str">
        <f>HYPERLINK("https://b2b.kobi.pl/pl/product/12911,zarowka-led-sw-8-5w-e27-3000k-kobi-premium?currency=PLN")</f>
        <v>https://b2b.kobi.pl/pl/product/12911,zarowka-led-sw-8-5w-e27-3000k-kobi-premium?currency=PLN</v>
      </c>
      <c r="Q174" s="12" t="str">
        <f>HYPERLINK("https://eprel.ec.europa.eu/qr/2420024")</f>
        <v>https://eprel.ec.europa.eu/qr/2420024</v>
      </c>
      <c r="R174"/>
      <c r="S174" t="s">
        <v>2569</v>
      </c>
      <c r="T174">
        <v>0.04</v>
      </c>
      <c r="U174">
        <v>0.05</v>
      </c>
      <c r="V174">
        <v>6.5000000000000002E-2</v>
      </c>
      <c r="W174">
        <v>4.7</v>
      </c>
      <c r="X174">
        <v>4.7</v>
      </c>
      <c r="Y174">
        <v>12.5</v>
      </c>
    </row>
    <row r="175" spans="1:25" ht="60" customHeight="1" x14ac:dyDescent="0.25">
      <c r="A175"/>
      <c r="B175" t="s">
        <v>3743</v>
      </c>
      <c r="C175" t="s">
        <v>3745</v>
      </c>
      <c r="D175" t="s">
        <v>618</v>
      </c>
      <c r="E175" t="s">
        <v>2741</v>
      </c>
      <c r="F175" t="s">
        <v>2199</v>
      </c>
      <c r="G175" t="s">
        <v>1436</v>
      </c>
      <c r="H175" s="11">
        <v>13.96</v>
      </c>
      <c r="I175" s="10">
        <f>H175*(1-IFERROR(VLOOKUP(G175,Rabat!$C$9:$D$43,2,0),0))</f>
        <v>13.96</v>
      </c>
      <c r="J175" t="s">
        <v>1812</v>
      </c>
      <c r="K175" t="s">
        <v>2243</v>
      </c>
      <c r="L175" t="s">
        <v>1813</v>
      </c>
      <c r="M175">
        <v>100</v>
      </c>
      <c r="N175">
        <v>2500</v>
      </c>
      <c r="O175" t="s">
        <v>1818</v>
      </c>
      <c r="P175" s="12" t="str">
        <f>HYPERLINK("https://b2b.kobi.pl/pl/product/12528,zarowka-filamentowa-led-fgs-12w-e27-4000k-kobi-360-line?currency=PLN")</f>
        <v>https://b2b.kobi.pl/pl/product/12528,zarowka-filamentowa-led-fgs-12w-e27-4000k-kobi-360-line?currency=PLN</v>
      </c>
      <c r="Q175" s="12" t="str">
        <f>HYPERLINK("https://eprel.ec.europa.eu/qr/2266466")</f>
        <v>https://eprel.ec.europa.eu/qr/2266466</v>
      </c>
      <c r="R175"/>
      <c r="S175" t="s">
        <v>2569</v>
      </c>
      <c r="T175">
        <v>0.02</v>
      </c>
      <c r="U175">
        <v>1.83E-2</v>
      </c>
      <c r="V175">
        <v>3.2000000000000001E-2</v>
      </c>
      <c r="W175">
        <v>6.2</v>
      </c>
      <c r="X175">
        <v>6.2</v>
      </c>
      <c r="Y175">
        <v>11.8</v>
      </c>
    </row>
    <row r="176" spans="1:25" ht="60" customHeight="1" x14ac:dyDescent="0.25">
      <c r="A176"/>
      <c r="B176" t="s">
        <v>3743</v>
      </c>
      <c r="C176" t="s">
        <v>3745</v>
      </c>
      <c r="D176" t="s">
        <v>606</v>
      </c>
      <c r="E176" t="s">
        <v>3238</v>
      </c>
      <c r="F176" t="s">
        <v>3239</v>
      </c>
      <c r="G176" t="s">
        <v>1436</v>
      </c>
      <c r="H176" s="11">
        <v>21.43</v>
      </c>
      <c r="I176" s="10">
        <f>H176*(1-IFERROR(VLOOKUP(G176,Rabat!$C$9:$D$43,2,0),0))</f>
        <v>21.43</v>
      </c>
      <c r="J176" t="s">
        <v>1817</v>
      </c>
      <c r="K176" t="s">
        <v>3259</v>
      </c>
      <c r="L176" t="s">
        <v>1813</v>
      </c>
      <c r="M176">
        <v>100</v>
      </c>
      <c r="N176">
        <v>3600</v>
      </c>
      <c r="O176" t="s">
        <v>1818</v>
      </c>
      <c r="P176" s="12" t="str">
        <f>HYPERLINK("https://b2b.kobi.pl/pl/product/12912,zarowka-led-sw-8-5w-e27-4000k-kobi-premium?currency=PLN")</f>
        <v>https://b2b.kobi.pl/pl/product/12912,zarowka-led-sw-8-5w-e27-4000k-kobi-premium?currency=PLN</v>
      </c>
      <c r="Q176" s="12" t="str">
        <f>HYPERLINK("https://eprel.ec.europa.eu/qr/2420041")</f>
        <v>https://eprel.ec.europa.eu/qr/2420041</v>
      </c>
      <c r="R176"/>
      <c r="S176" t="s">
        <v>2569</v>
      </c>
      <c r="T176">
        <v>0.04</v>
      </c>
      <c r="U176">
        <v>0.05</v>
      </c>
      <c r="V176">
        <v>6.5000000000000002E-2</v>
      </c>
      <c r="W176">
        <v>4.7</v>
      </c>
      <c r="X176">
        <v>4.7</v>
      </c>
      <c r="Y176">
        <v>12.5</v>
      </c>
    </row>
    <row r="177" spans="1:25" ht="60" customHeight="1" x14ac:dyDescent="0.25">
      <c r="A177"/>
      <c r="B177" t="s">
        <v>3743</v>
      </c>
      <c r="C177" t="s">
        <v>3745</v>
      </c>
      <c r="D177" t="s">
        <v>618</v>
      </c>
      <c r="E177" t="s">
        <v>2742</v>
      </c>
      <c r="F177" t="s">
        <v>1487</v>
      </c>
      <c r="G177" t="s">
        <v>1436</v>
      </c>
      <c r="H177" s="11">
        <v>6.88</v>
      </c>
      <c r="I177" s="10">
        <f>H177*(1-IFERROR(VLOOKUP(G177,Rabat!$C$9:$D$43,2,0),0))</f>
        <v>6.88</v>
      </c>
      <c r="J177" t="s">
        <v>1812</v>
      </c>
      <c r="K177" t="s">
        <v>21</v>
      </c>
      <c r="L177" t="s">
        <v>1813</v>
      </c>
      <c r="M177">
        <v>100</v>
      </c>
      <c r="N177">
        <v>6000</v>
      </c>
      <c r="O177" t="s">
        <v>1818</v>
      </c>
      <c r="P177" s="12" t="str">
        <f>HYPERLINK("https://b2b.kobi.pl/pl/product/9471,zarowka-filamentowa-led-fde-4w-e14-3000k-kobi-360-line?currency=PLN")</f>
        <v>https://b2b.kobi.pl/pl/product/9471,zarowka-filamentowa-led-fde-4w-e14-3000k-kobi-360-line?currency=PLN</v>
      </c>
      <c r="Q177" s="12" t="str">
        <f>HYPERLINK("https://eprel.ec.europa.eu/qr/659618")</f>
        <v>https://eprel.ec.europa.eu/qr/659618</v>
      </c>
      <c r="R177"/>
      <c r="S177" t="s">
        <v>2569</v>
      </c>
      <c r="T177">
        <v>0.01</v>
      </c>
      <c r="U177">
        <v>1.2E-2</v>
      </c>
      <c r="V177">
        <v>2.7E-2</v>
      </c>
      <c r="W177">
        <v>4</v>
      </c>
      <c r="X177">
        <v>4</v>
      </c>
      <c r="Y177">
        <v>13.5</v>
      </c>
    </row>
    <row r="178" spans="1:25" ht="60" customHeight="1" x14ac:dyDescent="0.25">
      <c r="A178"/>
      <c r="B178" t="s">
        <v>3743</v>
      </c>
      <c r="C178" t="s">
        <v>3745</v>
      </c>
      <c r="D178" t="s">
        <v>606</v>
      </c>
      <c r="E178" t="s">
        <v>3240</v>
      </c>
      <c r="F178" t="s">
        <v>3241</v>
      </c>
      <c r="G178" t="s">
        <v>1436</v>
      </c>
      <c r="H178" s="11">
        <v>21.43</v>
      </c>
      <c r="I178" s="10">
        <f>H178*(1-IFERROR(VLOOKUP(G178,Rabat!$C$9:$D$43,2,0),0))</f>
        <v>21.43</v>
      </c>
      <c r="J178" t="s">
        <v>1817</v>
      </c>
      <c r="K178" t="s">
        <v>3260</v>
      </c>
      <c r="L178" t="s">
        <v>1813</v>
      </c>
      <c r="M178">
        <v>100</v>
      </c>
      <c r="N178">
        <v>3600</v>
      </c>
      <c r="O178" t="s">
        <v>1818</v>
      </c>
      <c r="P178" s="12" t="str">
        <f>HYPERLINK("https://b2b.kobi.pl/pl/product/12913,zarowka-led-sw-8-5w-e27-6000k-kobi-premium?currency=PLN")</f>
        <v>https://b2b.kobi.pl/pl/product/12913,zarowka-led-sw-8-5w-e27-6000k-kobi-premium?currency=PLN</v>
      </c>
      <c r="Q178" s="12" t="str">
        <f>HYPERLINK("https://eprel.ec.europa.eu/qr/2420055")</f>
        <v>https://eprel.ec.europa.eu/qr/2420055</v>
      </c>
      <c r="R178"/>
      <c r="S178" t="s">
        <v>2569</v>
      </c>
      <c r="T178">
        <v>0.04</v>
      </c>
      <c r="U178">
        <v>0.05</v>
      </c>
      <c r="V178">
        <v>6.5000000000000002E-2</v>
      </c>
      <c r="W178">
        <v>4.7</v>
      </c>
      <c r="X178">
        <v>4.7</v>
      </c>
      <c r="Y178">
        <v>12.5</v>
      </c>
    </row>
    <row r="179" spans="1:25" ht="60" customHeight="1" x14ac:dyDescent="0.25">
      <c r="A179"/>
      <c r="B179" t="s">
        <v>3743</v>
      </c>
      <c r="C179" t="s">
        <v>3745</v>
      </c>
      <c r="D179" t="s">
        <v>618</v>
      </c>
      <c r="E179" t="s">
        <v>2743</v>
      </c>
      <c r="F179" t="s">
        <v>1491</v>
      </c>
      <c r="G179" t="s">
        <v>1436</v>
      </c>
      <c r="H179" s="11">
        <v>6.88</v>
      </c>
      <c r="I179" s="10">
        <f>H179*(1-IFERROR(VLOOKUP(G179,Rabat!$C$9:$D$43,2,0),0))</f>
        <v>6.88</v>
      </c>
      <c r="J179" t="s">
        <v>1812</v>
      </c>
      <c r="K179" t="s">
        <v>22</v>
      </c>
      <c r="L179" t="s">
        <v>1813</v>
      </c>
      <c r="M179">
        <v>100</v>
      </c>
      <c r="N179">
        <v>4800</v>
      </c>
      <c r="O179" t="s">
        <v>1818</v>
      </c>
      <c r="P179" s="12" t="str">
        <f>HYPERLINK("https://b2b.kobi.pl/pl/product/9481,zarowka-filamentowa-led-fmb-4w-e14-3000k-kobi-360-line?currency=PLN")</f>
        <v>https://b2b.kobi.pl/pl/product/9481,zarowka-filamentowa-led-fmb-4w-e14-3000k-kobi-360-line?currency=PLN</v>
      </c>
      <c r="Q179" s="12" t="str">
        <f>HYPERLINK("https://eprel.ec.europa.eu/qr/659698")</f>
        <v>https://eprel.ec.europa.eu/qr/659698</v>
      </c>
      <c r="R179"/>
      <c r="S179" t="s">
        <v>2569</v>
      </c>
      <c r="T179">
        <v>0.01</v>
      </c>
      <c r="U179">
        <v>1.4E-2</v>
      </c>
      <c r="V179">
        <v>2.8000000000000001E-2</v>
      </c>
      <c r="W179">
        <v>4.9000000000000004</v>
      </c>
      <c r="X179">
        <v>4.9000000000000004</v>
      </c>
      <c r="Y179">
        <v>8.5</v>
      </c>
    </row>
    <row r="180" spans="1:25" ht="60" customHeight="1" x14ac:dyDescent="0.25">
      <c r="A180"/>
      <c r="B180" t="s">
        <v>3743</v>
      </c>
      <c r="C180" t="s">
        <v>3745</v>
      </c>
      <c r="D180" t="s">
        <v>618</v>
      </c>
      <c r="E180" t="s">
        <v>2744</v>
      </c>
      <c r="F180" t="s">
        <v>1492</v>
      </c>
      <c r="G180" t="s">
        <v>1436</v>
      </c>
      <c r="H180" s="11">
        <v>6.88</v>
      </c>
      <c r="I180" s="10">
        <f>H180*(1-IFERROR(VLOOKUP(G180,Rabat!$C$9:$D$43,2,0),0))</f>
        <v>6.88</v>
      </c>
      <c r="J180" t="s">
        <v>1812</v>
      </c>
      <c r="K180" t="s">
        <v>27</v>
      </c>
      <c r="L180" t="s">
        <v>1813</v>
      </c>
      <c r="M180">
        <v>100</v>
      </c>
      <c r="N180">
        <v>4800</v>
      </c>
      <c r="O180" t="s">
        <v>1818</v>
      </c>
      <c r="P180" s="12" t="str">
        <f>HYPERLINK("https://b2b.kobi.pl/pl/product/9483,zarowka-filamentowa-led-fmb-4w-e27-3000k-kobi-360-line?currency=PLN")</f>
        <v>https://b2b.kobi.pl/pl/product/9483,zarowka-filamentowa-led-fmb-4w-e27-3000k-kobi-360-line?currency=PLN</v>
      </c>
      <c r="Q180" s="12" t="str">
        <f>HYPERLINK("https://eprel.ec.europa.eu/qr/659707")</f>
        <v>https://eprel.ec.europa.eu/qr/659707</v>
      </c>
      <c r="R180"/>
      <c r="S180" t="s">
        <v>2569</v>
      </c>
      <c r="T180">
        <v>0.02</v>
      </c>
      <c r="U180">
        <v>1.7999999999999999E-2</v>
      </c>
      <c r="V180">
        <v>2.9000000000000001E-2</v>
      </c>
      <c r="W180">
        <v>5.4</v>
      </c>
      <c r="X180">
        <v>5.4</v>
      </c>
      <c r="Y180">
        <v>9</v>
      </c>
    </row>
    <row r="181" spans="1:25" ht="60" customHeight="1" x14ac:dyDescent="0.25">
      <c r="A181"/>
      <c r="B181" t="s">
        <v>3743</v>
      </c>
      <c r="C181" t="s">
        <v>3745</v>
      </c>
      <c r="D181" t="s">
        <v>618</v>
      </c>
      <c r="E181" t="s">
        <v>2745</v>
      </c>
      <c r="F181" t="s">
        <v>2271</v>
      </c>
      <c r="G181" t="s">
        <v>1436</v>
      </c>
      <c r="H181" s="11">
        <v>7.71</v>
      </c>
      <c r="I181" s="10">
        <f>H181*(1-IFERROR(VLOOKUP(G181,Rabat!$C$9:$D$43,2,0),0))</f>
        <v>7.71</v>
      </c>
      <c r="J181" t="s">
        <v>1812</v>
      </c>
      <c r="K181" t="s">
        <v>2277</v>
      </c>
      <c r="L181" t="s">
        <v>1813</v>
      </c>
      <c r="M181">
        <v>100</v>
      </c>
      <c r="N181">
        <v>4200</v>
      </c>
      <c r="O181" t="s">
        <v>1818</v>
      </c>
      <c r="P181" s="12" t="str">
        <f>HYPERLINK("https://b2b.kobi.pl/pl/product/12523,zarowka-filamentowa-led-fmb-4w-e27-3000k-mleczna-kobi-360-line?currency=PLN")</f>
        <v>https://b2b.kobi.pl/pl/product/12523,zarowka-filamentowa-led-fmb-4w-e27-3000k-mleczna-kobi-360-line?currency=PLN</v>
      </c>
      <c r="Q181" s="12" t="str">
        <f>HYPERLINK("https://eprel.ec.europa.eu/qr/2265611")</f>
        <v>https://eprel.ec.europa.eu/qr/2265611</v>
      </c>
      <c r="R181"/>
      <c r="S181" t="s">
        <v>2569</v>
      </c>
      <c r="T181">
        <v>0.01</v>
      </c>
      <c r="U181">
        <v>1.6E-2</v>
      </c>
      <c r="V181">
        <v>1.06E-2</v>
      </c>
      <c r="W181">
        <v>4.5999999999999996</v>
      </c>
      <c r="X181">
        <v>4.5999999999999996</v>
      </c>
      <c r="Y181">
        <v>8.8000000000000007</v>
      </c>
    </row>
    <row r="182" spans="1:25" ht="60" customHeight="1" x14ac:dyDescent="0.25">
      <c r="A182"/>
      <c r="B182" t="s">
        <v>3743</v>
      </c>
      <c r="C182" t="s">
        <v>3745</v>
      </c>
      <c r="D182" t="s">
        <v>618</v>
      </c>
      <c r="E182" t="s">
        <v>2746</v>
      </c>
      <c r="F182" t="s">
        <v>1493</v>
      </c>
      <c r="G182" t="s">
        <v>1436</v>
      </c>
      <c r="H182" s="11">
        <v>6.88</v>
      </c>
      <c r="I182" s="10">
        <f>H182*(1-IFERROR(VLOOKUP(G182,Rabat!$C$9:$D$43,2,0),0))</f>
        <v>6.88</v>
      </c>
      <c r="J182" t="s">
        <v>1812</v>
      </c>
      <c r="K182" t="s">
        <v>23</v>
      </c>
      <c r="L182" t="s">
        <v>1813</v>
      </c>
      <c r="M182">
        <v>100</v>
      </c>
      <c r="N182">
        <v>7000</v>
      </c>
      <c r="O182" t="s">
        <v>1818</v>
      </c>
      <c r="P182" s="12" t="str">
        <f>HYPERLINK("https://b2b.kobi.pl/pl/product/9486,zarowka-filamentowa-led-fsw-4w-e14-3000k-kobi-360-line?currency=PLN")</f>
        <v>https://b2b.kobi.pl/pl/product/9486,zarowka-filamentowa-led-fsw-4w-e14-3000k-kobi-360-line?currency=PLN</v>
      </c>
      <c r="Q182" s="12" t="str">
        <f>HYPERLINK("https://eprel.ec.europa.eu/qr/659719")</f>
        <v>https://eprel.ec.europa.eu/qr/659719</v>
      </c>
      <c r="R182"/>
      <c r="S182" t="s">
        <v>2569</v>
      </c>
      <c r="T182">
        <v>0.01</v>
      </c>
      <c r="U182">
        <v>1.2999999999999999E-2</v>
      </c>
      <c r="V182">
        <v>2.5999999999999999E-2</v>
      </c>
      <c r="W182">
        <v>4</v>
      </c>
      <c r="X182">
        <v>4</v>
      </c>
      <c r="Y182">
        <v>11.5</v>
      </c>
    </row>
    <row r="183" spans="1:25" ht="60" customHeight="1" x14ac:dyDescent="0.25">
      <c r="A183"/>
      <c r="B183" t="s">
        <v>3743</v>
      </c>
      <c r="C183" t="s">
        <v>3745</v>
      </c>
      <c r="D183" t="s">
        <v>16</v>
      </c>
      <c r="E183" t="s">
        <v>1684</v>
      </c>
      <c r="F183" t="s">
        <v>1685</v>
      </c>
      <c r="G183" t="s">
        <v>1436</v>
      </c>
      <c r="H183" s="11">
        <v>3.38</v>
      </c>
      <c r="I183" s="10">
        <f>H183*(1-IFERROR(VLOOKUP(G183,Rabat!$C$9:$D$43,2,0),0))</f>
        <v>3.38</v>
      </c>
      <c r="J183" t="s">
        <v>1815</v>
      </c>
      <c r="K183" t="s">
        <v>28</v>
      </c>
      <c r="L183" t="s">
        <v>1813</v>
      </c>
      <c r="M183">
        <v>200</v>
      </c>
      <c r="N183">
        <v>4000</v>
      </c>
      <c r="O183" t="s">
        <v>1818</v>
      </c>
      <c r="P183" s="12" t="str">
        <f>HYPERLINK("https://b2b.kobi.pl/pl/product/9588,zarowka-led-st45-1w-e27-2700k-led2b?currency=PLN")</f>
        <v>https://b2b.kobi.pl/pl/product/9588,zarowka-led-st45-1w-e27-2700k-led2b?currency=PLN</v>
      </c>
      <c r="Q183" t="s">
        <v>14</v>
      </c>
      <c r="R183"/>
      <c r="S183" t="s">
        <v>2569</v>
      </c>
      <c r="T183">
        <v>0.01</v>
      </c>
      <c r="U183">
        <v>0.01</v>
      </c>
      <c r="V183">
        <v>2.5000000000000001E-2</v>
      </c>
      <c r="W183">
        <v>4.5</v>
      </c>
      <c r="X183">
        <v>4.5</v>
      </c>
      <c r="Y183">
        <v>8.8000000000000007</v>
      </c>
    </row>
    <row r="184" spans="1:25" ht="60" customHeight="1" x14ac:dyDescent="0.25">
      <c r="A184"/>
      <c r="B184" t="s">
        <v>3743</v>
      </c>
      <c r="C184" t="s">
        <v>3745</v>
      </c>
      <c r="D184" t="s">
        <v>1486</v>
      </c>
      <c r="E184" t="s">
        <v>3322</v>
      </c>
      <c r="F184" t="s">
        <v>1490</v>
      </c>
      <c r="G184" t="s">
        <v>1436</v>
      </c>
      <c r="H184" s="11">
        <v>7.74</v>
      </c>
      <c r="I184" s="10">
        <f>H184*(1-IFERROR(VLOOKUP(G184,Rabat!$C$9:$D$43,2,0),0))</f>
        <v>7.74</v>
      </c>
      <c r="J184" t="s">
        <v>1815</v>
      </c>
      <c r="K184" t="s">
        <v>26</v>
      </c>
      <c r="L184" t="s">
        <v>1813</v>
      </c>
      <c r="M184">
        <v>100</v>
      </c>
      <c r="N184">
        <v>4000</v>
      </c>
      <c r="O184" t="s">
        <v>1818</v>
      </c>
      <c r="P184" s="12" t="str">
        <f>HYPERLINK("https://b2b.kobi.pl/pl/product/9482,zarowka-filamentowa-led-fmb-1-3w-e27-2700k-kobi-360-line?currency=PLN")</f>
        <v>https://b2b.kobi.pl/pl/product/9482,zarowka-filamentowa-led-fmb-1-3w-e27-2700k-kobi-360-line?currency=PLN</v>
      </c>
      <c r="Q184" t="s">
        <v>14</v>
      </c>
      <c r="R184"/>
      <c r="S184" t="s">
        <v>2569</v>
      </c>
      <c r="T184">
        <v>0.01</v>
      </c>
      <c r="U184">
        <v>1.2999999999999999E-2</v>
      </c>
      <c r="V184">
        <v>2.8000000000000001E-2</v>
      </c>
      <c r="W184">
        <v>5.4</v>
      </c>
      <c r="X184">
        <v>5.4</v>
      </c>
      <c r="Y184">
        <v>9</v>
      </c>
    </row>
    <row r="185" spans="1:25" ht="60" customHeight="1" x14ac:dyDescent="0.25">
      <c r="A185"/>
      <c r="B185" t="s">
        <v>3743</v>
      </c>
      <c r="C185" t="s">
        <v>3745</v>
      </c>
      <c r="D185" t="s">
        <v>16</v>
      </c>
      <c r="E185" t="s">
        <v>3476</v>
      </c>
      <c r="F185" t="s">
        <v>3477</v>
      </c>
      <c r="G185" t="s">
        <v>1436</v>
      </c>
      <c r="H185" s="11">
        <v>3.38</v>
      </c>
      <c r="I185" s="10">
        <f>H185*(1-IFERROR(VLOOKUP(G185,Rabat!$C$9:$D$43,2,0),0))</f>
        <v>3.38</v>
      </c>
      <c r="J185" t="s">
        <v>1815</v>
      </c>
      <c r="K185" t="s">
        <v>3515</v>
      </c>
      <c r="L185" t="s">
        <v>1813</v>
      </c>
      <c r="M185">
        <v>200</v>
      </c>
      <c r="N185"/>
      <c r="O185" t="s">
        <v>1818</v>
      </c>
      <c r="P185" s="12" t="str">
        <f>HYPERLINK("https://b2b.kobi.pl/pl/product/13061,zarowka-led-st45-1w-e27-2700k-dymiona-led2b?currency=PLN")</f>
        <v>https://b2b.kobi.pl/pl/product/13061,zarowka-led-st45-1w-e27-2700k-dymiona-led2b?currency=PLN</v>
      </c>
      <c r="Q185" t="s">
        <v>14</v>
      </c>
      <c r="R185"/>
      <c r="S185" t="s">
        <v>2569</v>
      </c>
      <c r="T185">
        <v>0.01</v>
      </c>
      <c r="U185">
        <v>0.01</v>
      </c>
      <c r="V185">
        <v>2.5000000000000001E-2</v>
      </c>
      <c r="W185">
        <v>4.5</v>
      </c>
      <c r="X185">
        <v>4.5</v>
      </c>
      <c r="Y185">
        <v>8.8000000000000007</v>
      </c>
    </row>
    <row r="186" spans="1:25" ht="60" customHeight="1" x14ac:dyDescent="0.25">
      <c r="A186"/>
      <c r="B186" t="s">
        <v>3743</v>
      </c>
      <c r="C186" t="s">
        <v>3745</v>
      </c>
      <c r="D186" t="s">
        <v>618</v>
      </c>
      <c r="E186" t="s">
        <v>1676</v>
      </c>
      <c r="F186" t="s">
        <v>1677</v>
      </c>
      <c r="G186" t="s">
        <v>1436</v>
      </c>
      <c r="H186" s="11">
        <v>10</v>
      </c>
      <c r="I186" s="10">
        <f>H186*(1-IFERROR(VLOOKUP(G186,Rabat!$C$9:$D$43,2,0),0))</f>
        <v>10</v>
      </c>
      <c r="J186" t="s">
        <v>1820</v>
      </c>
      <c r="K186" t="s">
        <v>111</v>
      </c>
      <c r="L186" t="s">
        <v>1813</v>
      </c>
      <c r="M186">
        <v>100</v>
      </c>
      <c r="N186">
        <v>4800</v>
      </c>
      <c r="O186" t="s">
        <v>1818</v>
      </c>
      <c r="P186" s="12" t="str">
        <f>HYPERLINK("https://b2b.kobi.pl/pl/product/9689,zarowka-led-r50-5w-e14-3000k-kobi?currency=PLN")</f>
        <v>https://b2b.kobi.pl/pl/product/9689,zarowka-led-r50-5w-e14-3000k-kobi?currency=PLN</v>
      </c>
      <c r="Q186" s="12" t="str">
        <f>HYPERLINK("https://eprel.ec.europa.eu/qr/660746")</f>
        <v>https://eprel.ec.europa.eu/qr/660746</v>
      </c>
      <c r="R186"/>
      <c r="S186" t="s">
        <v>2569</v>
      </c>
      <c r="T186">
        <v>0.02</v>
      </c>
      <c r="U186">
        <v>2.1999999999999999E-2</v>
      </c>
      <c r="V186">
        <v>2.8500000000000001E-2</v>
      </c>
      <c r="W186">
        <v>5.0999999999999996</v>
      </c>
      <c r="X186">
        <v>5.0999999999999996</v>
      </c>
      <c r="Y186">
        <v>8.6</v>
      </c>
    </row>
    <row r="187" spans="1:25" ht="60" customHeight="1" x14ac:dyDescent="0.25">
      <c r="A187"/>
      <c r="B187" t="s">
        <v>3743</v>
      </c>
      <c r="C187" t="s">
        <v>3745</v>
      </c>
      <c r="D187" t="s">
        <v>618</v>
      </c>
      <c r="E187" t="s">
        <v>1678</v>
      </c>
      <c r="F187" t="s">
        <v>1679</v>
      </c>
      <c r="G187" t="s">
        <v>1436</v>
      </c>
      <c r="H187" s="11">
        <v>10</v>
      </c>
      <c r="I187" s="10">
        <f>H187*(1-IFERROR(VLOOKUP(G187,Rabat!$C$9:$D$43,2,0),0))</f>
        <v>10</v>
      </c>
      <c r="J187" t="s">
        <v>1820</v>
      </c>
      <c r="K187" t="s">
        <v>112</v>
      </c>
      <c r="L187" t="s">
        <v>1813</v>
      </c>
      <c r="M187">
        <v>100</v>
      </c>
      <c r="N187">
        <v>4800</v>
      </c>
      <c r="O187" t="s">
        <v>1818</v>
      </c>
      <c r="P187" s="12" t="str">
        <f>HYPERLINK("https://b2b.kobi.pl/pl/product/9690,zarowka-led-r50-5w-e14-4000k-kobi?currency=PLN")</f>
        <v>https://b2b.kobi.pl/pl/product/9690,zarowka-led-r50-5w-e14-4000k-kobi?currency=PLN</v>
      </c>
      <c r="Q187" s="12" t="str">
        <f>HYPERLINK("https://eprel.ec.europa.eu/qr/660747")</f>
        <v>https://eprel.ec.europa.eu/qr/660747</v>
      </c>
      <c r="R187"/>
      <c r="S187" t="s">
        <v>2569</v>
      </c>
      <c r="T187">
        <v>0.02</v>
      </c>
      <c r="U187">
        <v>2.1999999999999999E-2</v>
      </c>
      <c r="V187">
        <v>2.8500000000000001E-2</v>
      </c>
      <c r="W187">
        <v>5.0999999999999996</v>
      </c>
      <c r="X187">
        <v>5.0999999999999996</v>
      </c>
      <c r="Y187">
        <v>8.6</v>
      </c>
    </row>
    <row r="188" spans="1:25" ht="60" customHeight="1" x14ac:dyDescent="0.25">
      <c r="A188"/>
      <c r="B188" t="s">
        <v>3743</v>
      </c>
      <c r="C188" t="s">
        <v>3745</v>
      </c>
      <c r="D188" t="s">
        <v>618</v>
      </c>
      <c r="E188" t="s">
        <v>1680</v>
      </c>
      <c r="F188" t="s">
        <v>1681</v>
      </c>
      <c r="G188" t="s">
        <v>1436</v>
      </c>
      <c r="H188" s="11">
        <v>11.48</v>
      </c>
      <c r="I188" s="10">
        <f>H188*(1-IFERROR(VLOOKUP(G188,Rabat!$C$9:$D$43,2,0),0))</f>
        <v>11.48</v>
      </c>
      <c r="J188" t="s">
        <v>1816</v>
      </c>
      <c r="K188" t="s">
        <v>113</v>
      </c>
      <c r="L188" t="s">
        <v>1813</v>
      </c>
      <c r="M188">
        <v>100</v>
      </c>
      <c r="N188">
        <v>2500</v>
      </c>
      <c r="O188" t="s">
        <v>1818</v>
      </c>
      <c r="P188" s="12" t="str">
        <f>HYPERLINK("https://b2b.kobi.pl/pl/product/9692,zarowka-led-r63-e27-3000k-kobi?currency=PLN")</f>
        <v>https://b2b.kobi.pl/pl/product/9692,zarowka-led-r63-e27-3000k-kobi?currency=PLN</v>
      </c>
      <c r="Q188" s="12" t="str">
        <f>HYPERLINK("https://eprel.ec.europa.eu/qr/660751")</f>
        <v>https://eprel.ec.europa.eu/qr/660751</v>
      </c>
      <c r="R188"/>
      <c r="S188" t="s">
        <v>2569</v>
      </c>
      <c r="T188">
        <v>0.03</v>
      </c>
      <c r="U188">
        <v>3.7999999999999999E-2</v>
      </c>
      <c r="V188">
        <v>4.6100000000000002E-2</v>
      </c>
      <c r="W188">
        <v>6.3</v>
      </c>
      <c r="X188">
        <v>6.3</v>
      </c>
      <c r="Y188">
        <v>10.3</v>
      </c>
    </row>
    <row r="189" spans="1:25" ht="60" customHeight="1" x14ac:dyDescent="0.25">
      <c r="A189"/>
      <c r="B189" t="s">
        <v>3743</v>
      </c>
      <c r="C189" t="s">
        <v>3745</v>
      </c>
      <c r="D189" t="s">
        <v>618</v>
      </c>
      <c r="E189" t="s">
        <v>1682</v>
      </c>
      <c r="F189" t="s">
        <v>1683</v>
      </c>
      <c r="G189" t="s">
        <v>1436</v>
      </c>
      <c r="H189" s="11">
        <v>11.48</v>
      </c>
      <c r="I189" s="10">
        <f>H189*(1-IFERROR(VLOOKUP(G189,Rabat!$C$9:$D$43,2,0),0))</f>
        <v>11.48</v>
      </c>
      <c r="J189" t="s">
        <v>1816</v>
      </c>
      <c r="K189" t="s">
        <v>114</v>
      </c>
      <c r="L189" t="s">
        <v>1813</v>
      </c>
      <c r="M189">
        <v>100</v>
      </c>
      <c r="N189">
        <v>2500</v>
      </c>
      <c r="O189" t="s">
        <v>1818</v>
      </c>
      <c r="P189" s="12" t="str">
        <f>HYPERLINK("https://b2b.kobi.pl/pl/product/9693,zarowka-led-r63-e27-4000k-kobi?currency=PLN")</f>
        <v>https://b2b.kobi.pl/pl/product/9693,zarowka-led-r63-e27-4000k-kobi?currency=PLN</v>
      </c>
      <c r="Q189" s="12" t="str">
        <f>HYPERLINK("https://eprel.ec.europa.eu/qr/660752")</f>
        <v>https://eprel.ec.europa.eu/qr/660752</v>
      </c>
      <c r="R189"/>
      <c r="S189" t="s">
        <v>2569</v>
      </c>
      <c r="T189">
        <v>0.03</v>
      </c>
      <c r="U189">
        <v>3.7999999999999999E-2</v>
      </c>
      <c r="V189">
        <v>4.6100000000000002E-2</v>
      </c>
      <c r="W189">
        <v>6.3</v>
      </c>
      <c r="X189">
        <v>6.3</v>
      </c>
      <c r="Y189">
        <v>10.3</v>
      </c>
    </row>
    <row r="190" spans="1:25" ht="60" customHeight="1" x14ac:dyDescent="0.25">
      <c r="A190"/>
      <c r="B190" t="s">
        <v>3743</v>
      </c>
      <c r="C190" t="s">
        <v>3745</v>
      </c>
      <c r="D190" t="s">
        <v>618</v>
      </c>
      <c r="E190" t="s">
        <v>1736</v>
      </c>
      <c r="F190" t="s">
        <v>1737</v>
      </c>
      <c r="G190" t="s">
        <v>1436</v>
      </c>
      <c r="H190" s="11">
        <v>12.14</v>
      </c>
      <c r="I190" s="10">
        <f>H190*(1-IFERROR(VLOOKUP(G190,Rabat!$C$9:$D$43,2,0),0))</f>
        <v>12.14</v>
      </c>
      <c r="J190" t="s">
        <v>1816</v>
      </c>
      <c r="K190" t="s">
        <v>134</v>
      </c>
      <c r="L190" t="s">
        <v>1813</v>
      </c>
      <c r="M190">
        <v>100</v>
      </c>
      <c r="N190">
        <v>20000</v>
      </c>
      <c r="O190" t="s">
        <v>1818</v>
      </c>
      <c r="P190" s="12" t="str">
        <f>HYPERLINK("https://b2b.kobi.pl/pl/product/9725,zarowka-led-t-2w-e14-4000k-kobi?currency=PLN")</f>
        <v>https://b2b.kobi.pl/pl/product/9725,zarowka-led-t-2w-e14-4000k-kobi?currency=PLN</v>
      </c>
      <c r="Q190" s="12" t="str">
        <f>HYPERLINK("https://eprel.ec.europa.eu/qr/770526")</f>
        <v>https://eprel.ec.europa.eu/qr/770526</v>
      </c>
      <c r="R190"/>
      <c r="S190" t="s">
        <v>2569</v>
      </c>
      <c r="T190">
        <v>0.02</v>
      </c>
      <c r="U190">
        <v>0.02</v>
      </c>
      <c r="V190">
        <v>0.01</v>
      </c>
      <c r="W190">
        <v>2.5</v>
      </c>
      <c r="X190">
        <v>2.5</v>
      </c>
      <c r="Y190">
        <v>5.6</v>
      </c>
    </row>
    <row r="191" spans="1:25" ht="60" customHeight="1" x14ac:dyDescent="0.25">
      <c r="A191"/>
      <c r="B191" t="s">
        <v>3743</v>
      </c>
      <c r="C191" t="s">
        <v>3745</v>
      </c>
      <c r="D191" t="s">
        <v>618</v>
      </c>
      <c r="E191" t="s">
        <v>1738</v>
      </c>
      <c r="F191" t="s">
        <v>1739</v>
      </c>
      <c r="G191" t="s">
        <v>1436</v>
      </c>
      <c r="H191" s="11">
        <v>16.899999999999999</v>
      </c>
      <c r="I191" s="10">
        <f>H191*(1-IFERROR(VLOOKUP(G191,Rabat!$C$9:$D$43,2,0),0))</f>
        <v>16.899999999999999</v>
      </c>
      <c r="J191" t="s">
        <v>1816</v>
      </c>
      <c r="K191" t="s">
        <v>135</v>
      </c>
      <c r="L191" t="s">
        <v>1813</v>
      </c>
      <c r="M191">
        <v>100</v>
      </c>
      <c r="N191">
        <v>35000</v>
      </c>
      <c r="O191" t="s">
        <v>1818</v>
      </c>
      <c r="P191" s="12" t="str">
        <f>HYPERLINK("https://b2b.kobi.pl/pl/product/9726,zarowka-led-t-4-2w-e14-4000k-kobi?currency=PLN")</f>
        <v>https://b2b.kobi.pl/pl/product/9726,zarowka-led-t-4-2w-e14-4000k-kobi?currency=PLN</v>
      </c>
      <c r="Q191" s="12" t="str">
        <f>HYPERLINK("https://eprel.ec.europa.eu/qr/660816")</f>
        <v>https://eprel.ec.europa.eu/qr/660816</v>
      </c>
      <c r="R191"/>
      <c r="S191" t="s">
        <v>2569</v>
      </c>
      <c r="T191">
        <v>0.01</v>
      </c>
      <c r="U191">
        <v>1.4E-2</v>
      </c>
      <c r="V191">
        <v>0.17399999999999999</v>
      </c>
      <c r="W191">
        <v>2</v>
      </c>
      <c r="X191">
        <v>2</v>
      </c>
      <c r="Y191">
        <v>6.2</v>
      </c>
    </row>
    <row r="192" spans="1:25" ht="60" customHeight="1" x14ac:dyDescent="0.25">
      <c r="A192"/>
      <c r="B192" t="s">
        <v>3743</v>
      </c>
      <c r="C192" t="s">
        <v>3745</v>
      </c>
      <c r="D192" t="s">
        <v>618</v>
      </c>
      <c r="E192" t="s">
        <v>1516</v>
      </c>
      <c r="F192" t="s">
        <v>1517</v>
      </c>
      <c r="G192" t="s">
        <v>1436</v>
      </c>
      <c r="H192" s="11">
        <v>48.12</v>
      </c>
      <c r="I192" s="10">
        <f>H192*(1-IFERROR(VLOOKUP(G192,Rabat!$C$9:$D$43,2,0),0))</f>
        <v>48.12</v>
      </c>
      <c r="J192" t="s">
        <v>1816</v>
      </c>
      <c r="K192" t="s">
        <v>39</v>
      </c>
      <c r="L192" t="s">
        <v>1813</v>
      </c>
      <c r="M192">
        <v>24</v>
      </c>
      <c r="N192">
        <v>384</v>
      </c>
      <c r="O192" t="s">
        <v>1818</v>
      </c>
      <c r="P192" s="12" t="str">
        <f>HYPERLINK("https://b2b.kobi.pl/pl/product/9487,zarowka-led-g120-24w-e27-3000k-kobi?currency=PLN")</f>
        <v>https://b2b.kobi.pl/pl/product/9487,zarowka-led-g120-24w-e27-3000k-kobi?currency=PLN</v>
      </c>
      <c r="Q192" s="12" t="str">
        <f>HYPERLINK("https://eprel.ec.europa.eu/qr/659726")</f>
        <v>https://eprel.ec.europa.eu/qr/659726</v>
      </c>
      <c r="R192"/>
      <c r="S192" t="s">
        <v>2569</v>
      </c>
      <c r="T192">
        <v>0.2</v>
      </c>
      <c r="U192">
        <v>0.23499999999999999</v>
      </c>
      <c r="V192">
        <v>0.3</v>
      </c>
      <c r="W192">
        <v>12.3</v>
      </c>
      <c r="X192">
        <v>12.3</v>
      </c>
      <c r="Y192">
        <v>17.3</v>
      </c>
    </row>
    <row r="193" spans="1:25" ht="60" customHeight="1" x14ac:dyDescent="0.25">
      <c r="A193"/>
      <c r="B193" t="s">
        <v>3743</v>
      </c>
      <c r="C193" t="s">
        <v>3745</v>
      </c>
      <c r="D193" t="s">
        <v>618</v>
      </c>
      <c r="E193" t="s">
        <v>1518</v>
      </c>
      <c r="F193" t="s">
        <v>1519</v>
      </c>
      <c r="G193" t="s">
        <v>1436</v>
      </c>
      <c r="H193" s="11">
        <v>48.12</v>
      </c>
      <c r="I193" s="10">
        <f>H193*(1-IFERROR(VLOOKUP(G193,Rabat!$C$9:$D$43,2,0),0))</f>
        <v>48.12</v>
      </c>
      <c r="J193" t="s">
        <v>1816</v>
      </c>
      <c r="K193" t="s">
        <v>40</v>
      </c>
      <c r="L193" t="s">
        <v>1813</v>
      </c>
      <c r="M193">
        <v>24</v>
      </c>
      <c r="N193">
        <v>384</v>
      </c>
      <c r="O193" t="s">
        <v>1818</v>
      </c>
      <c r="P193" s="12" t="str">
        <f>HYPERLINK("https://b2b.kobi.pl/pl/product/9488,zarowka-led-g120-24w-e27-4000k-kobi?currency=PLN")</f>
        <v>https://b2b.kobi.pl/pl/product/9488,zarowka-led-g120-24w-e27-4000k-kobi?currency=PLN</v>
      </c>
      <c r="Q193" s="12" t="str">
        <f>HYPERLINK("https://eprel.ec.europa.eu/qr/659731")</f>
        <v>https://eprel.ec.europa.eu/qr/659731</v>
      </c>
      <c r="R193"/>
      <c r="S193" t="s">
        <v>2569</v>
      </c>
      <c r="T193">
        <v>0.2</v>
      </c>
      <c r="U193">
        <v>0.23499999999999999</v>
      </c>
      <c r="V193">
        <v>0.3</v>
      </c>
      <c r="W193">
        <v>12.3</v>
      </c>
      <c r="X193">
        <v>12.3</v>
      </c>
      <c r="Y193">
        <v>17.3</v>
      </c>
    </row>
    <row r="194" spans="1:25" ht="60" customHeight="1" x14ac:dyDescent="0.25">
      <c r="A194"/>
      <c r="B194" t="s">
        <v>3743</v>
      </c>
      <c r="C194" t="s">
        <v>5</v>
      </c>
      <c r="D194" t="s">
        <v>618</v>
      </c>
      <c r="E194" t="s">
        <v>1976</v>
      </c>
      <c r="F194" t="s">
        <v>1977</v>
      </c>
      <c r="G194" t="s">
        <v>620</v>
      </c>
      <c r="H194" s="11">
        <v>3</v>
      </c>
      <c r="I194" s="10">
        <f>H194*(1-IFERROR(VLOOKUP(G194,Rabat!$C$9:$D$43,2,0),0))</f>
        <v>3</v>
      </c>
      <c r="J194" t="s">
        <v>1815</v>
      </c>
      <c r="K194" t="s">
        <v>2018</v>
      </c>
      <c r="L194" t="s">
        <v>1813</v>
      </c>
      <c r="M194">
        <v>10</v>
      </c>
      <c r="N194"/>
      <c r="O194" t="s">
        <v>1818</v>
      </c>
      <c r="P194" s="12" t="str">
        <f>HYPERLINK("https://b2b.kobi.pl/pl/product/12374,lacznik-i-tasmy-led-cob-8mm-kobi?currency=PLN")</f>
        <v>https://b2b.kobi.pl/pl/product/12374,lacznik-i-tasmy-led-cob-8mm-kobi?currency=PLN</v>
      </c>
      <c r="Q194" t="s">
        <v>14</v>
      </c>
      <c r="R194"/>
      <c r="S194" t="s">
        <v>2570</v>
      </c>
      <c r="T194">
        <v>0</v>
      </c>
      <c r="U194">
        <v>7.4999999999999997E-3</v>
      </c>
      <c r="V194">
        <v>8.9999999999999993E-3</v>
      </c>
      <c r="W194">
        <v>10</v>
      </c>
      <c r="X194">
        <v>7</v>
      </c>
      <c r="Y194">
        <v>0.02</v>
      </c>
    </row>
    <row r="195" spans="1:25" ht="60" customHeight="1" x14ac:dyDescent="0.25">
      <c r="A195"/>
      <c r="B195" t="s">
        <v>3743</v>
      </c>
      <c r="C195" t="s">
        <v>5</v>
      </c>
      <c r="D195" t="s">
        <v>618</v>
      </c>
      <c r="E195" t="s">
        <v>1978</v>
      </c>
      <c r="F195" t="s">
        <v>1979</v>
      </c>
      <c r="G195" t="s">
        <v>620</v>
      </c>
      <c r="H195" s="11">
        <v>4.25</v>
      </c>
      <c r="I195" s="10">
        <f>H195*(1-IFERROR(VLOOKUP(G195,Rabat!$C$9:$D$43,2,0),0))</f>
        <v>4.25</v>
      </c>
      <c r="J195" t="s">
        <v>1815</v>
      </c>
      <c r="K195" t="s">
        <v>2019</v>
      </c>
      <c r="L195" t="s">
        <v>1813</v>
      </c>
      <c r="M195">
        <v>10</v>
      </c>
      <c r="N195"/>
      <c r="O195" t="s">
        <v>1818</v>
      </c>
      <c r="P195" s="12" t="str">
        <f>HYPERLINK("https://b2b.kobi.pl/pl/product/12375,lacznik-10-cm-tasmy-led-cob-8mm-kobi?currency=PLN")</f>
        <v>https://b2b.kobi.pl/pl/product/12375,lacznik-10-cm-tasmy-led-cob-8mm-kobi?currency=PLN</v>
      </c>
      <c r="Q195" t="s">
        <v>14</v>
      </c>
      <c r="R195"/>
      <c r="S195" t="s">
        <v>2570</v>
      </c>
      <c r="T195">
        <v>0</v>
      </c>
      <c r="U195">
        <v>2.9000000000000001E-2</v>
      </c>
      <c r="V195">
        <v>3.2000000000000001E-2</v>
      </c>
      <c r="W195">
        <v>15</v>
      </c>
      <c r="X195">
        <v>10</v>
      </c>
      <c r="Y195">
        <v>0.2</v>
      </c>
    </row>
    <row r="196" spans="1:25" ht="60" customHeight="1" x14ac:dyDescent="0.25">
      <c r="A196"/>
      <c r="B196" t="s">
        <v>3743</v>
      </c>
      <c r="C196" t="s">
        <v>5</v>
      </c>
      <c r="D196" t="s">
        <v>618</v>
      </c>
      <c r="E196" t="s">
        <v>1980</v>
      </c>
      <c r="F196" t="s">
        <v>1981</v>
      </c>
      <c r="G196" t="s">
        <v>620</v>
      </c>
      <c r="H196" s="11">
        <v>6.25</v>
      </c>
      <c r="I196" s="10">
        <f>H196*(1-IFERROR(VLOOKUP(G196,Rabat!$C$9:$D$43,2,0),0))</f>
        <v>6.25</v>
      </c>
      <c r="J196" t="s">
        <v>1815</v>
      </c>
      <c r="K196" t="s">
        <v>2020</v>
      </c>
      <c r="L196" t="s">
        <v>1813</v>
      </c>
      <c r="M196">
        <v>10</v>
      </c>
      <c r="N196"/>
      <c r="O196" t="s">
        <v>1818</v>
      </c>
      <c r="P196" s="12" t="str">
        <f>HYPERLINK("https://b2b.kobi.pl/pl/product/12376,lacznik-dwustronny-10-cm-tasmy-led-cob-8mm-kobi?currency=PLN")</f>
        <v>https://b2b.kobi.pl/pl/product/12376,lacznik-dwustronny-10-cm-tasmy-led-cob-8mm-kobi?currency=PLN</v>
      </c>
      <c r="Q196" t="s">
        <v>14</v>
      </c>
      <c r="R196"/>
      <c r="S196" t="s">
        <v>2570</v>
      </c>
      <c r="T196">
        <v>0</v>
      </c>
      <c r="U196">
        <v>2.1000000000000001E-2</v>
      </c>
      <c r="V196">
        <v>2.3E-2</v>
      </c>
      <c r="W196">
        <v>17</v>
      </c>
      <c r="X196">
        <v>12</v>
      </c>
      <c r="Y196">
        <v>0.2</v>
      </c>
    </row>
    <row r="197" spans="1:25" ht="60" customHeight="1" x14ac:dyDescent="0.25">
      <c r="A197"/>
      <c r="B197" t="s">
        <v>3743</v>
      </c>
      <c r="C197" t="s">
        <v>5</v>
      </c>
      <c r="D197" t="s">
        <v>618</v>
      </c>
      <c r="E197" t="s">
        <v>1982</v>
      </c>
      <c r="F197" t="s">
        <v>1983</v>
      </c>
      <c r="G197" t="s">
        <v>620</v>
      </c>
      <c r="H197" s="11">
        <v>6.75</v>
      </c>
      <c r="I197" s="10">
        <f>H197*(1-IFERROR(VLOOKUP(G197,Rabat!$C$9:$D$43,2,0),0))</f>
        <v>6.75</v>
      </c>
      <c r="J197" t="s">
        <v>1815</v>
      </c>
      <c r="K197" t="s">
        <v>2021</v>
      </c>
      <c r="L197" t="s">
        <v>1813</v>
      </c>
      <c r="M197">
        <v>10</v>
      </c>
      <c r="N197"/>
      <c r="O197" t="s">
        <v>1818</v>
      </c>
      <c r="P197" s="12" t="str">
        <f>HYPERLINK("https://b2b.kobi.pl/pl/product/12377,lacznik-l-tasmy-led-cob-8mm-kobi?currency=PLN")</f>
        <v>https://b2b.kobi.pl/pl/product/12377,lacznik-l-tasmy-led-cob-8mm-kobi?currency=PLN</v>
      </c>
      <c r="Q197" t="s">
        <v>14</v>
      </c>
      <c r="R197"/>
      <c r="S197" t="s">
        <v>2570</v>
      </c>
      <c r="T197">
        <v>0</v>
      </c>
      <c r="U197">
        <v>1.2E-2</v>
      </c>
      <c r="V197">
        <v>1.4E-2</v>
      </c>
      <c r="W197">
        <v>7</v>
      </c>
      <c r="X197">
        <v>10</v>
      </c>
      <c r="Y197">
        <v>0.2</v>
      </c>
    </row>
    <row r="198" spans="1:25" ht="60" customHeight="1" x14ac:dyDescent="0.25">
      <c r="A198"/>
      <c r="B198" t="s">
        <v>3</v>
      </c>
      <c r="C198" t="s">
        <v>582</v>
      </c>
      <c r="D198" t="s">
        <v>618</v>
      </c>
      <c r="E198" t="s">
        <v>950</v>
      </c>
      <c r="F198" t="s">
        <v>951</v>
      </c>
      <c r="G198" t="s">
        <v>947</v>
      </c>
      <c r="H198" s="11">
        <v>30.9</v>
      </c>
      <c r="I198" s="10">
        <f>H198*(1-IFERROR(VLOOKUP(G198,Rabat!$C$9:$D$43,2,0),0))</f>
        <v>30.9</v>
      </c>
      <c r="J198" t="s">
        <v>1815</v>
      </c>
      <c r="K198" t="s">
        <v>192</v>
      </c>
      <c r="L198" t="s">
        <v>1813</v>
      </c>
      <c r="M198">
        <v>18</v>
      </c>
      <c r="N198">
        <v>360</v>
      </c>
      <c r="O198" t="s">
        <v>1818</v>
      </c>
      <c r="P198" s="12" t="str">
        <f>HYPERLINK("https://b2b.kobi.pl/pl/product/9941,oprawa-hermetyczna-hermetic-1x60-ip65-kobi?currency=PLN")</f>
        <v>https://b2b.kobi.pl/pl/product/9941,oprawa-hermetyczna-hermetic-1x60-ip65-kobi?currency=PLN</v>
      </c>
      <c r="Q198" t="s">
        <v>14</v>
      </c>
      <c r="R198"/>
      <c r="S198" t="s">
        <v>2571</v>
      </c>
      <c r="T198">
        <v>0.13</v>
      </c>
      <c r="U198">
        <v>0.31900000000000001</v>
      </c>
      <c r="V198">
        <v>0.41299999999999998</v>
      </c>
      <c r="W198">
        <v>6</v>
      </c>
      <c r="X198">
        <v>70.5</v>
      </c>
      <c r="Y198">
        <v>7.5</v>
      </c>
    </row>
    <row r="199" spans="1:25" ht="60" customHeight="1" x14ac:dyDescent="0.25">
      <c r="A199"/>
      <c r="B199" t="s">
        <v>3</v>
      </c>
      <c r="C199" t="s">
        <v>582</v>
      </c>
      <c r="D199" t="s">
        <v>618</v>
      </c>
      <c r="E199" t="s">
        <v>945</v>
      </c>
      <c r="F199" t="s">
        <v>946</v>
      </c>
      <c r="G199" t="s">
        <v>947</v>
      </c>
      <c r="H199" s="11">
        <v>41.2</v>
      </c>
      <c r="I199" s="10">
        <f>H199*(1-IFERROR(VLOOKUP(G199,Rabat!$C$9:$D$43,2,0),0))</f>
        <v>41.2</v>
      </c>
      <c r="J199" t="s">
        <v>1815</v>
      </c>
      <c r="K199" t="s">
        <v>193</v>
      </c>
      <c r="L199" t="s">
        <v>1813</v>
      </c>
      <c r="M199">
        <v>12</v>
      </c>
      <c r="N199">
        <v>216</v>
      </c>
      <c r="O199" t="s">
        <v>1818</v>
      </c>
      <c r="P199" s="12" t="str">
        <f>HYPERLINK("https://b2b.kobi.pl/pl/product/9939,oprawa-hermetyczna-hermetic-1x120-ip65-kobi?currency=PLN")</f>
        <v>https://b2b.kobi.pl/pl/product/9939,oprawa-hermetyczna-hermetic-1x120-ip65-kobi?currency=PLN</v>
      </c>
      <c r="Q199" t="s">
        <v>14</v>
      </c>
      <c r="R199"/>
      <c r="S199" t="s">
        <v>2571</v>
      </c>
      <c r="T199">
        <v>0.23</v>
      </c>
      <c r="U199">
        <v>0.56299999999999994</v>
      </c>
      <c r="V199">
        <v>0.70199999999999996</v>
      </c>
      <c r="W199">
        <v>130.80000000000001</v>
      </c>
      <c r="X199">
        <v>7.5</v>
      </c>
      <c r="Y199">
        <v>6</v>
      </c>
    </row>
    <row r="200" spans="1:25" ht="60" customHeight="1" x14ac:dyDescent="0.25">
      <c r="A200"/>
      <c r="B200" t="s">
        <v>3</v>
      </c>
      <c r="C200" t="s">
        <v>582</v>
      </c>
      <c r="D200" t="s">
        <v>618</v>
      </c>
      <c r="E200" t="s">
        <v>948</v>
      </c>
      <c r="F200" t="s">
        <v>949</v>
      </c>
      <c r="G200" t="s">
        <v>947</v>
      </c>
      <c r="H200" s="11">
        <v>51.5</v>
      </c>
      <c r="I200" s="10">
        <f>H200*(1-IFERROR(VLOOKUP(G200,Rabat!$C$9:$D$43,2,0),0))</f>
        <v>51.5</v>
      </c>
      <c r="J200" t="s">
        <v>1815</v>
      </c>
      <c r="K200" t="s">
        <v>194</v>
      </c>
      <c r="L200" t="s">
        <v>1813</v>
      </c>
      <c r="M200">
        <v>12</v>
      </c>
      <c r="N200">
        <v>144</v>
      </c>
      <c r="O200" t="s">
        <v>1818</v>
      </c>
      <c r="P200" s="12" t="str">
        <f>HYPERLINK("https://b2b.kobi.pl/pl/product/9940,oprawa-hermetyczna-hermetic-1x150-ip65-kobi?currency=PLN")</f>
        <v>https://b2b.kobi.pl/pl/product/9940,oprawa-hermetyczna-hermetic-1x150-ip65-kobi?currency=PLN</v>
      </c>
      <c r="Q200" t="s">
        <v>14</v>
      </c>
      <c r="R200"/>
      <c r="S200" t="s">
        <v>2571</v>
      </c>
      <c r="T200">
        <v>0.28000000000000003</v>
      </c>
      <c r="U200">
        <v>0.67700000000000005</v>
      </c>
      <c r="V200">
        <v>0.84299999999999997</v>
      </c>
      <c r="W200">
        <v>161.5</v>
      </c>
      <c r="X200">
        <v>7</v>
      </c>
      <c r="Y200">
        <v>6.3</v>
      </c>
    </row>
    <row r="201" spans="1:25" ht="60" customHeight="1" x14ac:dyDescent="0.25">
      <c r="A201"/>
      <c r="B201" t="s">
        <v>3</v>
      </c>
      <c r="C201" t="s">
        <v>582</v>
      </c>
      <c r="D201" t="s">
        <v>618</v>
      </c>
      <c r="E201" t="s">
        <v>961</v>
      </c>
      <c r="F201" t="s">
        <v>962</v>
      </c>
      <c r="G201" t="s">
        <v>947</v>
      </c>
      <c r="H201" s="11">
        <v>38.69</v>
      </c>
      <c r="I201" s="10">
        <f>H201*(1-IFERROR(VLOOKUP(G201,Rabat!$C$9:$D$43,2,0),0))</f>
        <v>38.69</v>
      </c>
      <c r="J201" t="s">
        <v>1815</v>
      </c>
      <c r="K201" t="s">
        <v>197</v>
      </c>
      <c r="L201" t="s">
        <v>1813</v>
      </c>
      <c r="M201">
        <v>10</v>
      </c>
      <c r="N201">
        <v>250</v>
      </c>
      <c r="O201" t="s">
        <v>1818</v>
      </c>
      <c r="P201" s="12" t="str">
        <f>HYPERLINK("https://b2b.kobi.pl/pl/product/9944,oprawa-hermetyczna-hermetic-2x60-ip65-kobi?currency=PLN")</f>
        <v>https://b2b.kobi.pl/pl/product/9944,oprawa-hermetyczna-hermetic-2x60-ip65-kobi?currency=PLN</v>
      </c>
      <c r="Q201" t="s">
        <v>14</v>
      </c>
      <c r="R201"/>
      <c r="S201" t="s">
        <v>2571</v>
      </c>
      <c r="T201">
        <v>0.19</v>
      </c>
      <c r="U201">
        <v>0.45200000000000001</v>
      </c>
      <c r="V201">
        <v>0.54800000000000004</v>
      </c>
      <c r="W201">
        <v>6</v>
      </c>
      <c r="X201">
        <v>69.5</v>
      </c>
      <c r="Y201">
        <v>11.5</v>
      </c>
    </row>
    <row r="202" spans="1:25" ht="60" customHeight="1" x14ac:dyDescent="0.25">
      <c r="A202"/>
      <c r="B202" t="s">
        <v>3</v>
      </c>
      <c r="C202" t="s">
        <v>582</v>
      </c>
      <c r="D202" t="s">
        <v>618</v>
      </c>
      <c r="E202" t="s">
        <v>954</v>
      </c>
      <c r="F202" t="s">
        <v>955</v>
      </c>
      <c r="G202" t="s">
        <v>947</v>
      </c>
      <c r="H202" s="11">
        <v>48.07</v>
      </c>
      <c r="I202" s="10">
        <f>H202*(1-IFERROR(VLOOKUP(G202,Rabat!$C$9:$D$43,2,0),0))</f>
        <v>48.07</v>
      </c>
      <c r="J202" t="s">
        <v>1815</v>
      </c>
      <c r="K202" t="s">
        <v>195</v>
      </c>
      <c r="L202" t="s">
        <v>1813</v>
      </c>
      <c r="M202">
        <v>10</v>
      </c>
      <c r="N202">
        <v>150</v>
      </c>
      <c r="O202" t="s">
        <v>1818</v>
      </c>
      <c r="P202" s="12" t="str">
        <f>HYPERLINK("https://b2b.kobi.pl/pl/product/9942,oprawa-hermetyczna-hermetic-2x120-ip65-kobi?currency=PLN")</f>
        <v>https://b2b.kobi.pl/pl/product/9942,oprawa-hermetyczna-hermetic-2x120-ip65-kobi?currency=PLN</v>
      </c>
      <c r="Q202" t="s">
        <v>14</v>
      </c>
      <c r="R202"/>
      <c r="S202" t="s">
        <v>2571</v>
      </c>
      <c r="T202">
        <v>0.3</v>
      </c>
      <c r="U202">
        <v>0.74199999999999999</v>
      </c>
      <c r="V202">
        <v>0.91400000000000003</v>
      </c>
      <c r="W202">
        <v>130.5</v>
      </c>
      <c r="X202">
        <v>12</v>
      </c>
      <c r="Y202">
        <v>6</v>
      </c>
    </row>
    <row r="203" spans="1:25" ht="60" customHeight="1" x14ac:dyDescent="0.25">
      <c r="A203"/>
      <c r="B203" t="s">
        <v>3</v>
      </c>
      <c r="C203" t="s">
        <v>582</v>
      </c>
      <c r="D203" t="s">
        <v>618</v>
      </c>
      <c r="E203" t="s">
        <v>958</v>
      </c>
      <c r="F203" t="s">
        <v>959</v>
      </c>
      <c r="G203" t="s">
        <v>947</v>
      </c>
      <c r="H203" s="11">
        <v>66.37</v>
      </c>
      <c r="I203" s="10">
        <f>H203*(1-IFERROR(VLOOKUP(G203,Rabat!$C$9:$D$43,2,0),0))</f>
        <v>66.37</v>
      </c>
      <c r="J203" t="s">
        <v>1815</v>
      </c>
      <c r="K203" t="s">
        <v>196</v>
      </c>
      <c r="L203" t="s">
        <v>1813</v>
      </c>
      <c r="M203">
        <v>8</v>
      </c>
      <c r="N203">
        <v>120</v>
      </c>
      <c r="O203" t="s">
        <v>1818</v>
      </c>
      <c r="P203" s="12" t="str">
        <f>HYPERLINK("https://b2b.kobi.pl/pl/product/9943,oprawa-hermetyczna-hermetic-2x150-ip65-kobi?currency=PLN")</f>
        <v>https://b2b.kobi.pl/pl/product/9943,oprawa-hermetyczna-hermetic-2x150-ip65-kobi?currency=PLN</v>
      </c>
      <c r="Q203" t="s">
        <v>14</v>
      </c>
      <c r="R203"/>
      <c r="S203" t="s">
        <v>2571</v>
      </c>
      <c r="T203">
        <v>0.4</v>
      </c>
      <c r="U203">
        <v>0.97299999999999998</v>
      </c>
      <c r="V203">
        <v>1.234</v>
      </c>
      <c r="W203">
        <v>159.4</v>
      </c>
      <c r="X203">
        <v>12</v>
      </c>
      <c r="Y203">
        <v>6</v>
      </c>
    </row>
    <row r="204" spans="1:25" ht="60" customHeight="1" x14ac:dyDescent="0.25">
      <c r="A204"/>
      <c r="B204" t="s">
        <v>3</v>
      </c>
      <c r="C204" t="s">
        <v>582</v>
      </c>
      <c r="D204" t="s">
        <v>618</v>
      </c>
      <c r="E204" t="s">
        <v>1474</v>
      </c>
      <c r="F204" t="s">
        <v>1475</v>
      </c>
      <c r="G204" t="s">
        <v>947</v>
      </c>
      <c r="H204" s="11">
        <v>74.39</v>
      </c>
      <c r="I204" s="10">
        <f>H204*(1-IFERROR(VLOOKUP(G204,Rabat!$C$9:$D$43,2,0),0))</f>
        <v>74.39</v>
      </c>
      <c r="J204" t="s">
        <v>1815</v>
      </c>
      <c r="K204" t="s">
        <v>201</v>
      </c>
      <c r="L204" t="s">
        <v>1813</v>
      </c>
      <c r="M204">
        <v>10</v>
      </c>
      <c r="N204">
        <v>150</v>
      </c>
      <c r="O204" t="s">
        <v>1818</v>
      </c>
      <c r="P204" s="12" t="str">
        <f>HYPERLINK("https://b2b.kobi.pl/pl/product/9936,zestaw-hermetic-2x120-led-t8-18w-4000k-ip65-kobi?currency=PLN")</f>
        <v>https://b2b.kobi.pl/pl/product/9936,zestaw-hermetic-2x120-led-t8-18w-4000k-ip65-kobi?currency=PLN</v>
      </c>
      <c r="Q204" s="12" t="str">
        <f>HYPERLINK("https://eprel.ec.europa.eu/qr/1694581")</f>
        <v>https://eprel.ec.europa.eu/qr/1694581</v>
      </c>
      <c r="R204"/>
      <c r="S204" t="s">
        <v>2571</v>
      </c>
      <c r="T204">
        <v>0.93</v>
      </c>
      <c r="U204">
        <v>1.095</v>
      </c>
      <c r="V204">
        <v>1.2969999999999999</v>
      </c>
      <c r="W204">
        <v>130</v>
      </c>
      <c r="X204">
        <v>11.5</v>
      </c>
      <c r="Y204">
        <v>5</v>
      </c>
    </row>
    <row r="205" spans="1:25" ht="60" customHeight="1" x14ac:dyDescent="0.25">
      <c r="A205"/>
      <c r="B205" t="s">
        <v>3</v>
      </c>
      <c r="C205" t="s">
        <v>582</v>
      </c>
      <c r="D205" t="s">
        <v>618</v>
      </c>
      <c r="E205" t="s">
        <v>1476</v>
      </c>
      <c r="F205" t="s">
        <v>1477</v>
      </c>
      <c r="G205" t="s">
        <v>947</v>
      </c>
      <c r="H205" s="11">
        <v>74.39</v>
      </c>
      <c r="I205" s="10">
        <f>H205*(1-IFERROR(VLOOKUP(G205,Rabat!$C$9:$D$43,2,0),0))</f>
        <v>74.39</v>
      </c>
      <c r="J205" t="s">
        <v>1815</v>
      </c>
      <c r="K205" t="s">
        <v>202</v>
      </c>
      <c r="L205" t="s">
        <v>1813</v>
      </c>
      <c r="M205">
        <v>10</v>
      </c>
      <c r="N205">
        <v>150</v>
      </c>
      <c r="O205" t="s">
        <v>1818</v>
      </c>
      <c r="P205" s="12" t="str">
        <f>HYPERLINK("https://b2b.kobi.pl/pl/product/9937,zestaw-hermetic-2x120-led-t8-18w-6500k-ip65-kobi?currency=PLN")</f>
        <v>https://b2b.kobi.pl/pl/product/9937,zestaw-hermetic-2x120-led-t8-18w-6500k-ip65-kobi?currency=PLN</v>
      </c>
      <c r="Q205" s="12" t="str">
        <f>HYPERLINK("https://eprel.ec.europa.eu/qr/1694744")</f>
        <v>https://eprel.ec.europa.eu/qr/1694744</v>
      </c>
      <c r="R205"/>
      <c r="S205" t="s">
        <v>2571</v>
      </c>
      <c r="T205">
        <v>0.93</v>
      </c>
      <c r="U205">
        <v>1.095</v>
      </c>
      <c r="V205">
        <v>1.2969999999999999</v>
      </c>
      <c r="W205">
        <v>130</v>
      </c>
      <c r="X205">
        <v>11.5</v>
      </c>
      <c r="Y205">
        <v>5</v>
      </c>
    </row>
    <row r="206" spans="1:25" ht="60" customHeight="1" x14ac:dyDescent="0.25">
      <c r="A206"/>
      <c r="B206" t="s">
        <v>3</v>
      </c>
      <c r="C206" t="s">
        <v>582</v>
      </c>
      <c r="D206" t="s">
        <v>618</v>
      </c>
      <c r="E206" t="s">
        <v>3752</v>
      </c>
      <c r="F206" t="s">
        <v>1478</v>
      </c>
      <c r="G206" t="s">
        <v>947</v>
      </c>
      <c r="H206" s="11">
        <v>70.73</v>
      </c>
      <c r="I206" s="10">
        <f>H206*(1-IFERROR(VLOOKUP(G206,Rabat!$C$9:$D$43,2,0),0))</f>
        <v>70.73</v>
      </c>
      <c r="J206" t="s">
        <v>1815</v>
      </c>
      <c r="K206" t="s">
        <v>1900</v>
      </c>
      <c r="L206" t="s">
        <v>1813</v>
      </c>
      <c r="M206">
        <v>10</v>
      </c>
      <c r="N206">
        <v>150</v>
      </c>
      <c r="O206" t="s">
        <v>1818</v>
      </c>
      <c r="P206" s="12" t="str">
        <f>HYPERLINK("https://b2b.kobi.pl/pl/product/12115,zestaw-hermetyczny-hermetic-g2-2x-led-t8-18w-120cm-4000k-kobi?currency=PLN")</f>
        <v>https://b2b.kobi.pl/pl/product/12115,zestaw-hermetyczny-hermetic-g2-2x-led-t8-18w-120cm-4000k-kobi?currency=PLN</v>
      </c>
      <c r="Q206" t="s">
        <v>14</v>
      </c>
      <c r="R206"/>
      <c r="S206" t="s">
        <v>2571</v>
      </c>
      <c r="T206">
        <v>0.8</v>
      </c>
      <c r="U206">
        <v>0.95</v>
      </c>
      <c r="V206">
        <v>1.1499999999999999</v>
      </c>
      <c r="W206">
        <v>133</v>
      </c>
      <c r="X206">
        <v>10</v>
      </c>
      <c r="Y206">
        <v>5.8</v>
      </c>
    </row>
    <row r="207" spans="1:25" ht="60" customHeight="1" x14ac:dyDescent="0.25">
      <c r="A207"/>
      <c r="B207" t="s">
        <v>3</v>
      </c>
      <c r="C207" t="s">
        <v>582</v>
      </c>
      <c r="D207" t="s">
        <v>618</v>
      </c>
      <c r="E207" t="s">
        <v>3753</v>
      </c>
      <c r="F207" t="s">
        <v>1479</v>
      </c>
      <c r="G207" t="s">
        <v>947</v>
      </c>
      <c r="H207" s="11">
        <v>70.73</v>
      </c>
      <c r="I207" s="10">
        <f>H207*(1-IFERROR(VLOOKUP(G207,Rabat!$C$9:$D$43,2,0),0))</f>
        <v>70.73</v>
      </c>
      <c r="J207" t="s">
        <v>1815</v>
      </c>
      <c r="K207" t="s">
        <v>1901</v>
      </c>
      <c r="L207" t="s">
        <v>1813</v>
      </c>
      <c r="M207">
        <v>10</v>
      </c>
      <c r="N207">
        <v>150</v>
      </c>
      <c r="O207" t="s">
        <v>1818</v>
      </c>
      <c r="P207" s="12" t="str">
        <f>HYPERLINK("https://b2b.kobi.pl/pl/product/12116,zestaw-hermetyczny-hermetic-g2-2x-led-t8-18w-120cm-6500k-kobi?currency=PLN")</f>
        <v>https://b2b.kobi.pl/pl/product/12116,zestaw-hermetyczny-hermetic-g2-2x-led-t8-18w-120cm-6500k-kobi?currency=PLN</v>
      </c>
      <c r="Q207" t="s">
        <v>14</v>
      </c>
      <c r="R207"/>
      <c r="S207" t="s">
        <v>2571</v>
      </c>
      <c r="T207">
        <v>0.8</v>
      </c>
      <c r="U207">
        <v>0.95</v>
      </c>
      <c r="V207">
        <v>1.1499999999999999</v>
      </c>
      <c r="W207">
        <v>133</v>
      </c>
      <c r="X207">
        <v>10</v>
      </c>
      <c r="Y207">
        <v>5.8</v>
      </c>
    </row>
    <row r="208" spans="1:25" ht="60" customHeight="1" x14ac:dyDescent="0.25">
      <c r="A208"/>
      <c r="B208" t="s">
        <v>3</v>
      </c>
      <c r="C208" t="s">
        <v>582</v>
      </c>
      <c r="D208" t="s">
        <v>618</v>
      </c>
      <c r="E208" t="s">
        <v>965</v>
      </c>
      <c r="F208" t="s">
        <v>966</v>
      </c>
      <c r="G208" t="s">
        <v>947</v>
      </c>
      <c r="H208" s="11">
        <v>68.790000000000006</v>
      </c>
      <c r="I208" s="10">
        <f>H208*(1-IFERROR(VLOOKUP(G208,Rabat!$C$9:$D$43,2,0),0))</f>
        <v>68.790000000000006</v>
      </c>
      <c r="J208" t="s">
        <v>1815</v>
      </c>
      <c r="K208" t="s">
        <v>198</v>
      </c>
      <c r="L208" t="s">
        <v>1813</v>
      </c>
      <c r="M208">
        <v>8</v>
      </c>
      <c r="N208">
        <v>192</v>
      </c>
      <c r="O208" t="s">
        <v>1818</v>
      </c>
      <c r="P208" s="12" t="str">
        <f>HYPERLINK("https://b2b.kobi.pl/pl/product/9945,oprawa-hermetyczna-hermic-1x120-ip65-kobi?currency=PLN")</f>
        <v>https://b2b.kobi.pl/pl/product/9945,oprawa-hermetyczna-hermic-1x120-ip65-kobi?currency=PLN</v>
      </c>
      <c r="Q208" t="s">
        <v>14</v>
      </c>
      <c r="R208"/>
      <c r="S208" t="s">
        <v>2571</v>
      </c>
      <c r="T208">
        <v>0.39</v>
      </c>
      <c r="U208">
        <v>0.95</v>
      </c>
      <c r="V208">
        <v>1.1599999999999999</v>
      </c>
      <c r="W208">
        <v>9.5</v>
      </c>
      <c r="X208">
        <v>6</v>
      </c>
      <c r="Y208">
        <v>126</v>
      </c>
    </row>
    <row r="209" spans="1:25" ht="60" customHeight="1" x14ac:dyDescent="0.25">
      <c r="A209"/>
      <c r="B209" t="s">
        <v>3</v>
      </c>
      <c r="C209" t="s">
        <v>582</v>
      </c>
      <c r="D209" t="s">
        <v>618</v>
      </c>
      <c r="E209" t="s">
        <v>969</v>
      </c>
      <c r="F209" t="s">
        <v>970</v>
      </c>
      <c r="G209" t="s">
        <v>947</v>
      </c>
      <c r="H209" s="11">
        <v>73.02</v>
      </c>
      <c r="I209" s="10">
        <f>H209*(1-IFERROR(VLOOKUP(G209,Rabat!$C$9:$D$43,2,0),0))</f>
        <v>73.02</v>
      </c>
      <c r="J209" t="s">
        <v>1815</v>
      </c>
      <c r="K209" t="s">
        <v>199</v>
      </c>
      <c r="L209" t="s">
        <v>1813</v>
      </c>
      <c r="M209">
        <v>6</v>
      </c>
      <c r="N209">
        <v>144</v>
      </c>
      <c r="O209" t="s">
        <v>1818</v>
      </c>
      <c r="P209" s="12" t="str">
        <f>HYPERLINK("https://b2b.kobi.pl/pl/product/9947,oprawa-hermetyczna-hermic-2x120-ip65-kobi?currency=PLN")</f>
        <v>https://b2b.kobi.pl/pl/product/9947,oprawa-hermetyczna-hermic-2x120-ip65-kobi?currency=PLN</v>
      </c>
      <c r="Q209" t="s">
        <v>14</v>
      </c>
      <c r="R209"/>
      <c r="S209" t="s">
        <v>2571</v>
      </c>
      <c r="T209">
        <v>0.53</v>
      </c>
      <c r="U209">
        <v>1.2929999999999999</v>
      </c>
      <c r="V209">
        <v>1.4</v>
      </c>
      <c r="W209">
        <v>126.9</v>
      </c>
      <c r="X209">
        <v>12.6</v>
      </c>
      <c r="Y209">
        <v>6</v>
      </c>
    </row>
    <row r="210" spans="1:25" ht="60" customHeight="1" x14ac:dyDescent="0.25">
      <c r="A210"/>
      <c r="B210" t="s">
        <v>3</v>
      </c>
      <c r="C210" t="s">
        <v>582</v>
      </c>
      <c r="D210" t="s">
        <v>618</v>
      </c>
      <c r="E210" t="s">
        <v>2182</v>
      </c>
      <c r="F210" t="s">
        <v>2183</v>
      </c>
      <c r="G210" t="s">
        <v>947</v>
      </c>
      <c r="H210" s="11">
        <v>56.99</v>
      </c>
      <c r="I210" s="10">
        <f>H210*(1-IFERROR(VLOOKUP(G210,Rabat!$C$9:$D$43,2,0),0))</f>
        <v>56.99</v>
      </c>
      <c r="J210" t="s">
        <v>1815</v>
      </c>
      <c r="K210" t="s">
        <v>2193</v>
      </c>
      <c r="L210" t="s">
        <v>1813</v>
      </c>
      <c r="M210">
        <v>8</v>
      </c>
      <c r="N210">
        <v>144</v>
      </c>
      <c r="O210" t="s">
        <v>1818</v>
      </c>
      <c r="P210" s="12" t="str">
        <f>HYPERLINK("https://b2b.kobi.pl/pl/product/12448,oprawa-hermetyczna-hermic-g2-2x120-ip65-kobi?currency=PLN")</f>
        <v>https://b2b.kobi.pl/pl/product/12448,oprawa-hermetyczna-hermic-g2-2x120-ip65-kobi?currency=PLN</v>
      </c>
      <c r="Q210" t="s">
        <v>14</v>
      </c>
      <c r="R210"/>
      <c r="S210" t="s">
        <v>2571</v>
      </c>
      <c r="T210">
        <v>0.39</v>
      </c>
      <c r="U210">
        <v>0.95</v>
      </c>
      <c r="V210">
        <v>1.1499999999999999</v>
      </c>
      <c r="W210">
        <v>133</v>
      </c>
      <c r="X210">
        <v>10.5</v>
      </c>
      <c r="Y210">
        <v>8</v>
      </c>
    </row>
    <row r="211" spans="1:25" ht="60" customHeight="1" x14ac:dyDescent="0.25">
      <c r="A211"/>
      <c r="B211" t="s">
        <v>3</v>
      </c>
      <c r="C211" t="s">
        <v>582</v>
      </c>
      <c r="D211" t="s">
        <v>16</v>
      </c>
      <c r="E211" t="s">
        <v>2278</v>
      </c>
      <c r="F211" t="s">
        <v>2279</v>
      </c>
      <c r="G211" t="s">
        <v>947</v>
      </c>
      <c r="H211" s="11">
        <v>36.6</v>
      </c>
      <c r="I211" s="10">
        <f>H211*(1-IFERROR(VLOOKUP(G211,Rabat!$C$9:$D$43,2,0),0))</f>
        <v>36.6</v>
      </c>
      <c r="J211" t="s">
        <v>1815</v>
      </c>
      <c r="K211" t="s">
        <v>2393</v>
      </c>
      <c r="L211" t="s">
        <v>1813</v>
      </c>
      <c r="M211">
        <v>10</v>
      </c>
      <c r="N211">
        <v>190</v>
      </c>
      <c r="O211" t="s">
        <v>1818</v>
      </c>
      <c r="P211" s="12" t="str">
        <f>HYPERLINK("https://b2b.kobi.pl/pl/product/12636,oprawa-hermetyczna-hermes-g2-2x120-ip65-led2b?currency=PLN")</f>
        <v>https://b2b.kobi.pl/pl/product/12636,oprawa-hermetyczna-hermes-g2-2x120-ip65-led2b?currency=PLN</v>
      </c>
      <c r="Q211" t="s">
        <v>14</v>
      </c>
      <c r="R211"/>
      <c r="S211" t="s">
        <v>2571</v>
      </c>
      <c r="T211">
        <v>0.26</v>
      </c>
      <c r="U211">
        <v>0.64</v>
      </c>
      <c r="V211">
        <v>0.78</v>
      </c>
      <c r="W211">
        <v>128</v>
      </c>
      <c r="X211">
        <v>9.1999999999999993</v>
      </c>
      <c r="Y211">
        <v>5.2</v>
      </c>
    </row>
    <row r="212" spans="1:25" ht="60" customHeight="1" x14ac:dyDescent="0.25">
      <c r="A212"/>
      <c r="B212" t="s">
        <v>3</v>
      </c>
      <c r="C212" t="s">
        <v>3754</v>
      </c>
      <c r="D212" t="s">
        <v>606</v>
      </c>
      <c r="E212" t="s">
        <v>900</v>
      </c>
      <c r="F212" t="s">
        <v>901</v>
      </c>
      <c r="G212" t="s">
        <v>576</v>
      </c>
      <c r="H212" s="11">
        <v>132.88999999999999</v>
      </c>
      <c r="I212" s="10">
        <f>H212*(1-IFERROR(VLOOKUP(G212,Rabat!$C$9:$D$43,2,0),0))</f>
        <v>132.88999999999999</v>
      </c>
      <c r="J212" t="s">
        <v>1815</v>
      </c>
      <c r="K212" t="s">
        <v>237</v>
      </c>
      <c r="L212" t="s">
        <v>1813</v>
      </c>
      <c r="M212">
        <v>6</v>
      </c>
      <c r="N212">
        <v>72</v>
      </c>
      <c r="O212" t="s">
        <v>1819</v>
      </c>
      <c r="P212" s="12" t="str">
        <f>HYPERLINK("https://b2b.kobi.pl/pl/product/9896,panel-led-brisbane-36w-60x60-4000k-bialy-kobi-premium?currency=PLN")</f>
        <v>https://b2b.kobi.pl/pl/product/9896,panel-led-brisbane-36w-60x60-4000k-bialy-kobi-premium?currency=PLN</v>
      </c>
      <c r="Q212" s="12" t="str">
        <f>HYPERLINK("https://eprel.ec.europa.eu/qr/1974395")</f>
        <v>https://eprel.ec.europa.eu/qr/1974395</v>
      </c>
      <c r="R212"/>
      <c r="S212" t="s">
        <v>2573</v>
      </c>
      <c r="T212">
        <v>1.23</v>
      </c>
      <c r="U212">
        <v>1.45</v>
      </c>
      <c r="V212">
        <v>1.69</v>
      </c>
      <c r="W212">
        <v>61</v>
      </c>
      <c r="X212">
        <v>4</v>
      </c>
      <c r="Y212">
        <v>61</v>
      </c>
    </row>
    <row r="213" spans="1:25" ht="60" customHeight="1" x14ac:dyDescent="0.25">
      <c r="A213"/>
      <c r="B213" t="s">
        <v>3</v>
      </c>
      <c r="C213" t="s">
        <v>3754</v>
      </c>
      <c r="D213" t="s">
        <v>606</v>
      </c>
      <c r="E213" t="s">
        <v>902</v>
      </c>
      <c r="F213" t="s">
        <v>903</v>
      </c>
      <c r="G213" t="s">
        <v>576</v>
      </c>
      <c r="H213" s="11">
        <v>132.88999999999999</v>
      </c>
      <c r="I213" s="10">
        <f>H213*(1-IFERROR(VLOOKUP(G213,Rabat!$C$9:$D$43,2,0),0))</f>
        <v>132.88999999999999</v>
      </c>
      <c r="J213" t="s">
        <v>1815</v>
      </c>
      <c r="K213" t="s">
        <v>236</v>
      </c>
      <c r="L213" t="s">
        <v>1813</v>
      </c>
      <c r="M213">
        <v>6</v>
      </c>
      <c r="N213">
        <v>72</v>
      </c>
      <c r="O213" t="s">
        <v>1819</v>
      </c>
      <c r="P213" s="12" t="str">
        <f>HYPERLINK("https://b2b.kobi.pl/pl/product/9897,panel-led-brisbane-36w-60x60-4000k-czarny-kobi-premium?currency=PLN")</f>
        <v>https://b2b.kobi.pl/pl/product/9897,panel-led-brisbane-36w-60x60-4000k-czarny-kobi-premium?currency=PLN</v>
      </c>
      <c r="Q213" s="12" t="str">
        <f>HYPERLINK("https://eprel.ec.europa.eu/qr/1974395")</f>
        <v>https://eprel.ec.europa.eu/qr/1974395</v>
      </c>
      <c r="R213"/>
      <c r="S213" t="s">
        <v>2573</v>
      </c>
      <c r="T213">
        <v>1.23</v>
      </c>
      <c r="U213">
        <v>1.45</v>
      </c>
      <c r="V213">
        <v>1.69</v>
      </c>
      <c r="W213">
        <v>61</v>
      </c>
      <c r="X213">
        <v>4</v>
      </c>
      <c r="Y213">
        <v>61</v>
      </c>
    </row>
    <row r="214" spans="1:25" ht="60" customHeight="1" x14ac:dyDescent="0.25">
      <c r="A214"/>
      <c r="B214" t="s">
        <v>3</v>
      </c>
      <c r="C214" t="s">
        <v>3754</v>
      </c>
      <c r="D214" t="s">
        <v>606</v>
      </c>
      <c r="E214" t="s">
        <v>904</v>
      </c>
      <c r="F214" t="s">
        <v>905</v>
      </c>
      <c r="G214" t="s">
        <v>576</v>
      </c>
      <c r="H214" s="11">
        <v>157.15</v>
      </c>
      <c r="I214" s="10">
        <f>H214*(1-IFERROR(VLOOKUP(G214,Rabat!$C$9:$D$43,2,0),0))</f>
        <v>157.15</v>
      </c>
      <c r="J214" t="s">
        <v>1815</v>
      </c>
      <c r="K214" t="s">
        <v>235</v>
      </c>
      <c r="L214" t="s">
        <v>1813</v>
      </c>
      <c r="M214">
        <v>6</v>
      </c>
      <c r="N214">
        <v>90</v>
      </c>
      <c r="O214" t="s">
        <v>1819</v>
      </c>
      <c r="P214" s="12" t="str">
        <f>HYPERLINK("https://b2b.kobi.pl/pl/product/9898,panel-led-brisbane-36w-30x120-4000k-bialy-kobi-premium?currency=PLN")</f>
        <v>https://b2b.kobi.pl/pl/product/9898,panel-led-brisbane-36w-30x120-4000k-bialy-kobi-premium?currency=PLN</v>
      </c>
      <c r="Q214" s="12" t="str">
        <f>HYPERLINK("https://eprel.ec.europa.eu/qr/1974462")</f>
        <v>https://eprel.ec.europa.eu/qr/1974462</v>
      </c>
      <c r="R214"/>
      <c r="S214" t="s">
        <v>2573</v>
      </c>
      <c r="T214">
        <v>1.3</v>
      </c>
      <c r="U214">
        <v>1.54</v>
      </c>
      <c r="V214">
        <v>1.8</v>
      </c>
      <c r="W214">
        <v>31</v>
      </c>
      <c r="X214">
        <v>4</v>
      </c>
      <c r="Y214">
        <v>121</v>
      </c>
    </row>
    <row r="215" spans="1:25" ht="60" customHeight="1" x14ac:dyDescent="0.25">
      <c r="A215"/>
      <c r="B215" t="s">
        <v>3</v>
      </c>
      <c r="C215" t="s">
        <v>3754</v>
      </c>
      <c r="D215" t="s">
        <v>606</v>
      </c>
      <c r="E215" t="s">
        <v>906</v>
      </c>
      <c r="F215" t="s">
        <v>907</v>
      </c>
      <c r="G215" t="s">
        <v>576</v>
      </c>
      <c r="H215" s="11">
        <v>157.15</v>
      </c>
      <c r="I215" s="10">
        <f>H215*(1-IFERROR(VLOOKUP(G215,Rabat!$C$9:$D$43,2,0),0))</f>
        <v>157.15</v>
      </c>
      <c r="J215" t="s">
        <v>1815</v>
      </c>
      <c r="K215" t="s">
        <v>234</v>
      </c>
      <c r="L215" t="s">
        <v>1813</v>
      </c>
      <c r="M215">
        <v>6</v>
      </c>
      <c r="N215">
        <v>90</v>
      </c>
      <c r="O215" t="s">
        <v>1819</v>
      </c>
      <c r="P215" s="12" t="str">
        <f>HYPERLINK("https://b2b.kobi.pl/pl/product/9899,panel-led-brisbane-36w-30x120-4000k-czarny-kobi-premium?currency=PLN")</f>
        <v>https://b2b.kobi.pl/pl/product/9899,panel-led-brisbane-36w-30x120-4000k-czarny-kobi-premium?currency=PLN</v>
      </c>
      <c r="Q215" s="12" t="str">
        <f>HYPERLINK("https://eprel.ec.europa.eu/qr/1974462")</f>
        <v>https://eprel.ec.europa.eu/qr/1974462</v>
      </c>
      <c r="R215"/>
      <c r="S215" t="s">
        <v>2573</v>
      </c>
      <c r="T215">
        <v>1.3</v>
      </c>
      <c r="U215">
        <v>1.54</v>
      </c>
      <c r="V215">
        <v>1.8</v>
      </c>
      <c r="W215">
        <v>31</v>
      </c>
      <c r="X215">
        <v>4</v>
      </c>
      <c r="Y215">
        <v>121</v>
      </c>
    </row>
    <row r="216" spans="1:25" ht="60" customHeight="1" x14ac:dyDescent="0.25">
      <c r="A216"/>
      <c r="B216" t="s">
        <v>3</v>
      </c>
      <c r="C216" t="s">
        <v>3754</v>
      </c>
      <c r="D216" t="s">
        <v>575</v>
      </c>
      <c r="E216" t="s">
        <v>916</v>
      </c>
      <c r="F216" t="s">
        <v>917</v>
      </c>
      <c r="G216" t="s">
        <v>576</v>
      </c>
      <c r="H216" s="11">
        <v>321.25</v>
      </c>
      <c r="I216" s="10">
        <f>H216*(1-IFERROR(VLOOKUP(G216,Rabat!$C$9:$D$43,2,0),0))</f>
        <v>321.25</v>
      </c>
      <c r="J216" t="s">
        <v>1815</v>
      </c>
      <c r="K216" t="s">
        <v>233</v>
      </c>
      <c r="L216" t="s">
        <v>1813</v>
      </c>
      <c r="M216">
        <v>6</v>
      </c>
      <c r="N216">
        <v>60</v>
      </c>
      <c r="O216" t="s">
        <v>1814</v>
      </c>
      <c r="P216" s="12" t="str">
        <f>HYPERLINK("https://b2b.kobi.pl/pl/product/9913,panel-led-capri-40w-60x60-4000k-ip65-kobi-pro?currency=PLN")</f>
        <v>https://b2b.kobi.pl/pl/product/9913,panel-led-capri-40w-60x60-4000k-ip65-kobi-pro?currency=PLN</v>
      </c>
      <c r="Q216" s="12" t="str">
        <f>HYPERLINK("https://eprel.ec.europa.eu/qr/2049249")</f>
        <v>https://eprel.ec.europa.eu/qr/2049249</v>
      </c>
      <c r="R216"/>
      <c r="S216" t="s">
        <v>2573</v>
      </c>
      <c r="T216">
        <v>1.26</v>
      </c>
      <c r="U216">
        <v>1.486</v>
      </c>
      <c r="V216">
        <v>1.6346000000000001</v>
      </c>
      <c r="W216">
        <v>60</v>
      </c>
      <c r="X216">
        <v>60</v>
      </c>
      <c r="Y216">
        <v>3.5</v>
      </c>
    </row>
    <row r="217" spans="1:25" ht="60" customHeight="1" x14ac:dyDescent="0.25">
      <c r="A217"/>
      <c r="B217" t="s">
        <v>3</v>
      </c>
      <c r="C217" t="s">
        <v>3754</v>
      </c>
      <c r="D217" t="s">
        <v>575</v>
      </c>
      <c r="E217" t="s">
        <v>3562</v>
      </c>
      <c r="F217" t="s">
        <v>3563</v>
      </c>
      <c r="G217" t="s">
        <v>576</v>
      </c>
      <c r="H217" s="11">
        <v>166.67</v>
      </c>
      <c r="I217" s="10">
        <f>H217*(1-IFERROR(VLOOKUP(G217,Rabat!$C$9:$D$43,2,0),0))</f>
        <v>166.67</v>
      </c>
      <c r="J217"/>
      <c r="K217" t="s">
        <v>3581</v>
      </c>
      <c r="L217" t="s">
        <v>1813</v>
      </c>
      <c r="M217">
        <v>6</v>
      </c>
      <c r="N217">
        <v>72</v>
      </c>
      <c r="O217" t="s">
        <v>1814</v>
      </c>
      <c r="P217" s="12" t="str">
        <f>HYPERLINK("https://b2b.kobi.pl/pl/product/12271,panel-led-nelio-g2-36w-60x60-3000k-kobi-pro?currency=PLN")</f>
        <v>https://b2b.kobi.pl/pl/product/12271,panel-led-nelio-g2-36w-60x60-3000k-kobi-pro?currency=PLN</v>
      </c>
      <c r="Q217" s="12" t="str">
        <f>HYPERLINK("https://eprel.ec.europa.eu/qr/2206660")</f>
        <v>https://eprel.ec.europa.eu/qr/2206660</v>
      </c>
      <c r="R217"/>
      <c r="S217" t="s">
        <v>2573</v>
      </c>
      <c r="T217">
        <v>1.54</v>
      </c>
      <c r="U217">
        <v>1.82</v>
      </c>
      <c r="V217">
        <v>2.23</v>
      </c>
      <c r="W217">
        <v>63</v>
      </c>
      <c r="X217">
        <v>66.5</v>
      </c>
      <c r="Y217">
        <v>3.5</v>
      </c>
    </row>
    <row r="218" spans="1:25" ht="60" customHeight="1" x14ac:dyDescent="0.25">
      <c r="A218"/>
      <c r="B218" t="s">
        <v>3</v>
      </c>
      <c r="C218" t="s">
        <v>3754</v>
      </c>
      <c r="D218" t="s">
        <v>575</v>
      </c>
      <c r="E218" t="s">
        <v>3755</v>
      </c>
      <c r="F218" t="s">
        <v>3756</v>
      </c>
      <c r="G218" t="s">
        <v>576</v>
      </c>
      <c r="H218" s="11">
        <v>177.78</v>
      </c>
      <c r="I218" s="10">
        <f>H218*(1-IFERROR(VLOOKUP(G218,Rabat!$C$9:$D$43,2,0),0))</f>
        <v>177.78</v>
      </c>
      <c r="J218" t="s">
        <v>1815</v>
      </c>
      <c r="K218" t="s">
        <v>4108</v>
      </c>
      <c r="L218" t="s">
        <v>1813</v>
      </c>
      <c r="M218">
        <v>6</v>
      </c>
      <c r="N218">
        <v>72</v>
      </c>
      <c r="O218" t="s">
        <v>1814</v>
      </c>
      <c r="P218" s="12" t="str">
        <f>HYPERLINK("https://b2b.kobi.pl/pl/product/12691,panel-led-nelio-g2-36w-30x120-4000k-kobi-pro?currency=PLN")</f>
        <v>https://b2b.kobi.pl/pl/product/12691,panel-led-nelio-g2-36w-30x120-4000k-kobi-pro?currency=PLN</v>
      </c>
      <c r="Q218" s="12" t="str">
        <f>HYPERLINK("https://eprel.ec.europa.eu/qr/2355640")</f>
        <v>https://eprel.ec.europa.eu/qr/2355640</v>
      </c>
      <c r="R218"/>
      <c r="S218" t="s">
        <v>2573</v>
      </c>
      <c r="T218">
        <v>1.83</v>
      </c>
      <c r="U218">
        <v>2.17</v>
      </c>
      <c r="V218">
        <v>2.56</v>
      </c>
      <c r="W218">
        <v>126</v>
      </c>
      <c r="X218">
        <v>3.5</v>
      </c>
      <c r="Y218">
        <v>33</v>
      </c>
    </row>
    <row r="219" spans="1:25" ht="60" customHeight="1" x14ac:dyDescent="0.25">
      <c r="A219"/>
      <c r="B219" t="s">
        <v>3</v>
      </c>
      <c r="C219" t="s">
        <v>3754</v>
      </c>
      <c r="D219" t="s">
        <v>618</v>
      </c>
      <c r="E219" t="s">
        <v>1314</v>
      </c>
      <c r="F219" t="s">
        <v>1315</v>
      </c>
      <c r="G219" t="s">
        <v>576</v>
      </c>
      <c r="H219" s="11">
        <v>36.979999999999997</v>
      </c>
      <c r="I219" s="10">
        <f>H219*(1-IFERROR(VLOOKUP(G219,Rabat!$C$9:$D$43,2,0),0))</f>
        <v>36.979999999999997</v>
      </c>
      <c r="J219" t="s">
        <v>1815</v>
      </c>
      <c r="K219" t="s">
        <v>182</v>
      </c>
      <c r="L219" t="s">
        <v>1813</v>
      </c>
      <c r="M219">
        <v>20</v>
      </c>
      <c r="N219">
        <v>800</v>
      </c>
      <c r="O219" t="s">
        <v>1818</v>
      </c>
      <c r="P219" s="12" t="str">
        <f>HYPERLINK("https://b2b.kobi.pl/pl/product/10123,ramka-45mm-do-panelu-led-30x60-klik-kobi?currency=PLN")</f>
        <v>https://b2b.kobi.pl/pl/product/10123,ramka-45mm-do-panelu-led-30x60-klik-kobi?currency=PLN</v>
      </c>
      <c r="Q219" t="s">
        <v>14</v>
      </c>
      <c r="R219"/>
      <c r="S219" t="s">
        <v>2574</v>
      </c>
      <c r="T219">
        <v>0</v>
      </c>
      <c r="U219">
        <v>0.30499999999999999</v>
      </c>
      <c r="V219">
        <v>0.32</v>
      </c>
      <c r="W219">
        <v>60</v>
      </c>
      <c r="X219">
        <v>5</v>
      </c>
      <c r="Y219">
        <v>5</v>
      </c>
    </row>
    <row r="220" spans="1:25" ht="60" customHeight="1" x14ac:dyDescent="0.25">
      <c r="A220"/>
      <c r="B220" t="s">
        <v>3</v>
      </c>
      <c r="C220" t="s">
        <v>3754</v>
      </c>
      <c r="D220" t="s">
        <v>618</v>
      </c>
      <c r="E220" t="s">
        <v>1318</v>
      </c>
      <c r="F220" t="s">
        <v>1319</v>
      </c>
      <c r="G220" t="s">
        <v>576</v>
      </c>
      <c r="H220" s="11">
        <v>49.3</v>
      </c>
      <c r="I220" s="10">
        <f>H220*(1-IFERROR(VLOOKUP(G220,Rabat!$C$9:$D$43,2,0),0))</f>
        <v>49.3</v>
      </c>
      <c r="J220" t="s">
        <v>1815</v>
      </c>
      <c r="K220" t="s">
        <v>183</v>
      </c>
      <c r="L220" t="s">
        <v>1813</v>
      </c>
      <c r="M220">
        <v>20</v>
      </c>
      <c r="N220">
        <v>960</v>
      </c>
      <c r="O220" t="s">
        <v>1818</v>
      </c>
      <c r="P220" s="12" t="str">
        <f>HYPERLINK("https://b2b.kobi.pl/pl/product/10124,ramka-45mm-do-panelu-led-60x60-klik-kobi?currency=PLN")</f>
        <v>https://b2b.kobi.pl/pl/product/10124,ramka-45mm-do-panelu-led-60x60-klik-kobi?currency=PLN</v>
      </c>
      <c r="Q220" t="s">
        <v>14</v>
      </c>
      <c r="R220"/>
      <c r="S220" t="s">
        <v>2574</v>
      </c>
      <c r="T220">
        <v>0</v>
      </c>
      <c r="U220">
        <v>0.39</v>
      </c>
      <c r="V220">
        <v>0.6</v>
      </c>
      <c r="W220">
        <v>60</v>
      </c>
      <c r="X220">
        <v>4</v>
      </c>
      <c r="Y220">
        <v>6.5</v>
      </c>
    </row>
    <row r="221" spans="1:25" ht="60" customHeight="1" x14ac:dyDescent="0.25">
      <c r="A221"/>
      <c r="B221" t="s">
        <v>3</v>
      </c>
      <c r="C221" t="s">
        <v>3754</v>
      </c>
      <c r="D221" t="s">
        <v>618</v>
      </c>
      <c r="E221" t="s">
        <v>1316</v>
      </c>
      <c r="F221" t="s">
        <v>1317</v>
      </c>
      <c r="G221" t="s">
        <v>576</v>
      </c>
      <c r="H221" s="11">
        <v>58.24</v>
      </c>
      <c r="I221" s="10">
        <f>H221*(1-IFERROR(VLOOKUP(G221,Rabat!$C$9:$D$43,2,0),0))</f>
        <v>58.24</v>
      </c>
      <c r="J221" t="s">
        <v>1815</v>
      </c>
      <c r="K221" t="s">
        <v>181</v>
      </c>
      <c r="L221" t="s">
        <v>1813</v>
      </c>
      <c r="M221">
        <v>20</v>
      </c>
      <c r="N221"/>
      <c r="O221" t="s">
        <v>1818</v>
      </c>
      <c r="P221" s="12" t="str">
        <f>HYPERLINK("https://b2b.kobi.pl/pl/product/10122,ramka-45mm-do-panelu-led-30x120-klik-kobi?currency=PLN")</f>
        <v>https://b2b.kobi.pl/pl/product/10122,ramka-45mm-do-panelu-led-30x120-klik-kobi?currency=PLN</v>
      </c>
      <c r="Q221" t="s">
        <v>14</v>
      </c>
      <c r="R221"/>
      <c r="S221" t="s">
        <v>2574</v>
      </c>
      <c r="T221">
        <v>0</v>
      </c>
      <c r="U221">
        <v>0.7</v>
      </c>
      <c r="V221">
        <v>0.73</v>
      </c>
      <c r="W221">
        <v>120</v>
      </c>
      <c r="X221">
        <v>4</v>
      </c>
      <c r="Y221">
        <v>6.5</v>
      </c>
    </row>
    <row r="222" spans="1:25" ht="60" customHeight="1" x14ac:dyDescent="0.25">
      <c r="A222"/>
      <c r="B222" t="s">
        <v>3</v>
      </c>
      <c r="C222" t="s">
        <v>3754</v>
      </c>
      <c r="D222" t="s">
        <v>618</v>
      </c>
      <c r="E222" t="s">
        <v>1322</v>
      </c>
      <c r="F222" t="s">
        <v>1323</v>
      </c>
      <c r="G222" t="s">
        <v>576</v>
      </c>
      <c r="H222" s="11">
        <v>63.07</v>
      </c>
      <c r="I222" s="10">
        <f>H222*(1-IFERROR(VLOOKUP(G222,Rabat!$C$9:$D$43,2,0),0))</f>
        <v>63.07</v>
      </c>
      <c r="J222" t="s">
        <v>1815</v>
      </c>
      <c r="K222" t="s">
        <v>185</v>
      </c>
      <c r="L222" t="s">
        <v>1813</v>
      </c>
      <c r="M222">
        <v>20</v>
      </c>
      <c r="N222">
        <v>600</v>
      </c>
      <c r="O222" t="s">
        <v>1818</v>
      </c>
      <c r="P222" s="12" t="str">
        <f>HYPERLINK("https://b2b.kobi.pl/pl/product/10120,ramka-63mm-do-panelu-led-60x60-klik-kobi?currency=PLN")</f>
        <v>https://b2b.kobi.pl/pl/product/10120,ramka-63mm-do-panelu-led-60x60-klik-kobi?currency=PLN</v>
      </c>
      <c r="Q222" t="s">
        <v>14</v>
      </c>
      <c r="R222"/>
      <c r="S222" t="s">
        <v>2574</v>
      </c>
      <c r="T222">
        <v>0</v>
      </c>
      <c r="U222">
        <v>0.65</v>
      </c>
      <c r="V222">
        <v>0.65100000000000002</v>
      </c>
      <c r="W222">
        <v>60</v>
      </c>
      <c r="X222">
        <v>6.5</v>
      </c>
      <c r="Y222">
        <v>4</v>
      </c>
    </row>
    <row r="223" spans="1:25" ht="60" customHeight="1" x14ac:dyDescent="0.25">
      <c r="A223"/>
      <c r="B223" t="s">
        <v>3</v>
      </c>
      <c r="C223" t="s">
        <v>3754</v>
      </c>
      <c r="D223" t="s">
        <v>618</v>
      </c>
      <c r="E223" t="s">
        <v>3757</v>
      </c>
      <c r="F223" t="s">
        <v>3758</v>
      </c>
      <c r="G223" t="s">
        <v>576</v>
      </c>
      <c r="H223" s="11">
        <v>49</v>
      </c>
      <c r="I223" s="10">
        <f>H223*(1-IFERROR(VLOOKUP(G223,Rabat!$C$9:$D$43,2,0),0))</f>
        <v>49</v>
      </c>
      <c r="J223" t="s">
        <v>1815</v>
      </c>
      <c r="K223" t="s">
        <v>4109</v>
      </c>
      <c r="L223" t="s">
        <v>1813</v>
      </c>
      <c r="M223">
        <v>12</v>
      </c>
      <c r="N223">
        <v>360</v>
      </c>
      <c r="O223" t="s">
        <v>1818</v>
      </c>
      <c r="P223" s="12" t="str">
        <f>HYPERLINK("https://b2b.kobi.pl/pl/product/13526,ramka-65mm-do-panelu-led-60x60-kobi?currency=PLN")</f>
        <v>https://b2b.kobi.pl/pl/product/13526,ramka-65mm-do-panelu-led-60x60-kobi?currency=PLN</v>
      </c>
      <c r="Q223" t="s">
        <v>14</v>
      </c>
      <c r="R223" t="s">
        <v>4101</v>
      </c>
      <c r="S223" t="s">
        <v>2574</v>
      </c>
      <c r="T223">
        <v>0</v>
      </c>
      <c r="U223">
        <v>1.0580000000000001</v>
      </c>
      <c r="V223">
        <v>1.07</v>
      </c>
      <c r="W223">
        <v>61.2</v>
      </c>
      <c r="X223">
        <v>6.6</v>
      </c>
      <c r="Y223">
        <v>6.8</v>
      </c>
    </row>
    <row r="224" spans="1:25" ht="60" customHeight="1" x14ac:dyDescent="0.25">
      <c r="A224"/>
      <c r="B224" t="s">
        <v>3</v>
      </c>
      <c r="C224" t="s">
        <v>3754</v>
      </c>
      <c r="D224" t="s">
        <v>618</v>
      </c>
      <c r="E224" t="s">
        <v>1320</v>
      </c>
      <c r="F224" t="s">
        <v>1321</v>
      </c>
      <c r="G224" t="s">
        <v>576</v>
      </c>
      <c r="H224" s="11">
        <v>85.28</v>
      </c>
      <c r="I224" s="10">
        <f>H224*(1-IFERROR(VLOOKUP(G224,Rabat!$C$9:$D$43,2,0),0))</f>
        <v>85.28</v>
      </c>
      <c r="J224" t="s">
        <v>1815</v>
      </c>
      <c r="K224" t="s">
        <v>184</v>
      </c>
      <c r="L224" t="s">
        <v>1813</v>
      </c>
      <c r="M224">
        <v>20</v>
      </c>
      <c r="N224">
        <v>360</v>
      </c>
      <c r="O224" t="s">
        <v>1818</v>
      </c>
      <c r="P224" s="12" t="str">
        <f>HYPERLINK("https://b2b.kobi.pl/pl/product/10119,ramka-63mm-do-panelu-led-30x120-klik-kobi?currency=PLN")</f>
        <v>https://b2b.kobi.pl/pl/product/10119,ramka-63mm-do-panelu-led-30x120-klik-kobi?currency=PLN</v>
      </c>
      <c r="Q224" t="s">
        <v>14</v>
      </c>
      <c r="R224"/>
      <c r="S224" t="s">
        <v>2574</v>
      </c>
      <c r="T224">
        <v>0</v>
      </c>
      <c r="U224">
        <v>0.78700000000000003</v>
      </c>
      <c r="V224">
        <v>0.82</v>
      </c>
      <c r="W224">
        <v>120</v>
      </c>
      <c r="X224">
        <v>6.5</v>
      </c>
      <c r="Y224">
        <v>4</v>
      </c>
    </row>
    <row r="225" spans="1:25" ht="60" customHeight="1" x14ac:dyDescent="0.25">
      <c r="A225"/>
      <c r="B225" t="s">
        <v>3</v>
      </c>
      <c r="C225" t="s">
        <v>3754</v>
      </c>
      <c r="D225" t="s">
        <v>618</v>
      </c>
      <c r="E225" t="s">
        <v>1324</v>
      </c>
      <c r="F225" t="s">
        <v>1325</v>
      </c>
      <c r="G225" t="s">
        <v>576</v>
      </c>
      <c r="H225" s="11">
        <v>67.02</v>
      </c>
      <c r="I225" s="10">
        <f>H225*(1-IFERROR(VLOOKUP(G225,Rabat!$C$9:$D$43,2,0),0))</f>
        <v>67.02</v>
      </c>
      <c r="J225" t="s">
        <v>1815</v>
      </c>
      <c r="K225" t="s">
        <v>188</v>
      </c>
      <c r="L225" t="s">
        <v>1813</v>
      </c>
      <c r="M225">
        <v>20</v>
      </c>
      <c r="N225">
        <v>400</v>
      </c>
      <c r="O225" t="s">
        <v>1818</v>
      </c>
      <c r="P225" s="12" t="str">
        <f>HYPERLINK("https://b2b.kobi.pl/pl/product/10117,ramka-70mm-do-panelu-led-60x60-klik-kobi?currency=PLN")</f>
        <v>https://b2b.kobi.pl/pl/product/10117,ramka-70mm-do-panelu-led-60x60-klik-kobi?currency=PLN</v>
      </c>
      <c r="Q225" t="s">
        <v>14</v>
      </c>
      <c r="R225"/>
      <c r="S225" t="s">
        <v>2574</v>
      </c>
      <c r="T225">
        <v>0</v>
      </c>
      <c r="U225">
        <v>0.62</v>
      </c>
      <c r="V225">
        <v>0.62</v>
      </c>
      <c r="W225">
        <v>60</v>
      </c>
      <c r="X225">
        <v>60</v>
      </c>
      <c r="Y225">
        <v>7</v>
      </c>
    </row>
    <row r="226" spans="1:25" ht="60" customHeight="1" x14ac:dyDescent="0.25">
      <c r="A226"/>
      <c r="B226" t="s">
        <v>3</v>
      </c>
      <c r="C226" t="s">
        <v>3754</v>
      </c>
      <c r="D226" t="s">
        <v>618</v>
      </c>
      <c r="E226" t="s">
        <v>3759</v>
      </c>
      <c r="F226" t="s">
        <v>1431</v>
      </c>
      <c r="G226" t="s">
        <v>576</v>
      </c>
      <c r="H226" s="11">
        <v>28.71</v>
      </c>
      <c r="I226" s="10">
        <f>H226*(1-IFERROR(VLOOKUP(G226,Rabat!$C$9:$D$43,2,0),0))</f>
        <v>28.71</v>
      </c>
      <c r="J226" t="s">
        <v>1815</v>
      </c>
      <c r="K226" t="s">
        <v>186</v>
      </c>
      <c r="L226" t="s">
        <v>1833</v>
      </c>
      <c r="M226">
        <v>250</v>
      </c>
      <c r="N226"/>
      <c r="O226" t="s">
        <v>1818</v>
      </c>
      <c r="P226" s="12" t="str">
        <f>HYPERLINK("https://b2b.kobi.pl/pl/product/10125,uchwyty-do-kartongipsu-nelio-60x60-kobi?currency=PLN")</f>
        <v>https://b2b.kobi.pl/pl/product/10125,uchwyty-do-kartongipsu-nelio-60x60-kobi?currency=PLN</v>
      </c>
      <c r="Q226" t="s">
        <v>14</v>
      </c>
      <c r="R226"/>
      <c r="S226" t="s">
        <v>2574</v>
      </c>
      <c r="T226">
        <v>0</v>
      </c>
      <c r="U226">
        <v>5.6000000000000001E-2</v>
      </c>
      <c r="V226">
        <v>0.06</v>
      </c>
      <c r="W226">
        <v>3</v>
      </c>
      <c r="X226">
        <v>7</v>
      </c>
      <c r="Y226">
        <v>11</v>
      </c>
    </row>
    <row r="227" spans="1:25" ht="60" customHeight="1" x14ac:dyDescent="0.25">
      <c r="A227"/>
      <c r="B227" t="s">
        <v>3</v>
      </c>
      <c r="C227" t="s">
        <v>3754</v>
      </c>
      <c r="D227" t="s">
        <v>618</v>
      </c>
      <c r="E227" t="s">
        <v>3760</v>
      </c>
      <c r="F227" t="s">
        <v>1430</v>
      </c>
      <c r="G227" t="s">
        <v>576</v>
      </c>
      <c r="H227" s="11">
        <v>32.07</v>
      </c>
      <c r="I227" s="10">
        <f>H227*(1-IFERROR(VLOOKUP(G227,Rabat!$C$9:$D$43,2,0),0))</f>
        <v>32.07</v>
      </c>
      <c r="J227" t="s">
        <v>1815</v>
      </c>
      <c r="K227" t="s">
        <v>187</v>
      </c>
      <c r="L227" t="s">
        <v>1833</v>
      </c>
      <c r="M227">
        <v>150</v>
      </c>
      <c r="N227"/>
      <c r="O227" t="s">
        <v>1818</v>
      </c>
      <c r="P227" s="12" t="str">
        <f>HYPERLINK("https://b2b.kobi.pl/pl/product/10126,uchwyty-do-kartongipsu-nelio-30x120-kobi?currency=PLN")</f>
        <v>https://b2b.kobi.pl/pl/product/10126,uchwyty-do-kartongipsu-nelio-30x120-kobi?currency=PLN</v>
      </c>
      <c r="Q227" t="s">
        <v>14</v>
      </c>
      <c r="R227"/>
      <c r="S227" t="s">
        <v>2574</v>
      </c>
      <c r="T227">
        <v>0</v>
      </c>
      <c r="U227">
        <v>8.5999999999999993E-2</v>
      </c>
      <c r="V227">
        <v>0.1</v>
      </c>
      <c r="W227">
        <v>4</v>
      </c>
      <c r="X227">
        <v>8.6</v>
      </c>
      <c r="Y227">
        <v>14</v>
      </c>
    </row>
    <row r="228" spans="1:25" ht="60" customHeight="1" x14ac:dyDescent="0.25">
      <c r="A228"/>
      <c r="B228" t="s">
        <v>3</v>
      </c>
      <c r="C228" t="s">
        <v>3754</v>
      </c>
      <c r="D228" t="s">
        <v>618</v>
      </c>
      <c r="E228" t="s">
        <v>952</v>
      </c>
      <c r="F228" t="s">
        <v>953</v>
      </c>
      <c r="G228" t="s">
        <v>576</v>
      </c>
      <c r="H228" s="11">
        <v>17.34</v>
      </c>
      <c r="I228" s="10">
        <f>H228*(1-IFERROR(VLOOKUP(G228,Rabat!$C$9:$D$43,2,0),0))</f>
        <v>17.34</v>
      </c>
      <c r="J228" t="s">
        <v>1815</v>
      </c>
      <c r="K228" t="s">
        <v>180</v>
      </c>
      <c r="L228" t="s">
        <v>1833</v>
      </c>
      <c r="M228">
        <v>200</v>
      </c>
      <c r="N228"/>
      <c r="O228" t="s">
        <v>1818</v>
      </c>
      <c r="P228" s="12" t="str">
        <f>HYPERLINK("https://b2b.kobi.pl/pl/product/10114,linka-do-panelu-led-kobi?currency=PLN")</f>
        <v>https://b2b.kobi.pl/pl/product/10114,linka-do-panelu-led-kobi?currency=PLN</v>
      </c>
      <c r="Q228" t="s">
        <v>14</v>
      </c>
      <c r="R228"/>
      <c r="S228" t="s">
        <v>2574</v>
      </c>
      <c r="T228">
        <v>0</v>
      </c>
      <c r="U228">
        <v>9.8000000000000004E-2</v>
      </c>
      <c r="V228">
        <v>0.13100000000000001</v>
      </c>
      <c r="W228">
        <v>5</v>
      </c>
      <c r="X228">
        <v>2</v>
      </c>
      <c r="Y228">
        <v>2</v>
      </c>
    </row>
    <row r="229" spans="1:25" ht="60" customHeight="1" x14ac:dyDescent="0.25">
      <c r="A229"/>
      <c r="B229" t="s">
        <v>3</v>
      </c>
      <c r="C229" t="s">
        <v>3754</v>
      </c>
      <c r="D229" t="s">
        <v>575</v>
      </c>
      <c r="E229" t="s">
        <v>1450</v>
      </c>
      <c r="F229" t="s">
        <v>1451</v>
      </c>
      <c r="G229" t="s">
        <v>576</v>
      </c>
      <c r="H229" s="11">
        <v>45.76</v>
      </c>
      <c r="I229" s="10">
        <f>H229*(1-IFERROR(VLOOKUP(G229,Rabat!$C$9:$D$43,2,0),0))</f>
        <v>45.76</v>
      </c>
      <c r="J229" t="s">
        <v>1815</v>
      </c>
      <c r="K229" t="s">
        <v>189</v>
      </c>
      <c r="L229" t="s">
        <v>1813</v>
      </c>
      <c r="M229">
        <v>1</v>
      </c>
      <c r="N229"/>
      <c r="O229" t="s">
        <v>1814</v>
      </c>
      <c r="P229" s="12" t="str">
        <f>HYPERLINK("https://b2b.kobi.pl/pl/product/10228,zasilacz-do-panelu-led-36w-lf-gif040ys900h?currency=PLN")</f>
        <v>https://b2b.kobi.pl/pl/product/10228,zasilacz-do-panelu-led-36w-lf-gif040ys900h?currency=PLN</v>
      </c>
      <c r="Q229" t="s">
        <v>14</v>
      </c>
      <c r="R229"/>
      <c r="S229" t="s">
        <v>2572</v>
      </c>
      <c r="T229">
        <v>0.04</v>
      </c>
      <c r="U229">
        <v>0.1</v>
      </c>
      <c r="V229">
        <v>0.1</v>
      </c>
      <c r="W229">
        <v>0</v>
      </c>
      <c r="X229">
        <v>0</v>
      </c>
      <c r="Y229">
        <v>0</v>
      </c>
    </row>
    <row r="230" spans="1:25" ht="60" customHeight="1" x14ac:dyDescent="0.25">
      <c r="A230"/>
      <c r="B230" t="s">
        <v>3</v>
      </c>
      <c r="C230" t="s">
        <v>3754</v>
      </c>
      <c r="D230" t="s">
        <v>618</v>
      </c>
      <c r="E230" t="s">
        <v>1456</v>
      </c>
      <c r="F230" t="s">
        <v>1457</v>
      </c>
      <c r="G230" t="s">
        <v>576</v>
      </c>
      <c r="H230" s="11">
        <v>205.69</v>
      </c>
      <c r="I230" s="10">
        <f>H230*(1-IFERROR(VLOOKUP(G230,Rabat!$C$9:$D$43,2,0),0))</f>
        <v>205.69</v>
      </c>
      <c r="J230" t="s">
        <v>1815</v>
      </c>
      <c r="K230" t="s">
        <v>1899</v>
      </c>
      <c r="L230" t="s">
        <v>1833</v>
      </c>
      <c r="M230">
        <v>1</v>
      </c>
      <c r="N230"/>
      <c r="O230" t="s">
        <v>1814</v>
      </c>
      <c r="P230" s="12" t="str">
        <f>HYPERLINK("https://b2b.kobi.pl/pl/product/9916,zasilacz-lf-gsd040yc-dali-lifud?currency=PLN")</f>
        <v>https://b2b.kobi.pl/pl/product/9916,zasilacz-lf-gsd040yc-dali-lifud?currency=PLN</v>
      </c>
      <c r="Q230" t="s">
        <v>14</v>
      </c>
      <c r="R230"/>
      <c r="S230" t="s">
        <v>2572</v>
      </c>
      <c r="T230">
        <v>7.0000000000000007E-2</v>
      </c>
      <c r="U230">
        <v>0.17</v>
      </c>
      <c r="V230">
        <v>0.17</v>
      </c>
      <c r="W230">
        <v>10.7</v>
      </c>
      <c r="X230">
        <v>7</v>
      </c>
      <c r="Y230">
        <v>2.9</v>
      </c>
    </row>
    <row r="231" spans="1:25" ht="60" customHeight="1" x14ac:dyDescent="0.25">
      <c r="A231"/>
      <c r="B231" t="s">
        <v>3</v>
      </c>
      <c r="C231" t="s">
        <v>3754</v>
      </c>
      <c r="D231" t="s">
        <v>575</v>
      </c>
      <c r="E231" t="s">
        <v>1452</v>
      </c>
      <c r="F231" t="s">
        <v>1453</v>
      </c>
      <c r="G231" t="s">
        <v>576</v>
      </c>
      <c r="H231" s="11">
        <v>46.8</v>
      </c>
      <c r="I231" s="10">
        <f>H231*(1-IFERROR(VLOOKUP(G231,Rabat!$C$9:$D$43,2,0),0))</f>
        <v>46.8</v>
      </c>
      <c r="J231" t="s">
        <v>1815</v>
      </c>
      <c r="K231" t="s">
        <v>190</v>
      </c>
      <c r="L231" t="s">
        <v>1813</v>
      </c>
      <c r="M231">
        <v>1</v>
      </c>
      <c r="N231"/>
      <c r="O231" t="s">
        <v>1814</v>
      </c>
      <c r="P231" s="12" t="str">
        <f>HYPERLINK("https://b2b.kobi.pl/pl/product/10229,zasilacz-do-panelu-led-40w-lf-gif040ys1000h?currency=PLN")</f>
        <v>https://b2b.kobi.pl/pl/product/10229,zasilacz-do-panelu-led-40w-lf-gif040ys1000h?currency=PLN</v>
      </c>
      <c r="Q231" t="s">
        <v>14</v>
      </c>
      <c r="R231"/>
      <c r="S231" t="s">
        <v>2575</v>
      </c>
      <c r="T231">
        <v>0.04</v>
      </c>
      <c r="U231">
        <v>0.1</v>
      </c>
      <c r="V231">
        <v>0.1</v>
      </c>
      <c r="W231">
        <v>0</v>
      </c>
      <c r="X231">
        <v>0</v>
      </c>
      <c r="Y231">
        <v>0</v>
      </c>
    </row>
    <row r="232" spans="1:25" ht="60" customHeight="1" x14ac:dyDescent="0.25">
      <c r="A232"/>
      <c r="B232" t="s">
        <v>3</v>
      </c>
      <c r="C232" t="s">
        <v>3754</v>
      </c>
      <c r="D232" t="s">
        <v>575</v>
      </c>
      <c r="E232" t="s">
        <v>1454</v>
      </c>
      <c r="F232" t="s">
        <v>1455</v>
      </c>
      <c r="G232" t="s">
        <v>576</v>
      </c>
      <c r="H232" s="11">
        <v>223.6</v>
      </c>
      <c r="I232" s="10">
        <f>H232*(1-IFERROR(VLOOKUP(G232,Rabat!$C$9:$D$43,2,0),0))</f>
        <v>223.6</v>
      </c>
      <c r="J232" t="s">
        <v>1815</v>
      </c>
      <c r="K232" t="s">
        <v>191</v>
      </c>
      <c r="L232" t="s">
        <v>1813</v>
      </c>
      <c r="M232">
        <v>1</v>
      </c>
      <c r="N232"/>
      <c r="O232" t="s">
        <v>1814</v>
      </c>
      <c r="P232" s="12" t="str">
        <f>HYPERLINK("https://b2b.kobi.pl/pl/product/10230,zasilacz-lf-gsd020yc-lifud-dali?currency=PLN")</f>
        <v>https://b2b.kobi.pl/pl/product/10230,zasilacz-lf-gsd020yc-lifud-dali?currency=PLN</v>
      </c>
      <c r="Q232" t="s">
        <v>14</v>
      </c>
      <c r="R232"/>
      <c r="S232" t="s">
        <v>2572</v>
      </c>
      <c r="T232">
        <v>0.05</v>
      </c>
      <c r="U232">
        <v>0.13</v>
      </c>
      <c r="V232">
        <v>0.13</v>
      </c>
      <c r="W232">
        <v>0</v>
      </c>
      <c r="X232">
        <v>0</v>
      </c>
      <c r="Y232">
        <v>0</v>
      </c>
    </row>
    <row r="233" spans="1:25" ht="60" customHeight="1" x14ac:dyDescent="0.25">
      <c r="A233"/>
      <c r="B233" t="s">
        <v>3</v>
      </c>
      <c r="C233" t="s">
        <v>3754</v>
      </c>
      <c r="D233" t="s">
        <v>575</v>
      </c>
      <c r="E233" t="s">
        <v>2188</v>
      </c>
      <c r="F233" t="s">
        <v>2189</v>
      </c>
      <c r="G233" t="s">
        <v>576</v>
      </c>
      <c r="H233" s="11">
        <v>245.44</v>
      </c>
      <c r="I233" s="10">
        <f>H233*(1-IFERROR(VLOOKUP(G233,Rabat!$C$9:$D$43,2,0),0))</f>
        <v>245.44</v>
      </c>
      <c r="J233" t="s">
        <v>1815</v>
      </c>
      <c r="K233" t="s">
        <v>2196</v>
      </c>
      <c r="L233" t="s">
        <v>1813</v>
      </c>
      <c r="M233"/>
      <c r="N233"/>
      <c r="O233" t="s">
        <v>1814</v>
      </c>
      <c r="P233"/>
      <c r="Q233" t="s">
        <v>14</v>
      </c>
      <c r="R233"/>
      <c r="S233" t="s">
        <v>2572</v>
      </c>
      <c r="T233">
        <v>0.09</v>
      </c>
      <c r="U233">
        <v>0.22</v>
      </c>
      <c r="V233">
        <v>0.24199999999999999</v>
      </c>
      <c r="W233">
        <v>0</v>
      </c>
      <c r="X233">
        <v>0</v>
      </c>
      <c r="Y233">
        <v>0</v>
      </c>
    </row>
    <row r="234" spans="1:25" ht="60" customHeight="1" x14ac:dyDescent="0.25">
      <c r="A234"/>
      <c r="B234" t="s">
        <v>3</v>
      </c>
      <c r="C234" t="s">
        <v>3754</v>
      </c>
      <c r="D234" t="s">
        <v>575</v>
      </c>
      <c r="E234" t="s">
        <v>2190</v>
      </c>
      <c r="F234" t="s">
        <v>2191</v>
      </c>
      <c r="G234" t="s">
        <v>576</v>
      </c>
      <c r="H234" s="11">
        <v>46.8</v>
      </c>
      <c r="I234" s="10">
        <f>H234*(1-IFERROR(VLOOKUP(G234,Rabat!$C$9:$D$43,2,0),0))</f>
        <v>46.8</v>
      </c>
      <c r="J234" t="s">
        <v>1815</v>
      </c>
      <c r="K234" t="s">
        <v>2197</v>
      </c>
      <c r="L234" t="s">
        <v>1813</v>
      </c>
      <c r="M234">
        <v>1</v>
      </c>
      <c r="N234"/>
      <c r="O234" t="s">
        <v>1814</v>
      </c>
      <c r="P234"/>
      <c r="Q234" t="s">
        <v>14</v>
      </c>
      <c r="R234"/>
      <c r="S234" t="s">
        <v>2572</v>
      </c>
      <c r="T234">
        <v>0.04</v>
      </c>
      <c r="U234">
        <v>0.09</v>
      </c>
      <c r="V234">
        <v>9.9000000000000005E-2</v>
      </c>
      <c r="W234">
        <v>0</v>
      </c>
      <c r="X234">
        <v>0</v>
      </c>
      <c r="Y234">
        <v>0</v>
      </c>
    </row>
    <row r="235" spans="1:25" ht="60" customHeight="1" x14ac:dyDescent="0.25">
      <c r="A235"/>
      <c r="B235" t="s">
        <v>3</v>
      </c>
      <c r="C235" t="s">
        <v>3754</v>
      </c>
      <c r="D235" t="s">
        <v>575</v>
      </c>
      <c r="E235" t="s">
        <v>1306</v>
      </c>
      <c r="F235" t="s">
        <v>1307</v>
      </c>
      <c r="G235" t="s">
        <v>576</v>
      </c>
      <c r="H235" s="11">
        <v>170.79</v>
      </c>
      <c r="I235" s="10">
        <f>H235*(1-IFERROR(VLOOKUP(G235,Rabat!$C$9:$D$43,2,0),0))</f>
        <v>170.79</v>
      </c>
      <c r="J235" t="s">
        <v>1815</v>
      </c>
      <c r="K235" t="s">
        <v>1871</v>
      </c>
      <c r="L235" t="s">
        <v>1813</v>
      </c>
      <c r="M235">
        <v>6</v>
      </c>
      <c r="N235">
        <v>54</v>
      </c>
      <c r="O235" t="s">
        <v>1814</v>
      </c>
      <c r="P235" s="12" t="str">
        <f>HYPERLINK("https://b2b.kobi.pl/pl/product/12264,panel-led-capri-g2-25-36-40w-60x60-3cct-ip44-kobi-pro?currency=PLN")</f>
        <v>https://b2b.kobi.pl/pl/product/12264,panel-led-capri-g2-25-36-40w-60x60-3cct-ip44-kobi-pro?currency=PLN</v>
      </c>
      <c r="Q235" s="12" t="str">
        <f>HYPERLINK("https://eprel.ec.europa.eu/qr/2205372")</f>
        <v>https://eprel.ec.europa.eu/qr/2205372</v>
      </c>
      <c r="R235"/>
      <c r="S235" t="s">
        <v>2573</v>
      </c>
      <c r="T235">
        <v>1.06</v>
      </c>
      <c r="U235">
        <v>1.25</v>
      </c>
      <c r="V235">
        <v>1.62</v>
      </c>
      <c r="W235">
        <v>60.5</v>
      </c>
      <c r="X235">
        <v>61</v>
      </c>
      <c r="Y235">
        <v>3.8</v>
      </c>
    </row>
    <row r="236" spans="1:25" ht="60" customHeight="1" x14ac:dyDescent="0.25">
      <c r="A236"/>
      <c r="B236" t="s">
        <v>3</v>
      </c>
      <c r="C236" t="s">
        <v>3754</v>
      </c>
      <c r="D236" t="s">
        <v>575</v>
      </c>
      <c r="E236" t="s">
        <v>1308</v>
      </c>
      <c r="F236" t="s">
        <v>1309</v>
      </c>
      <c r="G236" t="s">
        <v>576</v>
      </c>
      <c r="H236" s="11">
        <v>207.9</v>
      </c>
      <c r="I236" s="10">
        <f>H236*(1-IFERROR(VLOOKUP(G236,Rabat!$C$9:$D$43,2,0),0))</f>
        <v>207.9</v>
      </c>
      <c r="J236" t="s">
        <v>1815</v>
      </c>
      <c r="K236" t="s">
        <v>1872</v>
      </c>
      <c r="L236" t="s">
        <v>1813</v>
      </c>
      <c r="M236">
        <v>6</v>
      </c>
      <c r="N236">
        <v>54</v>
      </c>
      <c r="O236" t="s">
        <v>1814</v>
      </c>
      <c r="P236" s="12" t="str">
        <f>HYPERLINK("https://b2b.kobi.pl/pl/product/12265,panel-led-capri-g2-25-36-40w-60x60-3cct-ip44-ugr-19-kobi-pro?currency=PLN")</f>
        <v>https://b2b.kobi.pl/pl/product/12265,panel-led-capri-g2-25-36-40w-60x60-3cct-ip44-ugr-19-kobi-pro?currency=PLN</v>
      </c>
      <c r="Q236" s="12" t="str">
        <f>HYPERLINK("https://eprel.ec.europa.eu/qr/2206477")</f>
        <v>https://eprel.ec.europa.eu/qr/2206477</v>
      </c>
      <c r="R236"/>
      <c r="S236" t="s">
        <v>2573</v>
      </c>
      <c r="T236">
        <v>1.2</v>
      </c>
      <c r="U236">
        <v>1.42</v>
      </c>
      <c r="V236">
        <v>1.8</v>
      </c>
      <c r="W236">
        <v>60.5</v>
      </c>
      <c r="X236">
        <v>3.8</v>
      </c>
      <c r="Y236">
        <v>61</v>
      </c>
    </row>
    <row r="237" spans="1:25" ht="60" customHeight="1" x14ac:dyDescent="0.25">
      <c r="A237"/>
      <c r="B237" t="s">
        <v>3</v>
      </c>
      <c r="C237" t="s">
        <v>3754</v>
      </c>
      <c r="D237" t="s">
        <v>575</v>
      </c>
      <c r="E237" t="s">
        <v>1947</v>
      </c>
      <c r="F237" t="s">
        <v>1948</v>
      </c>
      <c r="G237" t="s">
        <v>576</v>
      </c>
      <c r="H237" s="11">
        <v>193.9</v>
      </c>
      <c r="I237" s="10">
        <f>H237*(1-IFERROR(VLOOKUP(G237,Rabat!$C$9:$D$43,2,0),0))</f>
        <v>193.9</v>
      </c>
      <c r="J237" t="s">
        <v>1815</v>
      </c>
      <c r="K237" t="s">
        <v>1957</v>
      </c>
      <c r="L237" t="s">
        <v>1813</v>
      </c>
      <c r="M237">
        <v>6</v>
      </c>
      <c r="N237">
        <v>60</v>
      </c>
      <c r="O237" t="s">
        <v>1814</v>
      </c>
      <c r="P237" s="12" t="str">
        <f>HYPERLINK("https://b2b.kobi.pl/pl/product/12266,panel-led-capri-g2-25-36-40w-30x120-3cct-ip44-kobi-pro?currency=PLN")</f>
        <v>https://b2b.kobi.pl/pl/product/12266,panel-led-capri-g2-25-36-40w-30x120-3cct-ip44-kobi-pro?currency=PLN</v>
      </c>
      <c r="Q237" s="12" t="str">
        <f>HYPERLINK("https://eprel.ec.europa.eu/qr/2206494")</f>
        <v>https://eprel.ec.europa.eu/qr/2206494</v>
      </c>
      <c r="R237"/>
      <c r="S237" t="s">
        <v>2573</v>
      </c>
      <c r="T237">
        <v>1.1000000000000001</v>
      </c>
      <c r="U237">
        <v>1.3</v>
      </c>
      <c r="V237">
        <v>1.6950000000000001</v>
      </c>
      <c r="W237">
        <v>120.5</v>
      </c>
      <c r="X237">
        <v>31</v>
      </c>
      <c r="Y237">
        <v>3.8</v>
      </c>
    </row>
    <row r="238" spans="1:25" ht="60" customHeight="1" x14ac:dyDescent="0.25">
      <c r="A238"/>
      <c r="B238" t="s">
        <v>3</v>
      </c>
      <c r="C238" t="s">
        <v>3754</v>
      </c>
      <c r="D238" t="s">
        <v>575</v>
      </c>
      <c r="E238" t="s">
        <v>1949</v>
      </c>
      <c r="F238" t="s">
        <v>1950</v>
      </c>
      <c r="G238" t="s">
        <v>576</v>
      </c>
      <c r="H238" s="11">
        <v>205.69</v>
      </c>
      <c r="I238" s="10">
        <f>H238*(1-IFERROR(VLOOKUP(G238,Rabat!$C$9:$D$43,2,0),0))</f>
        <v>205.69</v>
      </c>
      <c r="J238" t="s">
        <v>1815</v>
      </c>
      <c r="K238" t="s">
        <v>1958</v>
      </c>
      <c r="L238" t="s">
        <v>1813</v>
      </c>
      <c r="M238">
        <v>6</v>
      </c>
      <c r="N238">
        <v>60</v>
      </c>
      <c r="O238" t="s">
        <v>1814</v>
      </c>
      <c r="P238" s="12" t="str">
        <f>HYPERLINK("https://b2b.kobi.pl/pl/product/12267,panel-led-capri-g2-25-36-40w-30x120-3cct-ip44-ugr-19-kobi-pro?currency=PLN")</f>
        <v>https://b2b.kobi.pl/pl/product/12267,panel-led-capri-g2-25-36-40w-30x120-3cct-ip44-ugr-19-kobi-pro?currency=PLN</v>
      </c>
      <c r="Q238" s="12" t="str">
        <f>HYPERLINK("https://eprel.ec.europa.eu/qr/2206511")</f>
        <v>https://eprel.ec.europa.eu/qr/2206511</v>
      </c>
      <c r="R238"/>
      <c r="S238" t="s">
        <v>2573</v>
      </c>
      <c r="T238">
        <v>1.23</v>
      </c>
      <c r="U238">
        <v>1.45</v>
      </c>
      <c r="V238">
        <v>1.83</v>
      </c>
      <c r="W238">
        <v>120.5</v>
      </c>
      <c r="X238">
        <v>31</v>
      </c>
      <c r="Y238">
        <v>3.8</v>
      </c>
    </row>
    <row r="239" spans="1:25" ht="60" customHeight="1" x14ac:dyDescent="0.25">
      <c r="A239"/>
      <c r="B239" t="s">
        <v>3</v>
      </c>
      <c r="C239" t="s">
        <v>3754</v>
      </c>
      <c r="D239" t="s">
        <v>575</v>
      </c>
      <c r="E239" t="s">
        <v>1951</v>
      </c>
      <c r="F239" t="s">
        <v>1952</v>
      </c>
      <c r="G239" t="s">
        <v>576</v>
      </c>
      <c r="H239" s="11">
        <v>217.25</v>
      </c>
      <c r="I239" s="10">
        <f>H239*(1-IFERROR(VLOOKUP(G239,Rabat!$C$9:$D$43,2,0),0))</f>
        <v>217.25</v>
      </c>
      <c r="J239" t="s">
        <v>1815</v>
      </c>
      <c r="K239" t="s">
        <v>1959</v>
      </c>
      <c r="L239" t="s">
        <v>1813</v>
      </c>
      <c r="M239">
        <v>6</v>
      </c>
      <c r="N239">
        <v>72</v>
      </c>
      <c r="O239" t="s">
        <v>1814</v>
      </c>
      <c r="P239" s="12" t="str">
        <f>HYPERLINK("https://b2b.kobi.pl/pl/product/12268,panel-led-capri-g3-25-36-40w-60x60-3cct-ip44-ugr-19-kobi-pro?currency=PLN")</f>
        <v>https://b2b.kobi.pl/pl/product/12268,panel-led-capri-g3-25-36-40w-60x60-3cct-ip44-ugr-19-kobi-pro?currency=PLN</v>
      </c>
      <c r="Q239" s="12" t="str">
        <f>HYPERLINK("https://eprel.ec.europa.eu/qr/2206621")</f>
        <v>https://eprel.ec.europa.eu/qr/2206621</v>
      </c>
      <c r="R239"/>
      <c r="S239" t="s">
        <v>2573</v>
      </c>
      <c r="T239">
        <v>1.28</v>
      </c>
      <c r="U239">
        <v>1.52</v>
      </c>
      <c r="V239">
        <v>1.9</v>
      </c>
      <c r="W239">
        <v>60.5</v>
      </c>
      <c r="X239">
        <v>61</v>
      </c>
      <c r="Y239">
        <v>3.8</v>
      </c>
    </row>
    <row r="240" spans="1:25" ht="60" customHeight="1" x14ac:dyDescent="0.25">
      <c r="A240"/>
      <c r="B240" t="s">
        <v>3</v>
      </c>
      <c r="C240" t="s">
        <v>3754</v>
      </c>
      <c r="D240" t="s">
        <v>618</v>
      </c>
      <c r="E240" t="s">
        <v>1937</v>
      </c>
      <c r="F240" t="s">
        <v>1938</v>
      </c>
      <c r="G240" t="s">
        <v>576</v>
      </c>
      <c r="H240" s="11">
        <v>71.650000000000006</v>
      </c>
      <c r="I240" s="10">
        <f>H240*(1-IFERROR(VLOOKUP(G240,Rabat!$C$9:$D$43,2,0),0))</f>
        <v>71.650000000000006</v>
      </c>
      <c r="J240" t="s">
        <v>1815</v>
      </c>
      <c r="K240" t="s">
        <v>1942</v>
      </c>
      <c r="L240" t="s">
        <v>1813</v>
      </c>
      <c r="M240">
        <v>6</v>
      </c>
      <c r="N240">
        <v>66</v>
      </c>
      <c r="O240" t="s">
        <v>1819</v>
      </c>
      <c r="P240" s="12" t="str">
        <f>HYPERLINK("https://b2b.kobi.pl/pl/product/12269,panel-led-davro-40w-60x60-4000k-kobi?currency=PLN")</f>
        <v>https://b2b.kobi.pl/pl/product/12269,panel-led-davro-40w-60x60-4000k-kobi?currency=PLN</v>
      </c>
      <c r="Q240" s="12" t="str">
        <f>HYPERLINK("https://eprel.ec.europa.eu/qr/2206632")</f>
        <v>https://eprel.ec.europa.eu/qr/2206632</v>
      </c>
      <c r="R240"/>
      <c r="S240" t="s">
        <v>2573</v>
      </c>
      <c r="T240">
        <v>0.97</v>
      </c>
      <c r="U240">
        <v>1.1499999999999999</v>
      </c>
      <c r="V240">
        <v>1.54</v>
      </c>
      <c r="W240">
        <v>60.5</v>
      </c>
      <c r="X240">
        <v>61</v>
      </c>
      <c r="Y240">
        <v>3.8</v>
      </c>
    </row>
    <row r="241" spans="1:25" ht="60" customHeight="1" x14ac:dyDescent="0.25">
      <c r="A241"/>
      <c r="B241" t="s">
        <v>3</v>
      </c>
      <c r="C241" t="s">
        <v>3754</v>
      </c>
      <c r="D241" t="s">
        <v>575</v>
      </c>
      <c r="E241" t="s">
        <v>2470</v>
      </c>
      <c r="F241" t="s">
        <v>1941</v>
      </c>
      <c r="G241" t="s">
        <v>576</v>
      </c>
      <c r="H241" s="11">
        <v>135.56</v>
      </c>
      <c r="I241" s="10">
        <f>H241*(1-IFERROR(VLOOKUP(G241,Rabat!$C$9:$D$43,2,0),0))</f>
        <v>135.56</v>
      </c>
      <c r="J241" t="s">
        <v>1815</v>
      </c>
      <c r="K241" t="s">
        <v>1944</v>
      </c>
      <c r="L241" t="s">
        <v>1813</v>
      </c>
      <c r="M241">
        <v>6</v>
      </c>
      <c r="N241">
        <v>120</v>
      </c>
      <c r="O241" t="s">
        <v>1814</v>
      </c>
      <c r="P241" s="12" t="str">
        <f>HYPERLINK("https://b2b.kobi.pl/pl/product/12272,panel-led-nelio-g2-25w-60x30-4000k-kobi-pro?currency=PLN")</f>
        <v>https://b2b.kobi.pl/pl/product/12272,panel-led-nelio-g2-25w-60x30-4000k-kobi-pro?currency=PLN</v>
      </c>
      <c r="Q241" s="12" t="str">
        <f>HYPERLINK("https://eprel.ec.europa.eu/qr/2206669")</f>
        <v>https://eprel.ec.europa.eu/qr/2206669</v>
      </c>
      <c r="R241"/>
      <c r="S241" t="s">
        <v>2573</v>
      </c>
      <c r="T241">
        <v>0.9</v>
      </c>
      <c r="U241">
        <v>1.06</v>
      </c>
      <c r="V241">
        <v>1.33</v>
      </c>
      <c r="W241">
        <v>63</v>
      </c>
      <c r="X241">
        <v>36.5</v>
      </c>
      <c r="Y241">
        <v>3.5</v>
      </c>
    </row>
    <row r="242" spans="1:25" ht="60" customHeight="1" x14ac:dyDescent="0.25">
      <c r="A242"/>
      <c r="B242" t="s">
        <v>3</v>
      </c>
      <c r="C242" t="s">
        <v>3754</v>
      </c>
      <c r="D242" t="s">
        <v>575</v>
      </c>
      <c r="E242" t="s">
        <v>1939</v>
      </c>
      <c r="F242" t="s">
        <v>1940</v>
      </c>
      <c r="G242" t="s">
        <v>576</v>
      </c>
      <c r="H242" s="11">
        <v>166.67</v>
      </c>
      <c r="I242" s="10">
        <f>H242*(1-IFERROR(VLOOKUP(G242,Rabat!$C$9:$D$43,2,0),0))</f>
        <v>166.67</v>
      </c>
      <c r="J242" t="s">
        <v>1815</v>
      </c>
      <c r="K242" t="s">
        <v>1943</v>
      </c>
      <c r="L242" t="s">
        <v>1813</v>
      </c>
      <c r="M242">
        <v>6</v>
      </c>
      <c r="N242">
        <v>72</v>
      </c>
      <c r="O242" t="s">
        <v>1814</v>
      </c>
      <c r="P242" s="12" t="str">
        <f>HYPERLINK("https://b2b.kobi.pl/pl/product/12270,panel-led-nelio-g2-36w-60x60-4000k-kobi-pro?currency=PLN")</f>
        <v>https://b2b.kobi.pl/pl/product/12270,panel-led-nelio-g2-36w-60x60-4000k-kobi-pro?currency=PLN</v>
      </c>
      <c r="Q242" s="12" t="str">
        <f>HYPERLINK("https://eprel.ec.europa.eu/qr/2206653")</f>
        <v>https://eprel.ec.europa.eu/qr/2206653</v>
      </c>
      <c r="R242"/>
      <c r="S242" t="s">
        <v>2573</v>
      </c>
      <c r="T242">
        <v>1.55</v>
      </c>
      <c r="U242">
        <v>1.83</v>
      </c>
      <c r="V242">
        <v>2.23</v>
      </c>
      <c r="W242">
        <v>63</v>
      </c>
      <c r="X242">
        <v>66.5</v>
      </c>
      <c r="Y242">
        <v>3.5</v>
      </c>
    </row>
    <row r="243" spans="1:25" ht="60" customHeight="1" x14ac:dyDescent="0.25">
      <c r="A243"/>
      <c r="B243" t="s">
        <v>3</v>
      </c>
      <c r="C243" t="s">
        <v>3754</v>
      </c>
      <c r="D243" t="s">
        <v>618</v>
      </c>
      <c r="E243" t="s">
        <v>2280</v>
      </c>
      <c r="F243" t="s">
        <v>2281</v>
      </c>
      <c r="G243" t="s">
        <v>576</v>
      </c>
      <c r="H243" s="11">
        <v>122.2</v>
      </c>
      <c r="I243" s="10">
        <f>H243*(1-IFERROR(VLOOKUP(G243,Rabat!$C$9:$D$43,2,0),0))</f>
        <v>122.2</v>
      </c>
      <c r="J243" t="s">
        <v>1815</v>
      </c>
      <c r="K243" t="s">
        <v>2394</v>
      </c>
      <c r="L243" t="s">
        <v>1813</v>
      </c>
      <c r="M243">
        <v>5</v>
      </c>
      <c r="N243">
        <v>80</v>
      </c>
      <c r="O243" t="s">
        <v>1818</v>
      </c>
      <c r="P243" s="12" t="str">
        <f>HYPERLINK("https://b2b.kobi.pl/pl/product/12401,panel-led-balis-40w-60x60-4000k-bialy-kobi?currency=PLN")</f>
        <v>https://b2b.kobi.pl/pl/product/12401,panel-led-balis-40w-60x60-4000k-bialy-kobi?currency=PLN</v>
      </c>
      <c r="Q243" s="12" t="str">
        <f>HYPERLINK("https://eprel.ec.europa.eu/qr/2142493")</f>
        <v>https://eprel.ec.europa.eu/qr/2142493</v>
      </c>
      <c r="R243"/>
      <c r="S243" t="s">
        <v>2573</v>
      </c>
      <c r="T243">
        <v>1.43</v>
      </c>
      <c r="U243">
        <v>1.69</v>
      </c>
      <c r="V243">
        <v>2</v>
      </c>
      <c r="W243">
        <v>63</v>
      </c>
      <c r="X243">
        <v>3.5</v>
      </c>
      <c r="Y243">
        <v>66</v>
      </c>
    </row>
    <row r="244" spans="1:25" ht="60" customHeight="1" x14ac:dyDescent="0.25">
      <c r="A244"/>
      <c r="B244" t="s">
        <v>3</v>
      </c>
      <c r="C244" t="s">
        <v>582</v>
      </c>
      <c r="D244" t="s">
        <v>583</v>
      </c>
      <c r="E244" t="s">
        <v>584</v>
      </c>
      <c r="F244" t="s">
        <v>585</v>
      </c>
      <c r="G244" t="s">
        <v>586</v>
      </c>
      <c r="H244" s="11">
        <v>695.25</v>
      </c>
      <c r="I244" s="10">
        <f>H244*(1-IFERROR(VLOOKUP(G244,Rabat!$C$9:$D$43,2,0),0))</f>
        <v>695.25</v>
      </c>
      <c r="J244" t="s">
        <v>1817</v>
      </c>
      <c r="K244" t="s">
        <v>161</v>
      </c>
      <c r="L244" t="s">
        <v>1813</v>
      </c>
      <c r="M244"/>
      <c r="N244"/>
      <c r="O244" t="s">
        <v>1814</v>
      </c>
      <c r="P244" s="12" t="str">
        <f>HYPERLINK("https://b2b.kobi.pl/pl/product/8367,oprawa-liniowa-hermetyczna-led-hpl1-30w-ip65-120-kobi-pro?currency=PLN")</f>
        <v>https://b2b.kobi.pl/pl/product/8367,oprawa-liniowa-hermetyczna-led-hpl1-30w-ip65-120-kobi-pro?currency=PLN</v>
      </c>
      <c r="Q244" s="12" t="str">
        <f>HYPERLINK("https://eprel.ec.europa.eu/qr/953103")</f>
        <v>https://eprel.ec.europa.eu/qr/953103</v>
      </c>
      <c r="R244"/>
      <c r="S244" t="s">
        <v>2573</v>
      </c>
      <c r="T244">
        <v>1.55</v>
      </c>
      <c r="U244">
        <v>1.83</v>
      </c>
      <c r="V244">
        <v>2.0129999999999999</v>
      </c>
      <c r="W244">
        <v>0</v>
      </c>
      <c r="X244">
        <v>0</v>
      </c>
      <c r="Y244">
        <v>0</v>
      </c>
    </row>
    <row r="245" spans="1:25" ht="60" customHeight="1" x14ac:dyDescent="0.25">
      <c r="A245"/>
      <c r="B245" t="s">
        <v>3</v>
      </c>
      <c r="C245" t="s">
        <v>582</v>
      </c>
      <c r="D245" t="s">
        <v>583</v>
      </c>
      <c r="E245" t="s">
        <v>587</v>
      </c>
      <c r="F245" t="s">
        <v>588</v>
      </c>
      <c r="G245" t="s">
        <v>586</v>
      </c>
      <c r="H245" s="11">
        <v>695.25</v>
      </c>
      <c r="I245" s="10">
        <f>H245*(1-IFERROR(VLOOKUP(G245,Rabat!$C$9:$D$43,2,0),0))</f>
        <v>695.25</v>
      </c>
      <c r="J245" t="s">
        <v>1817</v>
      </c>
      <c r="K245" t="s">
        <v>162</v>
      </c>
      <c r="L245" t="s">
        <v>1813</v>
      </c>
      <c r="M245"/>
      <c r="N245"/>
      <c r="O245" t="s">
        <v>1814</v>
      </c>
      <c r="P245" s="12" t="str">
        <f>HYPERLINK("https://b2b.kobi.pl/pl/product/8368,oprawa-liniowa-hermetyczna-led-hpl1-30w-ip65-90-kobi-pro?currency=PLN")</f>
        <v>https://b2b.kobi.pl/pl/product/8368,oprawa-liniowa-hermetyczna-led-hpl1-30w-ip65-90-kobi-pro?currency=PLN</v>
      </c>
      <c r="Q245" s="12" t="str">
        <f>HYPERLINK("https://eprel.ec.europa.eu/qr/953122")</f>
        <v>https://eprel.ec.europa.eu/qr/953122</v>
      </c>
      <c r="R245"/>
      <c r="S245" t="s">
        <v>2573</v>
      </c>
      <c r="T245">
        <v>1.55</v>
      </c>
      <c r="U245">
        <v>1.83</v>
      </c>
      <c r="V245">
        <v>2.0129999999999999</v>
      </c>
      <c r="W245">
        <v>0</v>
      </c>
      <c r="X245">
        <v>0</v>
      </c>
      <c r="Y245">
        <v>0</v>
      </c>
    </row>
    <row r="246" spans="1:25" ht="60" customHeight="1" x14ac:dyDescent="0.25">
      <c r="A246"/>
      <c r="B246" t="s">
        <v>3</v>
      </c>
      <c r="C246" t="s">
        <v>582</v>
      </c>
      <c r="D246" t="s">
        <v>583</v>
      </c>
      <c r="E246" t="s">
        <v>589</v>
      </c>
      <c r="F246" t="s">
        <v>590</v>
      </c>
      <c r="G246" t="s">
        <v>586</v>
      </c>
      <c r="H246" s="11">
        <v>822.97</v>
      </c>
      <c r="I246" s="10">
        <f>H246*(1-IFERROR(VLOOKUP(G246,Rabat!$C$9:$D$43,2,0),0))</f>
        <v>822.97</v>
      </c>
      <c r="J246" t="s">
        <v>1817</v>
      </c>
      <c r="K246" t="s">
        <v>163</v>
      </c>
      <c r="L246" t="s">
        <v>1813</v>
      </c>
      <c r="M246"/>
      <c r="N246"/>
      <c r="O246" t="s">
        <v>1814</v>
      </c>
      <c r="P246" s="12" t="str">
        <f>HYPERLINK("https://b2b.kobi.pl/pl/product/8369,oprawa-liniowa-hermetyczna-led-hpl1-45w-ip65-120-kobi-pro?currency=PLN")</f>
        <v>https://b2b.kobi.pl/pl/product/8369,oprawa-liniowa-hermetyczna-led-hpl1-45w-ip65-120-kobi-pro?currency=PLN</v>
      </c>
      <c r="Q246" s="12" t="str">
        <f>HYPERLINK("https://eprel.ec.europa.eu/qr/953134")</f>
        <v>https://eprel.ec.europa.eu/qr/953134</v>
      </c>
      <c r="R246"/>
      <c r="S246" t="s">
        <v>2573</v>
      </c>
      <c r="T246">
        <v>2.3199999999999998</v>
      </c>
      <c r="U246">
        <v>2.74</v>
      </c>
      <c r="V246">
        <v>3.0139999999999998</v>
      </c>
      <c r="W246">
        <v>0</v>
      </c>
      <c r="X246">
        <v>0</v>
      </c>
      <c r="Y246">
        <v>0</v>
      </c>
    </row>
    <row r="247" spans="1:25" ht="60" customHeight="1" x14ac:dyDescent="0.25">
      <c r="A247"/>
      <c r="B247" t="s">
        <v>3</v>
      </c>
      <c r="C247" t="s">
        <v>582</v>
      </c>
      <c r="D247" t="s">
        <v>583</v>
      </c>
      <c r="E247" t="s">
        <v>591</v>
      </c>
      <c r="F247" t="s">
        <v>592</v>
      </c>
      <c r="G247" t="s">
        <v>586</v>
      </c>
      <c r="H247" s="11">
        <v>822.97</v>
      </c>
      <c r="I247" s="10">
        <f>H247*(1-IFERROR(VLOOKUP(G247,Rabat!$C$9:$D$43,2,0),0))</f>
        <v>822.97</v>
      </c>
      <c r="J247" t="s">
        <v>1817</v>
      </c>
      <c r="K247" t="s">
        <v>164</v>
      </c>
      <c r="L247" t="s">
        <v>1813</v>
      </c>
      <c r="M247"/>
      <c r="N247"/>
      <c r="O247" t="s">
        <v>1814</v>
      </c>
      <c r="P247" s="12" t="str">
        <f>HYPERLINK("https://b2b.kobi.pl/pl/product/8371,oprawa-liniowa-hermetyczna-led-hpl1-45w-ip65-90-kobi-pro?currency=PLN")</f>
        <v>https://b2b.kobi.pl/pl/product/8371,oprawa-liniowa-hermetyczna-led-hpl1-45w-ip65-90-kobi-pro?currency=PLN</v>
      </c>
      <c r="Q247" s="12" t="str">
        <f>HYPERLINK("https://eprel.ec.europa.eu/qr/953186")</f>
        <v>https://eprel.ec.europa.eu/qr/953186</v>
      </c>
      <c r="R247"/>
      <c r="S247" t="s">
        <v>2573</v>
      </c>
      <c r="T247">
        <v>2.3199999999999998</v>
      </c>
      <c r="U247">
        <v>2.74</v>
      </c>
      <c r="V247">
        <v>3.0139999999999998</v>
      </c>
      <c r="W247">
        <v>0</v>
      </c>
      <c r="X247">
        <v>0</v>
      </c>
      <c r="Y247">
        <v>0</v>
      </c>
    </row>
    <row r="248" spans="1:25" ht="60" customHeight="1" x14ac:dyDescent="0.25">
      <c r="A248"/>
      <c r="B248" t="s">
        <v>3</v>
      </c>
      <c r="C248" t="s">
        <v>582</v>
      </c>
      <c r="D248" t="s">
        <v>583</v>
      </c>
      <c r="E248" t="s">
        <v>603</v>
      </c>
      <c r="F248" t="s">
        <v>604</v>
      </c>
      <c r="G248" t="s">
        <v>586</v>
      </c>
      <c r="H248" s="11">
        <v>1116.52</v>
      </c>
      <c r="I248" s="10">
        <f>H248*(1-IFERROR(VLOOKUP(G248,Rabat!$C$9:$D$43,2,0),0))</f>
        <v>1116.52</v>
      </c>
      <c r="J248" t="s">
        <v>1817</v>
      </c>
      <c r="K248" t="s">
        <v>165</v>
      </c>
      <c r="L248" t="s">
        <v>1813</v>
      </c>
      <c r="M248"/>
      <c r="N248"/>
      <c r="O248" t="s">
        <v>1814</v>
      </c>
      <c r="P248" s="12" t="str">
        <f>HYPERLINK("https://b2b.kobi.pl/pl/product/8379,oprawa-liniowa-hermetyczna-led-hpl1-60w-ip65-120-kobi-pro?currency=PLN")</f>
        <v>https://b2b.kobi.pl/pl/product/8379,oprawa-liniowa-hermetyczna-led-hpl1-60w-ip65-120-kobi-pro?currency=PLN</v>
      </c>
      <c r="Q248" s="12" t="str">
        <f>HYPERLINK("https://eprel.ec.europa.eu/qr/953208")</f>
        <v>https://eprel.ec.europa.eu/qr/953208</v>
      </c>
      <c r="R248"/>
      <c r="S248" t="s">
        <v>2573</v>
      </c>
      <c r="T248">
        <v>2.89</v>
      </c>
      <c r="U248">
        <v>3.42</v>
      </c>
      <c r="V248">
        <v>3.762</v>
      </c>
      <c r="W248">
        <v>0</v>
      </c>
      <c r="X248">
        <v>0</v>
      </c>
      <c r="Y248">
        <v>0</v>
      </c>
    </row>
    <row r="249" spans="1:25" ht="60" customHeight="1" x14ac:dyDescent="0.25">
      <c r="A249"/>
      <c r="B249" t="s">
        <v>3</v>
      </c>
      <c r="C249" t="s">
        <v>582</v>
      </c>
      <c r="D249" t="s">
        <v>583</v>
      </c>
      <c r="E249" t="s">
        <v>593</v>
      </c>
      <c r="F249" t="s">
        <v>594</v>
      </c>
      <c r="G249" t="s">
        <v>586</v>
      </c>
      <c r="H249" s="11">
        <v>1350.33</v>
      </c>
      <c r="I249" s="10">
        <f>H249*(1-IFERROR(VLOOKUP(G249,Rabat!$C$9:$D$43,2,0),0))</f>
        <v>1350.33</v>
      </c>
      <c r="J249" t="s">
        <v>1817</v>
      </c>
      <c r="K249" t="s">
        <v>166</v>
      </c>
      <c r="L249" t="s">
        <v>1813</v>
      </c>
      <c r="M249"/>
      <c r="N249"/>
      <c r="O249" t="s">
        <v>1814</v>
      </c>
      <c r="P249" s="12" t="str">
        <f>HYPERLINK("https://b2b.kobi.pl/pl/product/8372,oprawa-liniowa-hermetyczna-led-hpl1-75w-ip65-120-kobi-pro?currency=PLN")</f>
        <v>https://b2b.kobi.pl/pl/product/8372,oprawa-liniowa-hermetyczna-led-hpl1-75w-ip65-120-kobi-pro?currency=PLN</v>
      </c>
      <c r="Q249" s="12" t="str">
        <f>HYPERLINK("https://eprel.ec.europa.eu/qr/953524")</f>
        <v>https://eprel.ec.europa.eu/qr/953524</v>
      </c>
      <c r="R249"/>
      <c r="S249" t="s">
        <v>2573</v>
      </c>
      <c r="T249">
        <v>3.54</v>
      </c>
      <c r="U249">
        <v>4.1900000000000004</v>
      </c>
      <c r="V249">
        <v>4.609</v>
      </c>
      <c r="W249">
        <v>0</v>
      </c>
      <c r="X249">
        <v>0</v>
      </c>
      <c r="Y249">
        <v>0</v>
      </c>
    </row>
    <row r="250" spans="1:25" ht="60" customHeight="1" x14ac:dyDescent="0.25">
      <c r="A250"/>
      <c r="B250" t="s">
        <v>3</v>
      </c>
      <c r="C250" t="s">
        <v>582</v>
      </c>
      <c r="D250" t="s">
        <v>583</v>
      </c>
      <c r="E250" t="s">
        <v>595</v>
      </c>
      <c r="F250" t="s">
        <v>596</v>
      </c>
      <c r="G250" t="s">
        <v>586</v>
      </c>
      <c r="H250" s="11">
        <v>1350.33</v>
      </c>
      <c r="I250" s="10">
        <f>H250*(1-IFERROR(VLOOKUP(G250,Rabat!$C$9:$D$43,2,0),0))</f>
        <v>1350.33</v>
      </c>
      <c r="J250" t="s">
        <v>1817</v>
      </c>
      <c r="K250" t="s">
        <v>167</v>
      </c>
      <c r="L250" t="s">
        <v>1813</v>
      </c>
      <c r="M250"/>
      <c r="N250"/>
      <c r="O250" t="s">
        <v>1814</v>
      </c>
      <c r="P250" s="12" t="str">
        <f>HYPERLINK("https://b2b.kobi.pl/pl/product/8374,oprawa-liniowa-hermetyczna-led-hpl1-75w-ip65-90-kobi-pro?currency=PLN")</f>
        <v>https://b2b.kobi.pl/pl/product/8374,oprawa-liniowa-hermetyczna-led-hpl1-75w-ip65-90-kobi-pro?currency=PLN</v>
      </c>
      <c r="Q250" s="12" t="str">
        <f>HYPERLINK("https://eprel.ec.europa.eu/qr/953535")</f>
        <v>https://eprel.ec.europa.eu/qr/953535</v>
      </c>
      <c r="R250"/>
      <c r="S250" t="s">
        <v>2573</v>
      </c>
      <c r="T250">
        <v>3.54</v>
      </c>
      <c r="U250">
        <v>4.1900000000000004</v>
      </c>
      <c r="V250">
        <v>4.609</v>
      </c>
      <c r="W250">
        <v>0</v>
      </c>
      <c r="X250">
        <v>0</v>
      </c>
      <c r="Y250">
        <v>0</v>
      </c>
    </row>
    <row r="251" spans="1:25" ht="60" customHeight="1" x14ac:dyDescent="0.25">
      <c r="A251"/>
      <c r="B251" t="s">
        <v>3</v>
      </c>
      <c r="C251" t="s">
        <v>582</v>
      </c>
      <c r="D251" t="s">
        <v>583</v>
      </c>
      <c r="E251" t="s">
        <v>597</v>
      </c>
      <c r="F251" t="s">
        <v>598</v>
      </c>
      <c r="G251" t="s">
        <v>586</v>
      </c>
      <c r="H251" s="11">
        <v>1995.11</v>
      </c>
      <c r="I251" s="10">
        <f>H251*(1-IFERROR(VLOOKUP(G251,Rabat!$C$9:$D$43,2,0),0))</f>
        <v>1995.11</v>
      </c>
      <c r="J251" t="s">
        <v>1817</v>
      </c>
      <c r="K251" t="s">
        <v>169</v>
      </c>
      <c r="L251" t="s">
        <v>1813</v>
      </c>
      <c r="M251"/>
      <c r="N251"/>
      <c r="O251" t="s">
        <v>1814</v>
      </c>
      <c r="P251" s="12" t="str">
        <f>HYPERLINK("https://b2b.kobi.pl/pl/product/8376,oprawa-liniowa-hermetyczna-led-hpl2-120w-ip65-120-kobi-pro?currency=PLN")</f>
        <v>https://b2b.kobi.pl/pl/product/8376,oprawa-liniowa-hermetyczna-led-hpl2-120w-ip65-120-kobi-pro?currency=PLN</v>
      </c>
      <c r="Q251" s="12" t="str">
        <f>HYPERLINK("https://eprel.ec.europa.eu/qr/953581")</f>
        <v>https://eprel.ec.europa.eu/qr/953581</v>
      </c>
      <c r="R251"/>
      <c r="S251" t="s">
        <v>2573</v>
      </c>
      <c r="T251">
        <v>5.79</v>
      </c>
      <c r="U251">
        <v>6.85</v>
      </c>
      <c r="V251">
        <v>7.5350000000000001</v>
      </c>
      <c r="W251">
        <v>0</v>
      </c>
      <c r="X251">
        <v>0</v>
      </c>
      <c r="Y251">
        <v>0</v>
      </c>
    </row>
    <row r="252" spans="1:25" ht="60" customHeight="1" x14ac:dyDescent="0.25">
      <c r="A252"/>
      <c r="B252" t="s">
        <v>3</v>
      </c>
      <c r="C252" t="s">
        <v>582</v>
      </c>
      <c r="D252" t="s">
        <v>583</v>
      </c>
      <c r="E252" t="s">
        <v>599</v>
      </c>
      <c r="F252" t="s">
        <v>600</v>
      </c>
      <c r="G252" t="s">
        <v>586</v>
      </c>
      <c r="H252" s="11">
        <v>1995.11</v>
      </c>
      <c r="I252" s="10">
        <f>H252*(1-IFERROR(VLOOKUP(G252,Rabat!$C$9:$D$43,2,0),0))</f>
        <v>1995.11</v>
      </c>
      <c r="J252" t="s">
        <v>1817</v>
      </c>
      <c r="K252" t="s">
        <v>170</v>
      </c>
      <c r="L252" t="s">
        <v>1813</v>
      </c>
      <c r="M252"/>
      <c r="N252"/>
      <c r="O252" t="s">
        <v>1814</v>
      </c>
      <c r="P252" s="12" t="str">
        <f>HYPERLINK("https://b2b.kobi.pl/pl/product/8377,oprawa-liniowa-hermetyczna-led-hpl2-120w-ip65-90-kobi-pro?currency=PLN")</f>
        <v>https://b2b.kobi.pl/pl/product/8377,oprawa-liniowa-hermetyczna-led-hpl2-120w-ip65-90-kobi-pro?currency=PLN</v>
      </c>
      <c r="Q252" s="12" t="str">
        <f>HYPERLINK("https://eprel.ec.europa.eu/qr/953606")</f>
        <v>https://eprel.ec.europa.eu/qr/953606</v>
      </c>
      <c r="R252"/>
      <c r="S252" t="s">
        <v>2573</v>
      </c>
      <c r="T252">
        <v>5.79</v>
      </c>
      <c r="U252">
        <v>6.85</v>
      </c>
      <c r="V252">
        <v>7.5350000000000001</v>
      </c>
      <c r="W252">
        <v>0</v>
      </c>
      <c r="X252">
        <v>0</v>
      </c>
      <c r="Y252">
        <v>0</v>
      </c>
    </row>
    <row r="253" spans="1:25" ht="60" customHeight="1" x14ac:dyDescent="0.25">
      <c r="A253"/>
      <c r="B253" t="s">
        <v>3</v>
      </c>
      <c r="C253" t="s">
        <v>582</v>
      </c>
      <c r="D253" t="s">
        <v>583</v>
      </c>
      <c r="E253" t="s">
        <v>601</v>
      </c>
      <c r="F253" t="s">
        <v>602</v>
      </c>
      <c r="G253" t="s">
        <v>586</v>
      </c>
      <c r="H253" s="11">
        <v>2336.04</v>
      </c>
      <c r="I253" s="10">
        <f>H253*(1-IFERROR(VLOOKUP(G253,Rabat!$C$9:$D$43,2,0),0))</f>
        <v>2336.04</v>
      </c>
      <c r="J253" t="s">
        <v>1817</v>
      </c>
      <c r="K253" t="s">
        <v>171</v>
      </c>
      <c r="L253" t="s">
        <v>1813</v>
      </c>
      <c r="M253"/>
      <c r="N253"/>
      <c r="O253" t="s">
        <v>1814</v>
      </c>
      <c r="P253" s="12" t="str">
        <f>HYPERLINK("https://b2b.kobi.pl/pl/product/8378,oprawa-liniowa-hermetyczna-led-hpl2-150w-ip65-120-kobi-pro?currency=PLN")</f>
        <v>https://b2b.kobi.pl/pl/product/8378,oprawa-liniowa-hermetyczna-led-hpl2-150w-ip65-120-kobi-pro?currency=PLN</v>
      </c>
      <c r="Q253" s="12" t="str">
        <f>HYPERLINK("https://eprel.ec.europa.eu/qr/953653")</f>
        <v>https://eprel.ec.europa.eu/qr/953653</v>
      </c>
      <c r="R253"/>
      <c r="S253" t="s">
        <v>2573</v>
      </c>
      <c r="T253">
        <v>7.07</v>
      </c>
      <c r="U253">
        <v>8.3699999999999992</v>
      </c>
      <c r="V253">
        <v>9.2070000000000007</v>
      </c>
      <c r="W253">
        <v>0</v>
      </c>
      <c r="X253">
        <v>0</v>
      </c>
      <c r="Y253">
        <v>0</v>
      </c>
    </row>
    <row r="254" spans="1:25" ht="60" customHeight="1" x14ac:dyDescent="0.25">
      <c r="A254"/>
      <c r="B254" t="s">
        <v>3</v>
      </c>
      <c r="C254" t="s">
        <v>582</v>
      </c>
      <c r="D254" t="s">
        <v>583</v>
      </c>
      <c r="E254" t="s">
        <v>1810</v>
      </c>
      <c r="F254" t="s">
        <v>1811</v>
      </c>
      <c r="G254" t="s">
        <v>586</v>
      </c>
      <c r="H254" s="11">
        <v>1659.33</v>
      </c>
      <c r="I254" s="10">
        <f>H254*(1-IFERROR(VLOOKUP(G254,Rabat!$C$9:$D$43,2,0),0))</f>
        <v>1659.33</v>
      </c>
      <c r="J254" t="s">
        <v>1817</v>
      </c>
      <c r="K254" t="s">
        <v>168</v>
      </c>
      <c r="L254" t="s">
        <v>1813</v>
      </c>
      <c r="M254"/>
      <c r="N254"/>
      <c r="O254" t="s">
        <v>1814</v>
      </c>
      <c r="P254" s="12" t="str">
        <f>HYPERLINK("https://b2b.kobi.pl/pl/product/12578,oprawa-liniowa-hermetyczna-led-hpl2-90w-ip65-120-kobi-pro?currency=PLN")</f>
        <v>https://b2b.kobi.pl/pl/product/12578,oprawa-liniowa-hermetyczna-led-hpl2-90w-ip65-120-kobi-pro?currency=PLN</v>
      </c>
      <c r="Q254" s="12" t="str">
        <f>HYPERLINK("https://eprel.ec.europa.eu/qr/953581")</f>
        <v>https://eprel.ec.europa.eu/qr/953581</v>
      </c>
      <c r="R254"/>
      <c r="S254" t="s">
        <v>2573</v>
      </c>
      <c r="T254">
        <v>5.79</v>
      </c>
      <c r="U254">
        <v>6.85</v>
      </c>
      <c r="V254">
        <v>7.5350000000000001</v>
      </c>
      <c r="W254">
        <v>0</v>
      </c>
      <c r="X254">
        <v>0</v>
      </c>
      <c r="Y254">
        <v>0</v>
      </c>
    </row>
    <row r="255" spans="1:25" ht="60" customHeight="1" x14ac:dyDescent="0.25">
      <c r="A255"/>
      <c r="B255" t="s">
        <v>3</v>
      </c>
      <c r="C255" t="s">
        <v>582</v>
      </c>
      <c r="D255" t="s">
        <v>16</v>
      </c>
      <c r="E255" t="s">
        <v>994</v>
      </c>
      <c r="F255" t="s">
        <v>995</v>
      </c>
      <c r="G255" t="s">
        <v>586</v>
      </c>
      <c r="H255" s="11">
        <v>51.24</v>
      </c>
      <c r="I255" s="10">
        <f>H255*(1-IFERROR(VLOOKUP(G255,Rabat!$C$9:$D$43,2,0),0))</f>
        <v>51.24</v>
      </c>
      <c r="J255" t="s">
        <v>1815</v>
      </c>
      <c r="K255" t="s">
        <v>438</v>
      </c>
      <c r="L255" t="s">
        <v>1813</v>
      </c>
      <c r="M255">
        <v>30</v>
      </c>
      <c r="N255">
        <v>450</v>
      </c>
      <c r="O255" t="s">
        <v>1818</v>
      </c>
      <c r="P255" s="12" t="str">
        <f>HYPERLINK("https://b2b.kobi.pl/pl/product/9971,oprawa-hermetyczna-led-mivro-36w-4000k-ip65-led2b?currency=PLN")</f>
        <v>https://b2b.kobi.pl/pl/product/9971,oprawa-hermetyczna-led-mivro-36w-4000k-ip65-led2b?currency=PLN</v>
      </c>
      <c r="Q255" s="12" t="str">
        <f>HYPERLINK("https://eprel.ec.europa.eu/qr/1949789")</f>
        <v>https://eprel.ec.europa.eu/qr/1949789</v>
      </c>
      <c r="R255"/>
      <c r="S255" t="s">
        <v>2571</v>
      </c>
      <c r="T255">
        <v>0.21</v>
      </c>
      <c r="U255">
        <v>0.25</v>
      </c>
      <c r="V255">
        <v>0.3</v>
      </c>
      <c r="W255">
        <v>123.5</v>
      </c>
      <c r="X255">
        <v>4.5</v>
      </c>
      <c r="Y255">
        <v>3.4</v>
      </c>
    </row>
    <row r="256" spans="1:25" ht="60" customHeight="1" x14ac:dyDescent="0.25">
      <c r="A256"/>
      <c r="B256" t="s">
        <v>3</v>
      </c>
      <c r="C256" t="s">
        <v>582</v>
      </c>
      <c r="D256" t="s">
        <v>575</v>
      </c>
      <c r="E256" t="s">
        <v>3761</v>
      </c>
      <c r="F256" t="s">
        <v>3762</v>
      </c>
      <c r="G256" t="s">
        <v>947</v>
      </c>
      <c r="H256" s="11">
        <v>176</v>
      </c>
      <c r="I256" s="10">
        <f>H256*(1-IFERROR(VLOOKUP(G256,Rabat!$C$9:$D$43,2,0),0))</f>
        <v>176</v>
      </c>
      <c r="J256" t="s">
        <v>1815</v>
      </c>
      <c r="K256" t="s">
        <v>4110</v>
      </c>
      <c r="L256" t="s">
        <v>1813</v>
      </c>
      <c r="M256">
        <v>9</v>
      </c>
      <c r="N256"/>
      <c r="O256" t="s">
        <v>1814</v>
      </c>
      <c r="P256" s="12" t="str">
        <f>HYPERLINK("https://b2b.kobi.pl/pl/product/12112,oprawa-liniowa-hermetyczna-led-nexforce-n2-20w-4000k-kobi-pro?currency=PLN")</f>
        <v>https://b2b.kobi.pl/pl/product/12112,oprawa-liniowa-hermetyczna-led-nexforce-n2-20w-4000k-kobi-pro?currency=PLN</v>
      </c>
      <c r="Q256" s="12" t="str">
        <f>HYPERLINK("https://eprel.ec.europa.eu/qr/2169044")</f>
        <v>https://eprel.ec.europa.eu/qr/2169044</v>
      </c>
      <c r="R256"/>
      <c r="S256" t="s">
        <v>2571</v>
      </c>
      <c r="T256">
        <v>0.63</v>
      </c>
      <c r="U256">
        <v>0.75</v>
      </c>
      <c r="V256">
        <v>0.85</v>
      </c>
      <c r="W256">
        <v>62</v>
      </c>
      <c r="X256">
        <v>8.5</v>
      </c>
      <c r="Y256">
        <v>8</v>
      </c>
    </row>
    <row r="257" spans="1:25" ht="60" customHeight="1" x14ac:dyDescent="0.25">
      <c r="A257"/>
      <c r="B257" t="s">
        <v>3</v>
      </c>
      <c r="C257" t="s">
        <v>582</v>
      </c>
      <c r="D257" t="s">
        <v>575</v>
      </c>
      <c r="E257" t="s">
        <v>3176</v>
      </c>
      <c r="F257" t="s">
        <v>1090</v>
      </c>
      <c r="G257" t="s">
        <v>586</v>
      </c>
      <c r="H257" s="11">
        <v>222.2</v>
      </c>
      <c r="I257" s="10">
        <f>H257*(1-IFERROR(VLOOKUP(G257,Rabat!$C$9:$D$43,2,0),0))</f>
        <v>222.2</v>
      </c>
      <c r="J257" t="s">
        <v>1815</v>
      </c>
      <c r="K257" t="s">
        <v>539</v>
      </c>
      <c r="L257" t="s">
        <v>1813</v>
      </c>
      <c r="M257">
        <v>9</v>
      </c>
      <c r="N257">
        <v>162</v>
      </c>
      <c r="O257" t="s">
        <v>1814</v>
      </c>
      <c r="P257" s="12" t="str">
        <f>HYPERLINK("https://b2b.kobi.pl/pl/product/10063,oprawa-liniowa-hermetyczna-led-nexforce-n2-36w-4000k-kobi-pro?currency=PLN")</f>
        <v>https://b2b.kobi.pl/pl/product/10063,oprawa-liniowa-hermetyczna-led-nexforce-n2-36w-4000k-kobi-pro?currency=PLN</v>
      </c>
      <c r="Q257" s="12" t="str">
        <f>HYPERLINK("https://eprel.ec.europa.eu/qr/2082349")</f>
        <v>https://eprel.ec.europa.eu/qr/2082349</v>
      </c>
      <c r="R257"/>
      <c r="S257" t="s">
        <v>2571</v>
      </c>
      <c r="T257">
        <v>1.0900000000000001</v>
      </c>
      <c r="U257">
        <v>1.29</v>
      </c>
      <c r="V257">
        <v>1.6</v>
      </c>
      <c r="W257">
        <v>123</v>
      </c>
      <c r="X257">
        <v>8.5</v>
      </c>
      <c r="Y257">
        <v>8.3000000000000007</v>
      </c>
    </row>
    <row r="258" spans="1:25" ht="60" customHeight="1" x14ac:dyDescent="0.25">
      <c r="A258"/>
      <c r="B258" t="s">
        <v>3</v>
      </c>
      <c r="C258" t="s">
        <v>582</v>
      </c>
      <c r="D258" t="s">
        <v>575</v>
      </c>
      <c r="E258" t="s">
        <v>3177</v>
      </c>
      <c r="F258" t="s">
        <v>1091</v>
      </c>
      <c r="G258" t="s">
        <v>586</v>
      </c>
      <c r="H258" s="11">
        <v>280</v>
      </c>
      <c r="I258" s="10">
        <f>H258*(1-IFERROR(VLOOKUP(G258,Rabat!$C$9:$D$43,2,0),0))</f>
        <v>280</v>
      </c>
      <c r="J258" t="s">
        <v>1815</v>
      </c>
      <c r="K258" t="s">
        <v>540</v>
      </c>
      <c r="L258" t="s">
        <v>1813</v>
      </c>
      <c r="M258">
        <v>9</v>
      </c>
      <c r="N258">
        <v>108</v>
      </c>
      <c r="O258" t="s">
        <v>1814</v>
      </c>
      <c r="P258" s="12" t="str">
        <f>HYPERLINK("https://b2b.kobi.pl/pl/product/10064,oprawa-liniowa-hermetyczna-led-nexforce-n2-52w-4000k-kobi-pro?currency=PLN")</f>
        <v>https://b2b.kobi.pl/pl/product/10064,oprawa-liniowa-hermetyczna-led-nexforce-n2-52w-4000k-kobi-pro?currency=PLN</v>
      </c>
      <c r="Q258" s="12" t="str">
        <f>HYPERLINK("https://eprel.ec.europa.eu/qr/2082480")</f>
        <v>https://eprel.ec.europa.eu/qr/2082480</v>
      </c>
      <c r="R258"/>
      <c r="S258" t="s">
        <v>2571</v>
      </c>
      <c r="T258">
        <v>1.38</v>
      </c>
      <c r="U258">
        <v>1.63</v>
      </c>
      <c r="V258">
        <v>1.95</v>
      </c>
      <c r="W258">
        <v>153</v>
      </c>
      <c r="X258">
        <v>8.5</v>
      </c>
      <c r="Y258">
        <v>8.3000000000000007</v>
      </c>
    </row>
    <row r="259" spans="1:25" ht="60" customHeight="1" x14ac:dyDescent="0.25">
      <c r="A259"/>
      <c r="B259" t="s">
        <v>3</v>
      </c>
      <c r="C259" t="s">
        <v>582</v>
      </c>
      <c r="D259" t="s">
        <v>575</v>
      </c>
      <c r="E259" t="s">
        <v>3763</v>
      </c>
      <c r="F259" t="s">
        <v>1092</v>
      </c>
      <c r="G259" t="s">
        <v>586</v>
      </c>
      <c r="H259" s="11">
        <v>322.22000000000003</v>
      </c>
      <c r="I259" s="10">
        <f>H259*(1-IFERROR(VLOOKUP(G259,Rabat!$C$9:$D$43,2,0),0))</f>
        <v>322.22000000000003</v>
      </c>
      <c r="J259" t="s">
        <v>1815</v>
      </c>
      <c r="K259" t="s">
        <v>541</v>
      </c>
      <c r="L259" t="s">
        <v>1813</v>
      </c>
      <c r="M259">
        <v>9</v>
      </c>
      <c r="N259">
        <v>108</v>
      </c>
      <c r="O259" t="s">
        <v>1814</v>
      </c>
      <c r="P259" s="12" t="str">
        <f>HYPERLINK("https://b2b.kobi.pl/pl/product/10065,oprawa-liniowa-hermetyczna-led-nexforce-n2-70w-4000k-kobi-pro?currency=PLN")</f>
        <v>https://b2b.kobi.pl/pl/product/10065,oprawa-liniowa-hermetyczna-led-nexforce-n2-70w-4000k-kobi-pro?currency=PLN</v>
      </c>
      <c r="Q259" s="12" t="str">
        <f>HYPERLINK("https://eprel.ec.europa.eu/qr/2082512")</f>
        <v>https://eprel.ec.europa.eu/qr/2082512</v>
      </c>
      <c r="R259"/>
      <c r="S259" t="s">
        <v>2571</v>
      </c>
      <c r="T259">
        <v>1.38</v>
      </c>
      <c r="U259">
        <v>1.63</v>
      </c>
      <c r="V259">
        <v>1.95</v>
      </c>
      <c r="W259">
        <v>153</v>
      </c>
      <c r="X259">
        <v>8.5</v>
      </c>
      <c r="Y259">
        <v>8.3000000000000007</v>
      </c>
    </row>
    <row r="260" spans="1:25" ht="60" customHeight="1" x14ac:dyDescent="0.25">
      <c r="A260"/>
      <c r="B260" t="s">
        <v>3</v>
      </c>
      <c r="C260" t="s">
        <v>582</v>
      </c>
      <c r="D260" t="s">
        <v>575</v>
      </c>
      <c r="E260" t="s">
        <v>3764</v>
      </c>
      <c r="F260" t="s">
        <v>3765</v>
      </c>
      <c r="G260" t="s">
        <v>586</v>
      </c>
      <c r="H260" s="11">
        <v>322.22000000000003</v>
      </c>
      <c r="I260" s="10">
        <f>H260*(1-IFERROR(VLOOKUP(G260,Rabat!$C$9:$D$43,2,0),0))</f>
        <v>322.22000000000003</v>
      </c>
      <c r="J260" t="s">
        <v>1815</v>
      </c>
      <c r="K260" t="s">
        <v>4111</v>
      </c>
      <c r="L260" t="s">
        <v>1813</v>
      </c>
      <c r="M260">
        <v>9</v>
      </c>
      <c r="N260"/>
      <c r="O260" t="s">
        <v>1814</v>
      </c>
      <c r="P260" s="12" t="str">
        <f>HYPERLINK("https://b2b.kobi.pl/pl/product/13644,oprawa-led-nexforce-n2-70w-4000k-kobi-pro?currency=PLN")</f>
        <v>https://b2b.kobi.pl/pl/product/13644,oprawa-led-nexforce-n2-70w-4000k-kobi-pro?currency=PLN</v>
      </c>
      <c r="Q260" s="12" t="str">
        <f>HYPERLINK("https://eprel.ec.europa.eu/qr/2082512")</f>
        <v>https://eprel.ec.europa.eu/qr/2082512</v>
      </c>
      <c r="R260" t="s">
        <v>4101</v>
      </c>
      <c r="S260" t="s">
        <v>2571</v>
      </c>
      <c r="T260">
        <v>1.38</v>
      </c>
      <c r="U260">
        <v>1.63</v>
      </c>
      <c r="V260">
        <v>1.95</v>
      </c>
      <c r="W260">
        <v>153</v>
      </c>
      <c r="X260">
        <v>8.5</v>
      </c>
      <c r="Y260">
        <v>8.3000000000000007</v>
      </c>
    </row>
    <row r="261" spans="1:25" ht="60" customHeight="1" x14ac:dyDescent="0.25">
      <c r="A261"/>
      <c r="B261" t="s">
        <v>3</v>
      </c>
      <c r="C261" t="s">
        <v>582</v>
      </c>
      <c r="D261" t="s">
        <v>606</v>
      </c>
      <c r="E261" t="s">
        <v>1103</v>
      </c>
      <c r="F261" t="s">
        <v>1104</v>
      </c>
      <c r="G261" t="s">
        <v>586</v>
      </c>
      <c r="H261" s="11">
        <v>77.83</v>
      </c>
      <c r="I261" s="10">
        <f>H261*(1-IFERROR(VLOOKUP(G261,Rabat!$C$9:$D$43,2,0),0))</f>
        <v>77.83</v>
      </c>
      <c r="J261" t="s">
        <v>1812</v>
      </c>
      <c r="K261" t="s">
        <v>482</v>
      </c>
      <c r="L261" t="s">
        <v>1813</v>
      </c>
      <c r="M261">
        <v>16</v>
      </c>
      <c r="N261">
        <v>400</v>
      </c>
      <c r="O261" t="s">
        <v>1819</v>
      </c>
      <c r="P261" s="12" t="str">
        <f>HYPERLINK("https://b2b.kobi.pl/pl/product/10127,oprawa-liniowa-hermetyczna-led-negro-20w-4000k-kobi-premium?currency=PLN")</f>
        <v>https://b2b.kobi.pl/pl/product/10127,oprawa-liniowa-hermetyczna-led-negro-20w-4000k-kobi-premium?currency=PLN</v>
      </c>
      <c r="Q261" t="s">
        <v>14</v>
      </c>
      <c r="R261"/>
      <c r="S261" t="s">
        <v>2571</v>
      </c>
      <c r="T261">
        <v>0.34</v>
      </c>
      <c r="U261">
        <v>0.4</v>
      </c>
      <c r="V261">
        <v>0.6</v>
      </c>
      <c r="W261">
        <v>60</v>
      </c>
      <c r="X261">
        <v>7</v>
      </c>
      <c r="Y261">
        <v>5.6</v>
      </c>
    </row>
    <row r="262" spans="1:25" ht="60" customHeight="1" x14ac:dyDescent="0.25">
      <c r="A262"/>
      <c r="B262" t="s">
        <v>3</v>
      </c>
      <c r="C262" t="s">
        <v>582</v>
      </c>
      <c r="D262" t="s">
        <v>606</v>
      </c>
      <c r="E262" t="s">
        <v>1105</v>
      </c>
      <c r="F262" t="s">
        <v>1106</v>
      </c>
      <c r="G262" t="s">
        <v>586</v>
      </c>
      <c r="H262" s="11">
        <v>98.43</v>
      </c>
      <c r="I262" s="10">
        <f>H262*(1-IFERROR(VLOOKUP(G262,Rabat!$C$9:$D$43,2,0),0))</f>
        <v>98.43</v>
      </c>
      <c r="J262" t="s">
        <v>1812</v>
      </c>
      <c r="K262" t="s">
        <v>200</v>
      </c>
      <c r="L262" t="s">
        <v>1813</v>
      </c>
      <c r="M262">
        <v>16</v>
      </c>
      <c r="N262">
        <v>240</v>
      </c>
      <c r="O262" t="s">
        <v>1819</v>
      </c>
      <c r="P262" s="12" t="str">
        <f>HYPERLINK("https://b2b.kobi.pl/pl/product/10129,oprawa-liniowa-hermetyczna-led-negro-36w-6000k-kobi-premium?currency=PLN")</f>
        <v>https://b2b.kobi.pl/pl/product/10129,oprawa-liniowa-hermetyczna-led-negro-36w-6000k-kobi-premium?currency=PLN</v>
      </c>
      <c r="Q262" s="12" t="str">
        <f>HYPERLINK("https://eprel.ec.europa.eu/qr/1822222")</f>
        <v>https://eprel.ec.europa.eu/qr/1822222</v>
      </c>
      <c r="R262"/>
      <c r="S262" t="s">
        <v>2571</v>
      </c>
      <c r="T262">
        <v>0.86</v>
      </c>
      <c r="U262">
        <v>1.022</v>
      </c>
      <c r="V262">
        <v>1.73</v>
      </c>
      <c r="W262">
        <v>122</v>
      </c>
      <c r="X262">
        <v>7</v>
      </c>
      <c r="Y262">
        <v>5</v>
      </c>
    </row>
    <row r="263" spans="1:25" ht="60" customHeight="1" x14ac:dyDescent="0.25">
      <c r="A263"/>
      <c r="B263" t="s">
        <v>3</v>
      </c>
      <c r="C263" t="s">
        <v>582</v>
      </c>
      <c r="D263" t="s">
        <v>606</v>
      </c>
      <c r="E263" t="s">
        <v>1108</v>
      </c>
      <c r="F263" t="s">
        <v>1109</v>
      </c>
      <c r="G263" t="s">
        <v>586</v>
      </c>
      <c r="H263" s="11">
        <v>142.22</v>
      </c>
      <c r="I263" s="10">
        <f>H263*(1-IFERROR(VLOOKUP(G263,Rabat!$C$9:$D$43,2,0),0))</f>
        <v>142.22</v>
      </c>
      <c r="J263" t="s">
        <v>1812</v>
      </c>
      <c r="K263" t="s">
        <v>483</v>
      </c>
      <c r="L263" t="s">
        <v>1813</v>
      </c>
      <c r="M263">
        <v>12</v>
      </c>
      <c r="N263">
        <v>144</v>
      </c>
      <c r="O263" t="s">
        <v>1819</v>
      </c>
      <c r="P263" s="12" t="str">
        <f>HYPERLINK("https://b2b.kobi.pl/pl/product/10130,oprawa-liniowa-hermetyczna-led-negro-60w-4000k-kobi-premium?currency=PLN")</f>
        <v>https://b2b.kobi.pl/pl/product/10130,oprawa-liniowa-hermetyczna-led-negro-60w-4000k-kobi-premium?currency=PLN</v>
      </c>
      <c r="Q263" s="12" t="str">
        <f>HYPERLINK("https://eprel.ec.europa.eu/qr/1784068")</f>
        <v>https://eprel.ec.europa.eu/qr/1784068</v>
      </c>
      <c r="R263"/>
      <c r="S263" t="s">
        <v>2571</v>
      </c>
      <c r="T263">
        <v>1.06</v>
      </c>
      <c r="U263">
        <v>1.25</v>
      </c>
      <c r="V263">
        <v>1.55</v>
      </c>
      <c r="W263">
        <v>161.5</v>
      </c>
      <c r="X263">
        <v>8.5</v>
      </c>
      <c r="Y263">
        <v>5.2</v>
      </c>
    </row>
    <row r="264" spans="1:25" ht="60" customHeight="1" x14ac:dyDescent="0.25">
      <c r="A264"/>
      <c r="B264" t="s">
        <v>3</v>
      </c>
      <c r="C264" t="s">
        <v>582</v>
      </c>
      <c r="D264" t="s">
        <v>575</v>
      </c>
      <c r="E264" t="s">
        <v>1211</v>
      </c>
      <c r="F264" t="s">
        <v>1212</v>
      </c>
      <c r="G264" t="s">
        <v>586</v>
      </c>
      <c r="H264" s="11">
        <v>409.71</v>
      </c>
      <c r="I264" s="10">
        <f>H264*(1-IFERROR(VLOOKUP(G264,Rabat!$C$9:$D$43,2,0),0))</f>
        <v>409.71</v>
      </c>
      <c r="J264" t="s">
        <v>1815</v>
      </c>
      <c r="K264" t="s">
        <v>1862</v>
      </c>
      <c r="L264" t="s">
        <v>1813</v>
      </c>
      <c r="M264">
        <v>9</v>
      </c>
      <c r="N264"/>
      <c r="O264" t="s">
        <v>1814</v>
      </c>
      <c r="P264" s="12" t="str">
        <f>HYPERLINK("https://b2b.kobi.pl/pl/product/12150,oprawa-liniowa-led-koline-k2-30w-3cct-ugr-19-biala-kobi-pro?currency=PLN")</f>
        <v>https://b2b.kobi.pl/pl/product/12150,oprawa-liniowa-led-koline-k2-30w-3cct-ugr-19-biala-kobi-pro?currency=PLN</v>
      </c>
      <c r="Q264" s="12" t="str">
        <f>HYPERLINK("https://eprel.ec.europa.eu/qr/2221866")</f>
        <v>https://eprel.ec.europa.eu/qr/2221866</v>
      </c>
      <c r="R264" t="s">
        <v>1945</v>
      </c>
      <c r="S264" t="s">
        <v>2573</v>
      </c>
      <c r="T264">
        <v>1.23</v>
      </c>
      <c r="U264">
        <v>1.458</v>
      </c>
      <c r="V264">
        <v>1.728</v>
      </c>
      <c r="W264">
        <v>133</v>
      </c>
      <c r="X264">
        <v>8.5</v>
      </c>
      <c r="Y264">
        <v>5.5</v>
      </c>
    </row>
    <row r="265" spans="1:25" ht="60" customHeight="1" x14ac:dyDescent="0.25">
      <c r="A265"/>
      <c r="B265" t="s">
        <v>3</v>
      </c>
      <c r="C265" t="s">
        <v>582</v>
      </c>
      <c r="D265" t="s">
        <v>575</v>
      </c>
      <c r="E265" t="s">
        <v>1213</v>
      </c>
      <c r="F265" t="s">
        <v>1214</v>
      </c>
      <c r="G265" t="s">
        <v>586</v>
      </c>
      <c r="H265" s="11">
        <v>409.71</v>
      </c>
      <c r="I265" s="10">
        <f>H265*(1-IFERROR(VLOOKUP(G265,Rabat!$C$9:$D$43,2,0),0))</f>
        <v>409.71</v>
      </c>
      <c r="J265" t="s">
        <v>1815</v>
      </c>
      <c r="K265" t="s">
        <v>1863</v>
      </c>
      <c r="L265" t="s">
        <v>1813</v>
      </c>
      <c r="M265">
        <v>9</v>
      </c>
      <c r="N265"/>
      <c r="O265" t="s">
        <v>1814</v>
      </c>
      <c r="P265" s="12" t="str">
        <f>HYPERLINK("https://b2b.kobi.pl/pl/product/12151,oprawa-liniowa-led-koline-k2-30w-3cct-ugr-19-czarna-kobi-pro?currency=PLN")</f>
        <v>https://b2b.kobi.pl/pl/product/12151,oprawa-liniowa-led-koline-k2-30w-3cct-ugr-19-czarna-kobi-pro?currency=PLN</v>
      </c>
      <c r="Q265" s="12" t="str">
        <f>HYPERLINK("https://eprel.ec.europa.eu/qr/2221866")</f>
        <v>https://eprel.ec.europa.eu/qr/2221866</v>
      </c>
      <c r="R265" t="s">
        <v>1945</v>
      </c>
      <c r="S265" t="s">
        <v>2573</v>
      </c>
      <c r="T265">
        <v>1.25</v>
      </c>
      <c r="U265">
        <v>1.474</v>
      </c>
      <c r="V265">
        <v>1.7070000000000001</v>
      </c>
      <c r="W265">
        <v>133</v>
      </c>
      <c r="X265">
        <v>8.5</v>
      </c>
      <c r="Y265">
        <v>5.5</v>
      </c>
    </row>
    <row r="266" spans="1:25" ht="60" customHeight="1" x14ac:dyDescent="0.25">
      <c r="A266"/>
      <c r="B266" t="s">
        <v>3</v>
      </c>
      <c r="C266" t="s">
        <v>582</v>
      </c>
      <c r="D266" t="s">
        <v>575</v>
      </c>
      <c r="E266" t="s">
        <v>1215</v>
      </c>
      <c r="F266" t="s">
        <v>1216</v>
      </c>
      <c r="G266" t="s">
        <v>586</v>
      </c>
      <c r="H266" s="11">
        <v>379.96</v>
      </c>
      <c r="I266" s="10">
        <f>H266*(1-IFERROR(VLOOKUP(G266,Rabat!$C$9:$D$43,2,0),0))</f>
        <v>379.96</v>
      </c>
      <c r="J266" t="s">
        <v>1815</v>
      </c>
      <c r="K266" t="s">
        <v>1864</v>
      </c>
      <c r="L266" t="s">
        <v>1813</v>
      </c>
      <c r="M266">
        <v>9</v>
      </c>
      <c r="N266">
        <v>144</v>
      </c>
      <c r="O266" t="s">
        <v>1814</v>
      </c>
      <c r="P266" s="12" t="str">
        <f>HYPERLINK("https://b2b.kobi.pl/pl/product/12148,oprawa-liniowa-led-koline-k2-40w-3cct-biala-kobi-pro?currency=PLN")</f>
        <v>https://b2b.kobi.pl/pl/product/12148,oprawa-liniowa-led-koline-k2-40w-3cct-biala-kobi-pro?currency=PLN</v>
      </c>
      <c r="Q266" s="12" t="str">
        <f>HYPERLINK("https://eprel.ec.europa.eu/qr/2221062")</f>
        <v>https://eprel.ec.europa.eu/qr/2221062</v>
      </c>
      <c r="R266" t="s">
        <v>1945</v>
      </c>
      <c r="S266" t="s">
        <v>2573</v>
      </c>
      <c r="T266">
        <v>1.18</v>
      </c>
      <c r="U266">
        <v>1.397</v>
      </c>
      <c r="V266">
        <v>1.651</v>
      </c>
      <c r="W266">
        <v>133</v>
      </c>
      <c r="X266">
        <v>8.5</v>
      </c>
      <c r="Y266">
        <v>5.5</v>
      </c>
    </row>
    <row r="267" spans="1:25" ht="60" customHeight="1" x14ac:dyDescent="0.25">
      <c r="A267"/>
      <c r="B267" t="s">
        <v>3</v>
      </c>
      <c r="C267" t="s">
        <v>582</v>
      </c>
      <c r="D267" t="s">
        <v>575</v>
      </c>
      <c r="E267" t="s">
        <v>1209</v>
      </c>
      <c r="F267" t="s">
        <v>1210</v>
      </c>
      <c r="G267" t="s">
        <v>586</v>
      </c>
      <c r="H267" s="11">
        <v>363.93</v>
      </c>
      <c r="I267" s="10">
        <f>H267*(1-IFERROR(VLOOKUP(G267,Rabat!$C$9:$D$43,2,0),0))</f>
        <v>363.93</v>
      </c>
      <c r="J267" t="s">
        <v>1815</v>
      </c>
      <c r="K267" t="s">
        <v>1861</v>
      </c>
      <c r="L267" t="s">
        <v>1813</v>
      </c>
      <c r="M267">
        <v>9</v>
      </c>
      <c r="N267">
        <v>144</v>
      </c>
      <c r="O267" t="s">
        <v>1814</v>
      </c>
      <c r="P267" s="12" t="str">
        <f>HYPERLINK("https://b2b.kobi.pl/pl/product/12147,oprawa-liniowa-led-koline-k2-20w-3cct-czarna-kobi-pro?currency=PLN")</f>
        <v>https://b2b.kobi.pl/pl/product/12147,oprawa-liniowa-led-koline-k2-20w-3cct-czarna-kobi-pro?currency=PLN</v>
      </c>
      <c r="Q267" s="12" t="str">
        <f>HYPERLINK("https://eprel.ec.europa.eu/qr/2221032")</f>
        <v>https://eprel.ec.europa.eu/qr/2221032</v>
      </c>
      <c r="R267" t="s">
        <v>1945</v>
      </c>
      <c r="S267" t="s">
        <v>2573</v>
      </c>
      <c r="T267">
        <v>1.1599999999999999</v>
      </c>
      <c r="U267">
        <v>1.375</v>
      </c>
      <c r="V267">
        <v>1.6259999999999999</v>
      </c>
      <c r="W267">
        <v>133</v>
      </c>
      <c r="X267">
        <v>8.5</v>
      </c>
      <c r="Y267">
        <v>5.5</v>
      </c>
    </row>
    <row r="268" spans="1:25" ht="60" customHeight="1" x14ac:dyDescent="0.25">
      <c r="A268"/>
      <c r="B268" t="s">
        <v>3</v>
      </c>
      <c r="C268" t="s">
        <v>582</v>
      </c>
      <c r="D268" t="s">
        <v>575</v>
      </c>
      <c r="E268" t="s">
        <v>3766</v>
      </c>
      <c r="F268" t="s">
        <v>3767</v>
      </c>
      <c r="G268" t="s">
        <v>586</v>
      </c>
      <c r="H268" s="11">
        <v>402.84</v>
      </c>
      <c r="I268" s="10">
        <f>H268*(1-IFERROR(VLOOKUP(G268,Rabat!$C$9:$D$43,2,0),0))</f>
        <v>402.84</v>
      </c>
      <c r="J268" t="s">
        <v>1815</v>
      </c>
      <c r="K268" t="s">
        <v>4112</v>
      </c>
      <c r="L268" t="s">
        <v>1813</v>
      </c>
      <c r="M268">
        <v>9</v>
      </c>
      <c r="N268">
        <v>243</v>
      </c>
      <c r="O268" t="s">
        <v>1814</v>
      </c>
      <c r="P268" s="12" t="str">
        <f>HYPERLINK("https://b2b.kobi.pl/pl/product/13232,oprawa-liniowa-led-koline-k2-20-30-40w-3cct-biala-kobi-pro?currency=PLN")</f>
        <v>https://b2b.kobi.pl/pl/product/13232,oprawa-liniowa-led-koline-k2-20-30-40w-3cct-biala-kobi-pro?currency=PLN</v>
      </c>
      <c r="Q268" s="12" t="str">
        <f>HYPERLINK("https://eprel.ec.europa.eu/qr/2221062")</f>
        <v>https://eprel.ec.europa.eu/qr/2221062</v>
      </c>
      <c r="R268" t="s">
        <v>4101</v>
      </c>
      <c r="S268" t="s">
        <v>2573</v>
      </c>
      <c r="T268">
        <v>1.18</v>
      </c>
      <c r="U268">
        <v>1.4</v>
      </c>
      <c r="V268">
        <v>1.65</v>
      </c>
      <c r="W268">
        <v>125</v>
      </c>
      <c r="X268">
        <v>8.5</v>
      </c>
      <c r="Y268">
        <v>5.5</v>
      </c>
    </row>
    <row r="269" spans="1:25" ht="60" customHeight="1" x14ac:dyDescent="0.25">
      <c r="A269"/>
      <c r="B269" t="s">
        <v>3</v>
      </c>
      <c r="C269" t="s">
        <v>582</v>
      </c>
      <c r="D269" t="s">
        <v>575</v>
      </c>
      <c r="E269" t="s">
        <v>3768</v>
      </c>
      <c r="F269" t="s">
        <v>3769</v>
      </c>
      <c r="G269" t="s">
        <v>586</v>
      </c>
      <c r="H269" s="11">
        <v>432.6</v>
      </c>
      <c r="I269" s="10">
        <f>H269*(1-IFERROR(VLOOKUP(G269,Rabat!$C$9:$D$43,2,0),0))</f>
        <v>432.6</v>
      </c>
      <c r="J269" t="s">
        <v>1815</v>
      </c>
      <c r="K269" t="s">
        <v>4113</v>
      </c>
      <c r="L269" t="s">
        <v>1813</v>
      </c>
      <c r="M269">
        <v>9</v>
      </c>
      <c r="N269">
        <v>243</v>
      </c>
      <c r="O269" t="s">
        <v>1814</v>
      </c>
      <c r="P269" s="12" t="str">
        <f>HYPERLINK("https://b2b.kobi.pl/pl/product/13233,oprawa-liniowa-led-koline-k2-20-30-40w-3cct-ugr-19-czarna-kobi-pro?currency=PLN")</f>
        <v>https://b2b.kobi.pl/pl/product/13233,oprawa-liniowa-led-koline-k2-20-30-40w-3cct-ugr-19-czarna-kobi-pro?currency=PLN</v>
      </c>
      <c r="Q269" s="12" t="str">
        <f>HYPERLINK("https://eprel.ec.europa.eu/qr/2221062")</f>
        <v>https://eprel.ec.europa.eu/qr/2221062</v>
      </c>
      <c r="R269" t="s">
        <v>4101</v>
      </c>
      <c r="S269" t="s">
        <v>2573</v>
      </c>
      <c r="T269">
        <v>1.18</v>
      </c>
      <c r="U269">
        <v>1.4</v>
      </c>
      <c r="V269">
        <v>1.65</v>
      </c>
      <c r="W269">
        <v>125</v>
      </c>
      <c r="X269">
        <v>8.5</v>
      </c>
      <c r="Y269">
        <v>5.5</v>
      </c>
    </row>
    <row r="270" spans="1:25" ht="60" customHeight="1" x14ac:dyDescent="0.25">
      <c r="A270"/>
      <c r="B270" t="s">
        <v>3</v>
      </c>
      <c r="C270" t="s">
        <v>582</v>
      </c>
      <c r="D270" t="s">
        <v>575</v>
      </c>
      <c r="E270" t="s">
        <v>3770</v>
      </c>
      <c r="F270" t="s">
        <v>3771</v>
      </c>
      <c r="G270" t="s">
        <v>586</v>
      </c>
      <c r="H270" s="11">
        <v>402.84</v>
      </c>
      <c r="I270" s="10">
        <f>H270*(1-IFERROR(VLOOKUP(G270,Rabat!$C$9:$D$43,2,0),0))</f>
        <v>402.84</v>
      </c>
      <c r="J270" t="s">
        <v>1815</v>
      </c>
      <c r="K270" t="s">
        <v>4114</v>
      </c>
      <c r="L270" t="s">
        <v>1813</v>
      </c>
      <c r="M270">
        <v>9</v>
      </c>
      <c r="N270">
        <v>243</v>
      </c>
      <c r="O270" t="s">
        <v>1814</v>
      </c>
      <c r="P270" s="12" t="str">
        <f>HYPERLINK("https://b2b.kobi.pl/pl/product/13231,oprawa-liniowa-led-koline-k2-20-30-40w-3cct-czarna-kobi-pro?currency=PLN")</f>
        <v>https://b2b.kobi.pl/pl/product/13231,oprawa-liniowa-led-koline-k2-20-30-40w-3cct-czarna-kobi-pro?currency=PLN</v>
      </c>
      <c r="Q270" s="12" t="str">
        <f>HYPERLINK("https://eprel.ec.europa.eu/qr/2221062")</f>
        <v>https://eprel.ec.europa.eu/qr/2221062</v>
      </c>
      <c r="R270" t="s">
        <v>4101</v>
      </c>
      <c r="S270" t="s">
        <v>2573</v>
      </c>
      <c r="T270">
        <v>1.18</v>
      </c>
      <c r="U270">
        <v>1.4</v>
      </c>
      <c r="V270">
        <v>1.65</v>
      </c>
      <c r="W270">
        <v>125</v>
      </c>
      <c r="X270">
        <v>8.5</v>
      </c>
      <c r="Y270">
        <v>5.5</v>
      </c>
    </row>
    <row r="271" spans="1:25" ht="60" customHeight="1" x14ac:dyDescent="0.25">
      <c r="A271"/>
      <c r="B271" t="s">
        <v>3</v>
      </c>
      <c r="C271" t="s">
        <v>582</v>
      </c>
      <c r="D271" t="s">
        <v>575</v>
      </c>
      <c r="E271" t="s">
        <v>3772</v>
      </c>
      <c r="F271" t="s">
        <v>3773</v>
      </c>
      <c r="G271" t="s">
        <v>620</v>
      </c>
      <c r="H271" s="11">
        <v>27.23</v>
      </c>
      <c r="I271" s="10">
        <f>H271*(1-IFERROR(VLOOKUP(G271,Rabat!$C$9:$D$43,2,0),0))</f>
        <v>27.23</v>
      </c>
      <c r="J271" t="s">
        <v>1815</v>
      </c>
      <c r="K271" t="s">
        <v>4115</v>
      </c>
      <c r="L271" t="s">
        <v>1813</v>
      </c>
      <c r="M271">
        <v>20</v>
      </c>
      <c r="N271"/>
      <c r="O271" t="s">
        <v>1818</v>
      </c>
      <c r="P271" s="12" t="str">
        <f>HYPERLINK("https://b2b.kobi.pl/pl/product/13344,rozeta-sufitowa-do-led-koline-k2-biala-kobi-pro?currency=PLN")</f>
        <v>https://b2b.kobi.pl/pl/product/13344,rozeta-sufitowa-do-led-koline-k2-biala-kobi-pro?currency=PLN</v>
      </c>
      <c r="Q271" t="s">
        <v>14</v>
      </c>
      <c r="R271" t="s">
        <v>4101</v>
      </c>
      <c r="S271" t="s">
        <v>2574</v>
      </c>
      <c r="T271">
        <v>0</v>
      </c>
      <c r="U271">
        <v>0.12</v>
      </c>
      <c r="V271">
        <v>0.125</v>
      </c>
      <c r="W271">
        <v>9</v>
      </c>
      <c r="X271">
        <v>9</v>
      </c>
      <c r="Y271">
        <v>6.8</v>
      </c>
    </row>
    <row r="272" spans="1:25" ht="60" customHeight="1" x14ac:dyDescent="0.25">
      <c r="A272"/>
      <c r="B272" t="s">
        <v>3</v>
      </c>
      <c r="C272" t="s">
        <v>582</v>
      </c>
      <c r="D272" t="s">
        <v>575</v>
      </c>
      <c r="E272" t="s">
        <v>3774</v>
      </c>
      <c r="F272" t="s">
        <v>3775</v>
      </c>
      <c r="G272" t="s">
        <v>620</v>
      </c>
      <c r="H272" s="11">
        <v>27.23</v>
      </c>
      <c r="I272" s="10">
        <f>H272*(1-IFERROR(VLOOKUP(G272,Rabat!$C$9:$D$43,2,0),0))</f>
        <v>27.23</v>
      </c>
      <c r="J272" t="s">
        <v>1815</v>
      </c>
      <c r="K272" t="s">
        <v>4116</v>
      </c>
      <c r="L272" t="s">
        <v>1813</v>
      </c>
      <c r="M272">
        <v>20</v>
      </c>
      <c r="N272"/>
      <c r="O272" t="s">
        <v>1818</v>
      </c>
      <c r="P272" s="12" t="str">
        <f>HYPERLINK("https://b2b.kobi.pl/pl/product/13345,rozeta-sufitowa-do-led-koline-k2-czarna-kobi-pro?currency=PLN")</f>
        <v>https://b2b.kobi.pl/pl/product/13345,rozeta-sufitowa-do-led-koline-k2-czarna-kobi-pro?currency=PLN</v>
      </c>
      <c r="Q272" t="s">
        <v>14</v>
      </c>
      <c r="R272" t="s">
        <v>4101</v>
      </c>
      <c r="S272" t="s">
        <v>2574</v>
      </c>
      <c r="T272">
        <v>0</v>
      </c>
      <c r="U272">
        <v>0.12</v>
      </c>
      <c r="V272">
        <v>0.125</v>
      </c>
      <c r="W272">
        <v>9</v>
      </c>
      <c r="X272">
        <v>9</v>
      </c>
      <c r="Y272">
        <v>6.8</v>
      </c>
    </row>
    <row r="273" spans="1:25" ht="60" customHeight="1" x14ac:dyDescent="0.25">
      <c r="A273"/>
      <c r="B273" t="s">
        <v>3</v>
      </c>
      <c r="C273" t="s">
        <v>582</v>
      </c>
      <c r="D273" t="s">
        <v>575</v>
      </c>
      <c r="E273" t="s">
        <v>3776</v>
      </c>
      <c r="F273" t="s">
        <v>3777</v>
      </c>
      <c r="G273" t="s">
        <v>586</v>
      </c>
      <c r="H273" s="11">
        <v>188.89</v>
      </c>
      <c r="I273" s="10">
        <f>H273*(1-IFERROR(VLOOKUP(G273,Rabat!$C$9:$D$43,2,0),0))</f>
        <v>188.89</v>
      </c>
      <c r="J273" t="s">
        <v>1815</v>
      </c>
      <c r="K273" t="s">
        <v>4117</v>
      </c>
      <c r="L273" t="s">
        <v>1813</v>
      </c>
      <c r="M273">
        <v>18</v>
      </c>
      <c r="N273"/>
      <c r="O273" t="s">
        <v>1814</v>
      </c>
      <c r="P273" s="12" t="str">
        <f>HYPERLINK("https://b2b.kobi.pl/pl/product/13288,oprawa-liniowa-led-koline-go-40w-3cct-czarna-kobi-pro?currency=PLN")</f>
        <v>https://b2b.kobi.pl/pl/product/13288,oprawa-liniowa-led-koline-go-40w-3cct-czarna-kobi-pro?currency=PLN</v>
      </c>
      <c r="Q273" s="12" t="str">
        <f>HYPERLINK("https://eprel.ec.europa.eu/qr/2651446")</f>
        <v>https://eprel.ec.europa.eu/qr/2651446</v>
      </c>
      <c r="R273" t="s">
        <v>4101</v>
      </c>
      <c r="S273" t="s">
        <v>2573</v>
      </c>
      <c r="T273">
        <v>0.57999999999999996</v>
      </c>
      <c r="U273">
        <v>0.68799999999999994</v>
      </c>
      <c r="V273">
        <v>0.78100000000000003</v>
      </c>
      <c r="W273">
        <v>124</v>
      </c>
      <c r="X273">
        <v>5.6</v>
      </c>
      <c r="Y273">
        <v>4.5999999999999996</v>
      </c>
    </row>
    <row r="274" spans="1:25" ht="60" customHeight="1" x14ac:dyDescent="0.25">
      <c r="A274"/>
      <c r="B274" t="s">
        <v>3</v>
      </c>
      <c r="C274" t="s">
        <v>582</v>
      </c>
      <c r="D274" t="s">
        <v>575</v>
      </c>
      <c r="E274" t="s">
        <v>3778</v>
      </c>
      <c r="F274" t="s">
        <v>3779</v>
      </c>
      <c r="G274" t="s">
        <v>586</v>
      </c>
      <c r="H274" s="11">
        <v>188.89</v>
      </c>
      <c r="I274" s="10">
        <f>H274*(1-IFERROR(VLOOKUP(G274,Rabat!$C$9:$D$43,2,0),0))</f>
        <v>188.89</v>
      </c>
      <c r="J274" t="s">
        <v>1815</v>
      </c>
      <c r="K274" t="s">
        <v>4118</v>
      </c>
      <c r="L274" t="s">
        <v>1813</v>
      </c>
      <c r="M274">
        <v>18</v>
      </c>
      <c r="N274"/>
      <c r="O274" t="s">
        <v>1814</v>
      </c>
      <c r="P274" s="12" t="str">
        <f>HYPERLINK("https://b2b.kobi.pl/pl/product/13287,oprawa-liniowa-led-koline-go-40w-3cct-biala-kobi-pro?currency=PLN")</f>
        <v>https://b2b.kobi.pl/pl/product/13287,oprawa-liniowa-led-koline-go-40w-3cct-biala-kobi-pro?currency=PLN</v>
      </c>
      <c r="Q274" s="12" t="str">
        <f>HYPERLINK("https://eprel.ec.europa.eu/qr/2651446")</f>
        <v>https://eprel.ec.europa.eu/qr/2651446</v>
      </c>
      <c r="R274" t="s">
        <v>4101</v>
      </c>
      <c r="S274" t="s">
        <v>2573</v>
      </c>
      <c r="T274">
        <v>0.57999999999999996</v>
      </c>
      <c r="U274">
        <v>0.68799999999999994</v>
      </c>
      <c r="V274">
        <v>0.78100000000000003</v>
      </c>
      <c r="W274">
        <v>124</v>
      </c>
      <c r="X274">
        <v>5.6</v>
      </c>
      <c r="Y274">
        <v>4.5999999999999996</v>
      </c>
    </row>
    <row r="275" spans="1:25" ht="60" customHeight="1" x14ac:dyDescent="0.25">
      <c r="A275"/>
      <c r="B275" t="s">
        <v>3</v>
      </c>
      <c r="C275" t="s">
        <v>582</v>
      </c>
      <c r="D275" t="s">
        <v>575</v>
      </c>
      <c r="E275" t="s">
        <v>1000</v>
      </c>
      <c r="F275" t="s">
        <v>1001</v>
      </c>
      <c r="G275" t="s">
        <v>586</v>
      </c>
      <c r="H275" s="11">
        <v>318.16000000000003</v>
      </c>
      <c r="I275" s="10">
        <f>H275*(1-IFERROR(VLOOKUP(G275,Rabat!$C$9:$D$43,2,0),0))</f>
        <v>318.16000000000003</v>
      </c>
      <c r="J275" t="s">
        <v>1815</v>
      </c>
      <c r="K275" t="s">
        <v>1854</v>
      </c>
      <c r="L275" t="s">
        <v>1813</v>
      </c>
      <c r="M275">
        <v>5</v>
      </c>
      <c r="N275"/>
      <c r="O275" t="s">
        <v>1814</v>
      </c>
      <c r="P275" s="12" t="str">
        <f>HYPERLINK("https://b2b.kobi.pl/pl/product/12152,lacznik-x-do-led-koline-k2-bialy-kobi-pro?currency=PLN")</f>
        <v>https://b2b.kobi.pl/pl/product/12152,lacznik-x-do-led-koline-k2-bialy-kobi-pro?currency=PLN</v>
      </c>
      <c r="Q275" s="12" t="str">
        <f>HYPERLINK("https://eprel.ec.europa.eu/qr/2225172")</f>
        <v>https://eprel.ec.europa.eu/qr/2225172</v>
      </c>
      <c r="R275"/>
      <c r="S275" t="s">
        <v>2573</v>
      </c>
      <c r="T275">
        <v>0.53</v>
      </c>
      <c r="U275">
        <v>0.63300000000000001</v>
      </c>
      <c r="V275">
        <v>0.77200000000000002</v>
      </c>
      <c r="W275">
        <v>27</v>
      </c>
      <c r="X275">
        <v>8.3000000000000007</v>
      </c>
      <c r="Y275">
        <v>27</v>
      </c>
    </row>
    <row r="276" spans="1:25" ht="60" customHeight="1" x14ac:dyDescent="0.25">
      <c r="A276"/>
      <c r="B276" t="s">
        <v>3</v>
      </c>
      <c r="C276" t="s">
        <v>582</v>
      </c>
      <c r="D276" t="s">
        <v>575</v>
      </c>
      <c r="E276" t="s">
        <v>3780</v>
      </c>
      <c r="F276" t="s">
        <v>3781</v>
      </c>
      <c r="G276" t="s">
        <v>586</v>
      </c>
      <c r="H276" s="11">
        <v>160</v>
      </c>
      <c r="I276" s="10">
        <f>H276*(1-IFERROR(VLOOKUP(G276,Rabat!$C$9:$D$43,2,0),0))</f>
        <v>160</v>
      </c>
      <c r="J276" t="s">
        <v>1815</v>
      </c>
      <c r="K276" t="s">
        <v>4119</v>
      </c>
      <c r="L276" t="s">
        <v>1813</v>
      </c>
      <c r="M276">
        <v>4</v>
      </c>
      <c r="N276"/>
      <c r="O276" t="s">
        <v>1814</v>
      </c>
      <c r="P276" s="12" t="str">
        <f>HYPERLINK("https://b2b.kobi.pl/pl/product/13525,oprawa-liniowa-led-delfia-max-40w-3cct-kobi-pro?currency=PLN")</f>
        <v>https://b2b.kobi.pl/pl/product/13525,oprawa-liniowa-led-delfia-max-40w-3cct-kobi-pro?currency=PLN</v>
      </c>
      <c r="Q276" s="12" t="str">
        <f>HYPERLINK("https://eprel.ec.europa.eu/qr/2735882")</f>
        <v>https://eprel.ec.europa.eu/qr/2735882</v>
      </c>
      <c r="R276" t="s">
        <v>4101</v>
      </c>
      <c r="S276" t="s">
        <v>2571</v>
      </c>
      <c r="T276">
        <v>0</v>
      </c>
      <c r="U276">
        <v>1</v>
      </c>
      <c r="V276">
        <v>1.2</v>
      </c>
      <c r="W276">
        <v>126.7</v>
      </c>
      <c r="X276">
        <v>12.8</v>
      </c>
      <c r="Y276">
        <v>6.8</v>
      </c>
    </row>
    <row r="277" spans="1:25" ht="60" customHeight="1" x14ac:dyDescent="0.25">
      <c r="A277"/>
      <c r="B277" t="s">
        <v>3</v>
      </c>
      <c r="C277" t="s">
        <v>582</v>
      </c>
      <c r="D277" t="s">
        <v>575</v>
      </c>
      <c r="E277" t="s">
        <v>1002</v>
      </c>
      <c r="F277" t="s">
        <v>1003</v>
      </c>
      <c r="G277" t="s">
        <v>586</v>
      </c>
      <c r="H277" s="11">
        <v>318.16000000000003</v>
      </c>
      <c r="I277" s="10">
        <f>H277*(1-IFERROR(VLOOKUP(G277,Rabat!$C$9:$D$43,2,0),0))</f>
        <v>318.16000000000003</v>
      </c>
      <c r="J277" t="s">
        <v>1815</v>
      </c>
      <c r="K277" t="s">
        <v>1855</v>
      </c>
      <c r="L277" t="s">
        <v>1813</v>
      </c>
      <c r="M277">
        <v>5</v>
      </c>
      <c r="N277"/>
      <c r="O277" t="s">
        <v>1814</v>
      </c>
      <c r="P277" s="12" t="str">
        <f>HYPERLINK("https://b2b.kobi.pl/pl/product/12153,lacznik-x-do-led-koline-k2-czarny-kobi-pro?currency=PLN")</f>
        <v>https://b2b.kobi.pl/pl/product/12153,lacznik-x-do-led-koline-k2-czarny-kobi-pro?currency=PLN</v>
      </c>
      <c r="Q277" s="12" t="str">
        <f>HYPERLINK("https://eprel.ec.europa.eu/qr/2225172")</f>
        <v>https://eprel.ec.europa.eu/qr/2225172</v>
      </c>
      <c r="R277"/>
      <c r="S277" t="s">
        <v>2573</v>
      </c>
      <c r="T277">
        <v>0.52</v>
      </c>
      <c r="U277">
        <v>0.61099999999999999</v>
      </c>
      <c r="V277">
        <v>0.748</v>
      </c>
      <c r="W277">
        <v>27</v>
      </c>
      <c r="X277">
        <v>8.3000000000000007</v>
      </c>
      <c r="Y277">
        <v>27</v>
      </c>
    </row>
    <row r="278" spans="1:25" ht="60" customHeight="1" x14ac:dyDescent="0.25">
      <c r="A278"/>
      <c r="B278" t="s">
        <v>3</v>
      </c>
      <c r="C278" t="s">
        <v>3782</v>
      </c>
      <c r="D278" t="s">
        <v>618</v>
      </c>
      <c r="E278" t="s">
        <v>3170</v>
      </c>
      <c r="F278" t="s">
        <v>3171</v>
      </c>
      <c r="G278" t="s">
        <v>1149</v>
      </c>
      <c r="H278" s="11">
        <v>54.42</v>
      </c>
      <c r="I278" s="10">
        <f>H278*(1-IFERROR(VLOOKUP(G278,Rabat!$C$9:$D$43,2,0),0))</f>
        <v>54.42</v>
      </c>
      <c r="J278" t="s">
        <v>1815</v>
      </c>
      <c r="K278" t="s">
        <v>3175</v>
      </c>
      <c r="L278" t="s">
        <v>1813</v>
      </c>
      <c r="M278">
        <v>10</v>
      </c>
      <c r="N278">
        <v>150</v>
      </c>
      <c r="O278" t="s">
        <v>1818</v>
      </c>
      <c r="P278" s="12" t="str">
        <f>HYPERLINK("https://b2b.kobi.pl/pl/product/12930,oprawa-liniowa-delfia-g2-2x120-kobi?currency=PLN")</f>
        <v>https://b2b.kobi.pl/pl/product/12930,oprawa-liniowa-delfia-g2-2x120-kobi?currency=PLN</v>
      </c>
      <c r="Q278" t="s">
        <v>14</v>
      </c>
      <c r="R278"/>
      <c r="S278" t="s">
        <v>2607</v>
      </c>
      <c r="T278">
        <v>0.32</v>
      </c>
      <c r="U278">
        <v>0.78</v>
      </c>
      <c r="V278">
        <v>0.95399999999999996</v>
      </c>
      <c r="W278">
        <v>125</v>
      </c>
      <c r="X278">
        <v>12</v>
      </c>
      <c r="Y278">
        <v>5.5</v>
      </c>
    </row>
    <row r="279" spans="1:25" ht="60" customHeight="1" x14ac:dyDescent="0.25">
      <c r="A279"/>
      <c r="B279" t="s">
        <v>3</v>
      </c>
      <c r="C279" t="s">
        <v>582</v>
      </c>
      <c r="D279" t="s">
        <v>575</v>
      </c>
      <c r="E279" t="s">
        <v>996</v>
      </c>
      <c r="F279" t="s">
        <v>997</v>
      </c>
      <c r="G279" t="s">
        <v>586</v>
      </c>
      <c r="H279" s="11">
        <v>272.37</v>
      </c>
      <c r="I279" s="10">
        <f>H279*(1-IFERROR(VLOOKUP(G279,Rabat!$C$9:$D$43,2,0),0))</f>
        <v>272.37</v>
      </c>
      <c r="J279" t="s">
        <v>1815</v>
      </c>
      <c r="K279" t="s">
        <v>1852</v>
      </c>
      <c r="L279" t="s">
        <v>1813</v>
      </c>
      <c r="M279">
        <v>5</v>
      </c>
      <c r="N279"/>
      <c r="O279" t="s">
        <v>1814</v>
      </c>
      <c r="P279" s="12" t="str">
        <f>HYPERLINK("https://b2b.kobi.pl/pl/product/12154,lacznik-t-do-led-koline-k2-bialy-kobi-pro?currency=PLN")</f>
        <v>https://b2b.kobi.pl/pl/product/12154,lacznik-t-do-led-koline-k2-bialy-kobi-pro?currency=PLN</v>
      </c>
      <c r="Q279" s="12" t="str">
        <f>HYPERLINK("https://eprel.ec.europa.eu/qr/2225270")</f>
        <v>https://eprel.ec.europa.eu/qr/2225270</v>
      </c>
      <c r="R279"/>
      <c r="S279" t="s">
        <v>2573</v>
      </c>
      <c r="T279">
        <v>0.42</v>
      </c>
      <c r="U279">
        <v>0.495</v>
      </c>
      <c r="V279">
        <v>0.59799999999999998</v>
      </c>
      <c r="W279">
        <v>27</v>
      </c>
      <c r="X279">
        <v>8.3000000000000007</v>
      </c>
      <c r="Y279">
        <v>16</v>
      </c>
    </row>
    <row r="280" spans="1:25" ht="60" customHeight="1" x14ac:dyDescent="0.25">
      <c r="A280"/>
      <c r="B280" t="s">
        <v>3</v>
      </c>
      <c r="C280" t="s">
        <v>582</v>
      </c>
      <c r="D280" t="s">
        <v>575</v>
      </c>
      <c r="E280" t="s">
        <v>998</v>
      </c>
      <c r="F280" t="s">
        <v>999</v>
      </c>
      <c r="G280" t="s">
        <v>586</v>
      </c>
      <c r="H280" s="11">
        <v>272.37</v>
      </c>
      <c r="I280" s="10">
        <f>H280*(1-IFERROR(VLOOKUP(G280,Rabat!$C$9:$D$43,2,0),0))</f>
        <v>272.37</v>
      </c>
      <c r="J280" t="s">
        <v>1815</v>
      </c>
      <c r="K280" t="s">
        <v>1853</v>
      </c>
      <c r="L280" t="s">
        <v>1813</v>
      </c>
      <c r="M280">
        <v>5</v>
      </c>
      <c r="N280"/>
      <c r="O280" t="s">
        <v>1814</v>
      </c>
      <c r="P280" s="12" t="str">
        <f>HYPERLINK("https://b2b.kobi.pl/pl/product/12155,lacznik-t-do-led-koline-k2-czarny-kobi-pro?currency=PLN")</f>
        <v>https://b2b.kobi.pl/pl/product/12155,lacznik-t-do-led-koline-k2-czarny-kobi-pro?currency=PLN</v>
      </c>
      <c r="Q280" s="12" t="str">
        <f>HYPERLINK("https://eprel.ec.europa.eu/qr/2225270")</f>
        <v>https://eprel.ec.europa.eu/qr/2225270</v>
      </c>
      <c r="R280"/>
      <c r="S280" t="s">
        <v>2573</v>
      </c>
      <c r="T280">
        <v>0.41</v>
      </c>
      <c r="U280">
        <v>0.48199999999999998</v>
      </c>
      <c r="V280">
        <v>0.58599999999999997</v>
      </c>
      <c r="W280">
        <v>27</v>
      </c>
      <c r="X280">
        <v>8.3000000000000007</v>
      </c>
      <c r="Y280">
        <v>16</v>
      </c>
    </row>
    <row r="281" spans="1:25" ht="60" customHeight="1" x14ac:dyDescent="0.25">
      <c r="A281"/>
      <c r="B281" t="s">
        <v>3</v>
      </c>
      <c r="C281" t="s">
        <v>582</v>
      </c>
      <c r="D281" t="s">
        <v>575</v>
      </c>
      <c r="E281" t="s">
        <v>2100</v>
      </c>
      <c r="F281" t="s">
        <v>2101</v>
      </c>
      <c r="G281" t="s">
        <v>586</v>
      </c>
      <c r="H281" s="11">
        <v>226.6</v>
      </c>
      <c r="I281" s="10">
        <f>H281*(1-IFERROR(VLOOKUP(G281,Rabat!$C$9:$D$43,2,0),0))</f>
        <v>226.6</v>
      </c>
      <c r="J281" t="s">
        <v>1815</v>
      </c>
      <c r="K281" t="s">
        <v>2154</v>
      </c>
      <c r="L281" t="s">
        <v>1813</v>
      </c>
      <c r="M281">
        <v>5</v>
      </c>
      <c r="N281">
        <v>405</v>
      </c>
      <c r="O281" t="s">
        <v>1814</v>
      </c>
      <c r="P281" s="12" t="str">
        <f>HYPERLINK("https://b2b.kobi.pl/pl/product/12156,lacznik-l-do-led-koline-k2-bialy-kobi-pro?currency=PLN")</f>
        <v>https://b2b.kobi.pl/pl/product/12156,lacznik-l-do-led-koline-k2-bialy-kobi-pro?currency=PLN</v>
      </c>
      <c r="Q281" s="12" t="str">
        <f>HYPERLINK("https://eprel.ec.europa.eu/qr/2225288")</f>
        <v>https://eprel.ec.europa.eu/qr/2225288</v>
      </c>
      <c r="R281"/>
      <c r="S281" t="s">
        <v>2573</v>
      </c>
      <c r="T281">
        <v>0.31</v>
      </c>
      <c r="U281">
        <v>0.36299999999999999</v>
      </c>
      <c r="V281">
        <v>0.434</v>
      </c>
      <c r="W281">
        <v>16</v>
      </c>
      <c r="X281">
        <v>8.3000000000000007</v>
      </c>
      <c r="Y281">
        <v>16</v>
      </c>
    </row>
    <row r="282" spans="1:25" ht="60" customHeight="1" x14ac:dyDescent="0.25">
      <c r="A282"/>
      <c r="B282" t="s">
        <v>3</v>
      </c>
      <c r="C282" t="s">
        <v>582</v>
      </c>
      <c r="D282" t="s">
        <v>575</v>
      </c>
      <c r="E282" t="s">
        <v>2102</v>
      </c>
      <c r="F282" t="s">
        <v>2103</v>
      </c>
      <c r="G282" t="s">
        <v>586</v>
      </c>
      <c r="H282" s="11">
        <v>226.6</v>
      </c>
      <c r="I282" s="10">
        <f>H282*(1-IFERROR(VLOOKUP(G282,Rabat!$C$9:$D$43,2,0),0))</f>
        <v>226.6</v>
      </c>
      <c r="J282" t="s">
        <v>1815</v>
      </c>
      <c r="K282" t="s">
        <v>2155</v>
      </c>
      <c r="L282" t="s">
        <v>1813</v>
      </c>
      <c r="M282">
        <v>5</v>
      </c>
      <c r="N282">
        <v>405</v>
      </c>
      <c r="O282" t="s">
        <v>1814</v>
      </c>
      <c r="P282" s="12" t="str">
        <f>HYPERLINK("https://b2b.kobi.pl/pl/product/12157,lacznik-l-do-led-koline-k2-czarny-kobi-pro?currency=PLN")</f>
        <v>https://b2b.kobi.pl/pl/product/12157,lacznik-l-do-led-koline-k2-czarny-kobi-pro?currency=PLN</v>
      </c>
      <c r="Q282" s="12" t="str">
        <f>HYPERLINK("https://eprel.ec.europa.eu/qr/2225288")</f>
        <v>https://eprel.ec.europa.eu/qr/2225288</v>
      </c>
      <c r="R282"/>
      <c r="S282" t="s">
        <v>2573</v>
      </c>
      <c r="T282">
        <v>0.3</v>
      </c>
      <c r="U282">
        <v>0.35599999999999998</v>
      </c>
      <c r="V282">
        <v>0.435</v>
      </c>
      <c r="W282">
        <v>16</v>
      </c>
      <c r="X282">
        <v>8.3000000000000007</v>
      </c>
      <c r="Y282">
        <v>16</v>
      </c>
    </row>
    <row r="283" spans="1:25" ht="60" customHeight="1" x14ac:dyDescent="0.25">
      <c r="A283"/>
      <c r="B283" t="s">
        <v>3</v>
      </c>
      <c r="C283" t="s">
        <v>582</v>
      </c>
      <c r="D283" t="s">
        <v>16</v>
      </c>
      <c r="E283" t="s">
        <v>1179</v>
      </c>
      <c r="F283" t="s">
        <v>1180</v>
      </c>
      <c r="G283" t="s">
        <v>586</v>
      </c>
      <c r="H283" s="11">
        <v>32.04</v>
      </c>
      <c r="I283" s="10">
        <f>H283*(1-IFERROR(VLOOKUP(G283,Rabat!$C$9:$D$43,2,0),0))</f>
        <v>32.04</v>
      </c>
      <c r="J283" t="s">
        <v>1815</v>
      </c>
      <c r="K283" t="s">
        <v>544</v>
      </c>
      <c r="L283" t="s">
        <v>1813</v>
      </c>
      <c r="M283">
        <v>20</v>
      </c>
      <c r="N283"/>
      <c r="O283" t="s">
        <v>1818</v>
      </c>
      <c r="P283" s="12" t="str">
        <f>HYPERLINK("https://b2b.kobi.pl/pl/product/12108,oprawa-hermetyczna-led-cortez-18w-4000k-ip65-led2b?currency=PLN")</f>
        <v>https://b2b.kobi.pl/pl/product/12108,oprawa-hermetyczna-led-cortez-18w-4000k-ip65-led2b?currency=PLN</v>
      </c>
      <c r="Q283" t="s">
        <v>14</v>
      </c>
      <c r="R283"/>
      <c r="S283" t="s">
        <v>2571</v>
      </c>
      <c r="T283">
        <v>0.11</v>
      </c>
      <c r="U283">
        <v>0.13500000000000001</v>
      </c>
      <c r="V283">
        <v>0.19500000000000001</v>
      </c>
      <c r="W283">
        <v>64</v>
      </c>
      <c r="X283">
        <v>5.5</v>
      </c>
      <c r="Y283">
        <v>3.8</v>
      </c>
    </row>
    <row r="284" spans="1:25" ht="60" customHeight="1" x14ac:dyDescent="0.25">
      <c r="A284"/>
      <c r="B284" t="s">
        <v>3</v>
      </c>
      <c r="C284" t="s">
        <v>582</v>
      </c>
      <c r="D284" t="s">
        <v>16</v>
      </c>
      <c r="E284" t="s">
        <v>1182</v>
      </c>
      <c r="F284" t="s">
        <v>1183</v>
      </c>
      <c r="G284" t="s">
        <v>586</v>
      </c>
      <c r="H284" s="11">
        <v>53.79</v>
      </c>
      <c r="I284" s="10">
        <f>H284*(1-IFERROR(VLOOKUP(G284,Rabat!$C$9:$D$43,2,0),0))</f>
        <v>53.79</v>
      </c>
      <c r="J284" t="s">
        <v>1815</v>
      </c>
      <c r="K284" t="s">
        <v>545</v>
      </c>
      <c r="L284" t="s">
        <v>1813</v>
      </c>
      <c r="M284">
        <v>20</v>
      </c>
      <c r="N284"/>
      <c r="O284" t="s">
        <v>1818</v>
      </c>
      <c r="P284" s="12" t="str">
        <f>HYPERLINK("https://b2b.kobi.pl/pl/product/12109,oprawa-hermetyczna-led-cortez-36w-4000k-ip65-led2b?currency=PLN")</f>
        <v>https://b2b.kobi.pl/pl/product/12109,oprawa-hermetyczna-led-cortez-36w-4000k-ip65-led2b?currency=PLN</v>
      </c>
      <c r="Q284" t="s">
        <v>14</v>
      </c>
      <c r="R284"/>
      <c r="S284" t="s">
        <v>2571</v>
      </c>
      <c r="T284">
        <v>0.21</v>
      </c>
      <c r="U284">
        <v>0.246</v>
      </c>
      <c r="V284">
        <v>0.30599999999999999</v>
      </c>
      <c r="W284">
        <v>124</v>
      </c>
      <c r="X284">
        <v>5.5</v>
      </c>
      <c r="Y284">
        <v>3.8</v>
      </c>
    </row>
    <row r="285" spans="1:25" ht="60" customHeight="1" x14ac:dyDescent="0.25">
      <c r="A285"/>
      <c r="B285" t="s">
        <v>3</v>
      </c>
      <c r="C285" t="s">
        <v>582</v>
      </c>
      <c r="D285" t="s">
        <v>16</v>
      </c>
      <c r="E285" t="s">
        <v>1185</v>
      </c>
      <c r="F285" t="s">
        <v>1186</v>
      </c>
      <c r="G285" t="s">
        <v>586</v>
      </c>
      <c r="H285" s="11">
        <v>67.53</v>
      </c>
      <c r="I285" s="10">
        <f>H285*(1-IFERROR(VLOOKUP(G285,Rabat!$C$9:$D$43,2,0),0))</f>
        <v>67.53</v>
      </c>
      <c r="J285" t="s">
        <v>1815</v>
      </c>
      <c r="K285" t="s">
        <v>546</v>
      </c>
      <c r="L285" t="s">
        <v>1813</v>
      </c>
      <c r="M285">
        <v>20</v>
      </c>
      <c r="N285"/>
      <c r="O285" t="s">
        <v>1818</v>
      </c>
      <c r="P285" s="12" t="str">
        <f>HYPERLINK("https://b2b.kobi.pl/pl/product/12110,oprawa-hermetyczna-led-cortez-48w-4000k-ip65-led2b?currency=PLN")</f>
        <v>https://b2b.kobi.pl/pl/product/12110,oprawa-hermetyczna-led-cortez-48w-4000k-ip65-led2b?currency=PLN</v>
      </c>
      <c r="Q285" t="s">
        <v>14</v>
      </c>
      <c r="R285"/>
      <c r="S285" t="s">
        <v>2571</v>
      </c>
      <c r="T285">
        <v>0.24</v>
      </c>
      <c r="U285">
        <v>0.28499999999999998</v>
      </c>
      <c r="V285">
        <v>0.35799999999999998</v>
      </c>
      <c r="W285">
        <v>154</v>
      </c>
      <c r="X285">
        <v>5.5</v>
      </c>
      <c r="Y285">
        <v>3.8</v>
      </c>
    </row>
    <row r="286" spans="1:25" ht="60" customHeight="1" x14ac:dyDescent="0.25">
      <c r="A286"/>
      <c r="B286" t="s">
        <v>3</v>
      </c>
      <c r="C286" t="s">
        <v>582</v>
      </c>
      <c r="D286" t="s">
        <v>606</v>
      </c>
      <c r="E286" t="s">
        <v>3783</v>
      </c>
      <c r="F286" t="s">
        <v>3784</v>
      </c>
      <c r="G286" t="s">
        <v>586</v>
      </c>
      <c r="H286" s="11">
        <v>84.22</v>
      </c>
      <c r="I286" s="10">
        <f>H286*(1-IFERROR(VLOOKUP(G286,Rabat!$C$9:$D$43,2,0),0))</f>
        <v>84.22</v>
      </c>
      <c r="J286" t="s">
        <v>1815</v>
      </c>
      <c r="K286" t="s">
        <v>4120</v>
      </c>
      <c r="L286" t="s">
        <v>1813</v>
      </c>
      <c r="M286">
        <v>20</v>
      </c>
      <c r="N286">
        <v>480</v>
      </c>
      <c r="O286" t="s">
        <v>1819</v>
      </c>
      <c r="P286" s="12" t="str">
        <f>HYPERLINK("https://b2b.kobi.pl/pl/product/12924,oprawa-hermetyczna-led-cortez-2-50w-120cm-4000k-ip65-kobi-premium?currency=PLN")</f>
        <v>https://b2b.kobi.pl/pl/product/12924,oprawa-hermetyczna-led-cortez-2-50w-120cm-4000k-ip65-kobi-premium?currency=PLN</v>
      </c>
      <c r="Q286" s="12" t="str">
        <f>HYPERLINK("https://eprel.ec.europa.eu/qr/2430368")</f>
        <v>https://eprel.ec.europa.eu/qr/2430368</v>
      </c>
      <c r="R286"/>
      <c r="S286" t="s">
        <v>2571</v>
      </c>
      <c r="T286">
        <v>0.25</v>
      </c>
      <c r="U286">
        <v>0.3</v>
      </c>
      <c r="V286">
        <v>0.4</v>
      </c>
      <c r="W286">
        <v>133</v>
      </c>
      <c r="X286">
        <v>10</v>
      </c>
      <c r="Y286">
        <v>5.8</v>
      </c>
    </row>
    <row r="287" spans="1:25" ht="60" customHeight="1" x14ac:dyDescent="0.25">
      <c r="A287"/>
      <c r="B287" t="s">
        <v>3</v>
      </c>
      <c r="C287" t="s">
        <v>582</v>
      </c>
      <c r="D287" t="s">
        <v>583</v>
      </c>
      <c r="E287" t="s">
        <v>1746</v>
      </c>
      <c r="F287" t="s">
        <v>1747</v>
      </c>
      <c r="G287" t="s">
        <v>586</v>
      </c>
      <c r="H287" s="11">
        <v>982.62</v>
      </c>
      <c r="I287" s="10">
        <f>H287*(1-IFERROR(VLOOKUP(G287,Rabat!$C$9:$D$43,2,0),0))</f>
        <v>982.62</v>
      </c>
      <c r="J287" t="s">
        <v>1823</v>
      </c>
      <c r="K287" t="s">
        <v>224</v>
      </c>
      <c r="L287" t="s">
        <v>1813</v>
      </c>
      <c r="M287"/>
      <c r="N287"/>
      <c r="O287" t="s">
        <v>1814</v>
      </c>
      <c r="P287" s="12" t="str">
        <f>HYPERLINK("https://b2b.kobi.pl/pl/product/8388,oprawa-liniowa-led-nexline1-31w-p-kobi-pro?currency=PLN")</f>
        <v>https://b2b.kobi.pl/pl/product/8388,oprawa-liniowa-led-nexline1-31w-p-kobi-pro?currency=PLN</v>
      </c>
      <c r="Q287" s="12" t="str">
        <f>HYPERLINK("https://eprel.ec.europa.eu/qr/953680")</f>
        <v>https://eprel.ec.europa.eu/qr/953680</v>
      </c>
      <c r="R287"/>
      <c r="S287" t="s">
        <v>2573</v>
      </c>
      <c r="T287">
        <v>3.13</v>
      </c>
      <c r="U287">
        <v>3.7</v>
      </c>
      <c r="V287">
        <v>4.07</v>
      </c>
      <c r="W287">
        <v>0</v>
      </c>
      <c r="X287">
        <v>0</v>
      </c>
      <c r="Y287">
        <v>0</v>
      </c>
    </row>
    <row r="288" spans="1:25" ht="60" customHeight="1" x14ac:dyDescent="0.25">
      <c r="A288"/>
      <c r="B288" t="s">
        <v>3</v>
      </c>
      <c r="C288" t="s">
        <v>582</v>
      </c>
      <c r="D288" t="s">
        <v>575</v>
      </c>
      <c r="E288" t="s">
        <v>2501</v>
      </c>
      <c r="F288" t="s">
        <v>2502</v>
      </c>
      <c r="G288" t="s">
        <v>586</v>
      </c>
      <c r="H288" s="11">
        <v>110.89</v>
      </c>
      <c r="I288" s="10">
        <f>H288*(1-IFERROR(VLOOKUP(G288,Rabat!$C$9:$D$43,2,0),0))</f>
        <v>110.89</v>
      </c>
      <c r="J288" t="s">
        <v>1815</v>
      </c>
      <c r="K288" t="s">
        <v>2576</v>
      </c>
      <c r="L288" t="s">
        <v>1813</v>
      </c>
      <c r="M288">
        <v>16</v>
      </c>
      <c r="N288">
        <v>160</v>
      </c>
      <c r="O288" t="s">
        <v>1814</v>
      </c>
      <c r="P288" s="12" t="str">
        <f>HYPERLINK("https://b2b.kobi.pl/pl/product/12748,oprawa-liniowa-hermetyczna-led-lumexo-36w-4000k-ip65-biala-kobi-pro?currency=PLN")</f>
        <v>https://b2b.kobi.pl/pl/product/12748,oprawa-liniowa-hermetyczna-led-lumexo-36w-4000k-ip65-biala-kobi-pro?currency=PLN</v>
      </c>
      <c r="Q288" s="12" t="str">
        <f>HYPERLINK("https://eprel.ec.europa.eu/qr/2365867")</f>
        <v>https://eprel.ec.europa.eu/qr/2365867</v>
      </c>
      <c r="R288"/>
      <c r="S288" t="s">
        <v>2571</v>
      </c>
      <c r="T288">
        <v>0.6</v>
      </c>
      <c r="U288">
        <v>0.71299999999999997</v>
      </c>
      <c r="V288">
        <v>0.87</v>
      </c>
      <c r="W288">
        <v>122</v>
      </c>
      <c r="X288">
        <v>8</v>
      </c>
      <c r="Y288">
        <v>8</v>
      </c>
    </row>
    <row r="289" spans="1:25" ht="60" customHeight="1" x14ac:dyDescent="0.25">
      <c r="A289"/>
      <c r="B289" t="s">
        <v>3</v>
      </c>
      <c r="C289" t="s">
        <v>582</v>
      </c>
      <c r="D289" t="s">
        <v>575</v>
      </c>
      <c r="E289" t="s">
        <v>2503</v>
      </c>
      <c r="F289" t="s">
        <v>2504</v>
      </c>
      <c r="G289" t="s">
        <v>586</v>
      </c>
      <c r="H289" s="11">
        <v>155.56</v>
      </c>
      <c r="I289" s="10">
        <f>H289*(1-IFERROR(VLOOKUP(G289,Rabat!$C$9:$D$43,2,0),0))</f>
        <v>155.56</v>
      </c>
      <c r="J289" t="s">
        <v>1815</v>
      </c>
      <c r="K289" t="s">
        <v>2577</v>
      </c>
      <c r="L289" t="s">
        <v>1813</v>
      </c>
      <c r="M289">
        <v>16</v>
      </c>
      <c r="N289">
        <v>128</v>
      </c>
      <c r="O289" t="s">
        <v>1814</v>
      </c>
      <c r="P289" s="12" t="str">
        <f>HYPERLINK("https://b2b.kobi.pl/pl/product/12749,oprawa-liniowa-hermetyczna-led-lumexo-50w-4000k-ip65-biala-kobi-pro?currency=PLN")</f>
        <v>https://b2b.kobi.pl/pl/product/12749,oprawa-liniowa-hermetyczna-led-lumexo-50w-4000k-ip65-biala-kobi-pro?currency=PLN</v>
      </c>
      <c r="Q289" s="12" t="str">
        <f>HYPERLINK("https://eprel.ec.europa.eu/qr/2365942")</f>
        <v>https://eprel.ec.europa.eu/qr/2365942</v>
      </c>
      <c r="R289"/>
      <c r="S289" t="s">
        <v>2571</v>
      </c>
      <c r="T289">
        <v>0.72</v>
      </c>
      <c r="U289">
        <v>0.85499999999999998</v>
      </c>
      <c r="V289">
        <v>1.05</v>
      </c>
      <c r="W289">
        <v>152</v>
      </c>
      <c r="X289">
        <v>8</v>
      </c>
      <c r="Y289">
        <v>8</v>
      </c>
    </row>
    <row r="290" spans="1:25" ht="60" customHeight="1" x14ac:dyDescent="0.25">
      <c r="A290"/>
      <c r="B290" t="s">
        <v>3</v>
      </c>
      <c r="C290" t="s">
        <v>17</v>
      </c>
      <c r="D290" t="s">
        <v>16</v>
      </c>
      <c r="E290" t="s">
        <v>1008</v>
      </c>
      <c r="F290" t="s">
        <v>1009</v>
      </c>
      <c r="G290" t="s">
        <v>1005</v>
      </c>
      <c r="H290" s="11">
        <v>17.78</v>
      </c>
      <c r="I290" s="10">
        <f>H290*(1-IFERROR(VLOOKUP(G290,Rabat!$C$9:$D$43,2,0),0))</f>
        <v>17.78</v>
      </c>
      <c r="J290" t="s">
        <v>1816</v>
      </c>
      <c r="K290" t="s">
        <v>207</v>
      </c>
      <c r="L290" t="s">
        <v>1813</v>
      </c>
      <c r="M290">
        <v>60</v>
      </c>
      <c r="N290">
        <v>1800</v>
      </c>
      <c r="O290" t="s">
        <v>1818</v>
      </c>
      <c r="P290" s="12" t="str">
        <f>HYPERLINK("https://b2b.kobi.pl/pl/product/9979,naswietlacz-led-mh-10w-3000k-ip65-czarny-led2b?currency=PLN")</f>
        <v>https://b2b.kobi.pl/pl/product/9979,naswietlacz-led-mh-10w-3000k-ip65-czarny-led2b?currency=PLN</v>
      </c>
      <c r="Q290" s="12" t="str">
        <f>HYPERLINK("https://eprel.ec.europa.eu/qr/934475")</f>
        <v>https://eprel.ec.europa.eu/qr/934475</v>
      </c>
      <c r="R290" t="s">
        <v>1945</v>
      </c>
      <c r="S290" t="s">
        <v>2573</v>
      </c>
      <c r="T290">
        <v>0.15</v>
      </c>
      <c r="U290">
        <v>0.18099999999999999</v>
      </c>
      <c r="V290">
        <v>0.20699999999999999</v>
      </c>
      <c r="W290">
        <v>11.3</v>
      </c>
      <c r="X290">
        <v>3.7</v>
      </c>
      <c r="Y290">
        <v>10.8</v>
      </c>
    </row>
    <row r="291" spans="1:25" ht="60" customHeight="1" x14ac:dyDescent="0.25">
      <c r="A291"/>
      <c r="B291" t="s">
        <v>3</v>
      </c>
      <c r="C291" t="s">
        <v>17</v>
      </c>
      <c r="D291" t="s">
        <v>16</v>
      </c>
      <c r="E291" t="s">
        <v>1012</v>
      </c>
      <c r="F291" t="s">
        <v>1013</v>
      </c>
      <c r="G291" t="s">
        <v>1005</v>
      </c>
      <c r="H291" s="11">
        <v>17.78</v>
      </c>
      <c r="I291" s="10">
        <f>H291*(1-IFERROR(VLOOKUP(G291,Rabat!$C$9:$D$43,2,0),0))</f>
        <v>17.78</v>
      </c>
      <c r="J291" t="s">
        <v>1816</v>
      </c>
      <c r="K291" t="s">
        <v>208</v>
      </c>
      <c r="L291" t="s">
        <v>1813</v>
      </c>
      <c r="M291">
        <v>60</v>
      </c>
      <c r="N291">
        <v>3000</v>
      </c>
      <c r="O291" t="s">
        <v>1818</v>
      </c>
      <c r="P291" s="12" t="str">
        <f>HYPERLINK("https://b2b.kobi.pl/pl/product/9980,naswietlacz-led-mh-10w-4000k-ip65-czarny-led2b?currency=PLN")</f>
        <v>https://b2b.kobi.pl/pl/product/9980,naswietlacz-led-mh-10w-4000k-ip65-czarny-led2b?currency=PLN</v>
      </c>
      <c r="Q291" s="12" t="str">
        <f>HYPERLINK("https://eprel.ec.europa.eu/qr/760350")</f>
        <v>https://eprel.ec.europa.eu/qr/760350</v>
      </c>
      <c r="R291"/>
      <c r="S291" t="s">
        <v>2573</v>
      </c>
      <c r="T291">
        <v>0.12</v>
      </c>
      <c r="U291">
        <v>0.14000000000000001</v>
      </c>
      <c r="V291">
        <v>0.17</v>
      </c>
      <c r="W291">
        <v>10</v>
      </c>
      <c r="X291">
        <v>10</v>
      </c>
      <c r="Y291">
        <v>3.5</v>
      </c>
    </row>
    <row r="292" spans="1:25" ht="60" customHeight="1" x14ac:dyDescent="0.25">
      <c r="A292"/>
      <c r="B292" t="s">
        <v>3</v>
      </c>
      <c r="C292" t="s">
        <v>17</v>
      </c>
      <c r="D292" t="s">
        <v>16</v>
      </c>
      <c r="E292" t="s">
        <v>1018</v>
      </c>
      <c r="F292" t="s">
        <v>1019</v>
      </c>
      <c r="G292" t="s">
        <v>1005</v>
      </c>
      <c r="H292" s="11">
        <v>17.78</v>
      </c>
      <c r="I292" s="10">
        <f>H292*(1-IFERROR(VLOOKUP(G292,Rabat!$C$9:$D$43,2,0),0))</f>
        <v>17.78</v>
      </c>
      <c r="J292" t="s">
        <v>1816</v>
      </c>
      <c r="K292" t="s">
        <v>209</v>
      </c>
      <c r="L292" t="s">
        <v>1813</v>
      </c>
      <c r="M292">
        <v>60</v>
      </c>
      <c r="N292">
        <v>3000</v>
      </c>
      <c r="O292" t="s">
        <v>1818</v>
      </c>
      <c r="P292" s="12" t="str">
        <f>HYPERLINK("https://b2b.kobi.pl/pl/product/9982,naswietlacz-led-mh-10w-6500k-ip65-czarny-led2b?currency=PLN")</f>
        <v>https://b2b.kobi.pl/pl/product/9982,naswietlacz-led-mh-10w-6500k-ip65-czarny-led2b?currency=PLN</v>
      </c>
      <c r="Q292" s="12" t="str">
        <f>HYPERLINK("https://eprel.ec.europa.eu/qr/760357")</f>
        <v>https://eprel.ec.europa.eu/qr/760357</v>
      </c>
      <c r="R292"/>
      <c r="S292" t="s">
        <v>2573</v>
      </c>
      <c r="T292">
        <v>0.12</v>
      </c>
      <c r="U292">
        <v>0.14000000000000001</v>
      </c>
      <c r="V292">
        <v>0.17</v>
      </c>
      <c r="W292">
        <v>10</v>
      </c>
      <c r="X292">
        <v>10</v>
      </c>
      <c r="Y292">
        <v>3.5</v>
      </c>
    </row>
    <row r="293" spans="1:25" ht="60" customHeight="1" x14ac:dyDescent="0.25">
      <c r="A293"/>
      <c r="B293" t="s">
        <v>3</v>
      </c>
      <c r="C293" t="s">
        <v>17</v>
      </c>
      <c r="D293" t="s">
        <v>16</v>
      </c>
      <c r="E293" t="s">
        <v>2023</v>
      </c>
      <c r="F293" t="s">
        <v>2024</v>
      </c>
      <c r="G293" t="s">
        <v>1005</v>
      </c>
      <c r="H293" s="11">
        <v>24.44</v>
      </c>
      <c r="I293" s="10">
        <f>H293*(1-IFERROR(VLOOKUP(G293,Rabat!$C$9:$D$43,2,0),0))</f>
        <v>24.44</v>
      </c>
      <c r="J293" t="s">
        <v>1816</v>
      </c>
      <c r="K293" t="s">
        <v>2061</v>
      </c>
      <c r="L293" t="s">
        <v>1813</v>
      </c>
      <c r="M293">
        <v>60</v>
      </c>
      <c r="N293">
        <v>3000</v>
      </c>
      <c r="O293" t="s">
        <v>1818</v>
      </c>
      <c r="P293" s="12" t="str">
        <f>HYPERLINK("https://b2b.kobi.pl/pl/product/9985,naswietlacz-led-mh-20w-4000k-ip65-czarny-led2b?currency=PLN")</f>
        <v>https://b2b.kobi.pl/pl/product/9985,naswietlacz-led-mh-20w-4000k-ip65-czarny-led2b?currency=PLN</v>
      </c>
      <c r="Q293" s="12" t="str">
        <f>HYPERLINK("https://eprel.ec.europa.eu/qr/760359")</f>
        <v>https://eprel.ec.europa.eu/qr/760359</v>
      </c>
      <c r="R293"/>
      <c r="S293" t="s">
        <v>2573</v>
      </c>
      <c r="T293">
        <v>0.15</v>
      </c>
      <c r="U293">
        <v>0.18</v>
      </c>
      <c r="V293">
        <v>0.21</v>
      </c>
      <c r="W293">
        <v>11</v>
      </c>
      <c r="X293">
        <v>11</v>
      </c>
      <c r="Y293">
        <v>3.5</v>
      </c>
    </row>
    <row r="294" spans="1:25" ht="60" customHeight="1" x14ac:dyDescent="0.25">
      <c r="A294"/>
      <c r="B294" t="s">
        <v>3</v>
      </c>
      <c r="C294" t="s">
        <v>17</v>
      </c>
      <c r="D294" t="s">
        <v>16</v>
      </c>
      <c r="E294" t="s">
        <v>1026</v>
      </c>
      <c r="F294" t="s">
        <v>1027</v>
      </c>
      <c r="G294" t="s">
        <v>1005</v>
      </c>
      <c r="H294" s="11">
        <v>24.44</v>
      </c>
      <c r="I294" s="10">
        <f>H294*(1-IFERROR(VLOOKUP(G294,Rabat!$C$9:$D$43,2,0),0))</f>
        <v>24.44</v>
      </c>
      <c r="J294" t="s">
        <v>1816</v>
      </c>
      <c r="K294" t="s">
        <v>210</v>
      </c>
      <c r="L294" t="s">
        <v>1813</v>
      </c>
      <c r="M294">
        <v>60</v>
      </c>
      <c r="N294">
        <v>1600</v>
      </c>
      <c r="O294" t="s">
        <v>1818</v>
      </c>
      <c r="P294" s="12" t="str">
        <f>HYPERLINK("https://b2b.kobi.pl/pl/product/9987,naswietlacz-led-mh-20w-6500k-ip65-czarny-led2b?currency=PLN")</f>
        <v>https://b2b.kobi.pl/pl/product/9987,naswietlacz-led-mh-20w-6500k-ip65-czarny-led2b?currency=PLN</v>
      </c>
      <c r="Q294" s="12" t="str">
        <f>HYPERLINK("https://eprel.ec.europa.eu/qr/760361")</f>
        <v>https://eprel.ec.europa.eu/qr/760361</v>
      </c>
      <c r="R294"/>
      <c r="S294" t="s">
        <v>2573</v>
      </c>
      <c r="T294">
        <v>0.15</v>
      </c>
      <c r="U294">
        <v>0.18</v>
      </c>
      <c r="V294">
        <v>0.21</v>
      </c>
      <c r="W294">
        <v>11</v>
      </c>
      <c r="X294">
        <v>11</v>
      </c>
      <c r="Y294">
        <v>3.5</v>
      </c>
    </row>
    <row r="295" spans="1:25" ht="60" customHeight="1" x14ac:dyDescent="0.25">
      <c r="A295"/>
      <c r="B295" t="s">
        <v>3</v>
      </c>
      <c r="C295" t="s">
        <v>17</v>
      </c>
      <c r="D295" t="s">
        <v>16</v>
      </c>
      <c r="E295" t="s">
        <v>2025</v>
      </c>
      <c r="F295" t="s">
        <v>2026</v>
      </c>
      <c r="G295" t="s">
        <v>1005</v>
      </c>
      <c r="H295" s="11">
        <v>34.44</v>
      </c>
      <c r="I295" s="10">
        <f>H295*(1-IFERROR(VLOOKUP(G295,Rabat!$C$9:$D$43,2,0),0))</f>
        <v>34.44</v>
      </c>
      <c r="J295" t="s">
        <v>1816</v>
      </c>
      <c r="K295" t="s">
        <v>2062</v>
      </c>
      <c r="L295" t="s">
        <v>1813</v>
      </c>
      <c r="M295">
        <v>40</v>
      </c>
      <c r="N295">
        <v>1600</v>
      </c>
      <c r="O295" t="s">
        <v>1818</v>
      </c>
      <c r="P295" s="12" t="str">
        <f>HYPERLINK("https://b2b.kobi.pl/pl/product/9990,naswietlacz-led-mh-30w-4000k-ip65-czarny-led2b?currency=PLN")</f>
        <v>https://b2b.kobi.pl/pl/product/9990,naswietlacz-led-mh-30w-4000k-ip65-czarny-led2b?currency=PLN</v>
      </c>
      <c r="Q295" s="12" t="str">
        <f>HYPERLINK("https://eprel.ec.europa.eu/qr/760363")</f>
        <v>https://eprel.ec.europa.eu/qr/760363</v>
      </c>
      <c r="R295"/>
      <c r="S295" t="s">
        <v>2573</v>
      </c>
      <c r="T295">
        <v>0.23</v>
      </c>
      <c r="U295">
        <v>0.27</v>
      </c>
      <c r="V295">
        <v>0.32</v>
      </c>
      <c r="W295">
        <v>14.5</v>
      </c>
      <c r="X295">
        <v>13.5</v>
      </c>
      <c r="Y295">
        <v>3.5</v>
      </c>
    </row>
    <row r="296" spans="1:25" ht="60" customHeight="1" x14ac:dyDescent="0.25">
      <c r="A296"/>
      <c r="B296" t="s">
        <v>3</v>
      </c>
      <c r="C296" t="s">
        <v>17</v>
      </c>
      <c r="D296" t="s">
        <v>16</v>
      </c>
      <c r="E296" t="s">
        <v>2027</v>
      </c>
      <c r="F296" t="s">
        <v>2028</v>
      </c>
      <c r="G296" t="s">
        <v>1005</v>
      </c>
      <c r="H296" s="11">
        <v>34.44</v>
      </c>
      <c r="I296" s="10">
        <f>H296*(1-IFERROR(VLOOKUP(G296,Rabat!$C$9:$D$43,2,0),0))</f>
        <v>34.44</v>
      </c>
      <c r="J296" t="s">
        <v>1816</v>
      </c>
      <c r="K296" t="s">
        <v>2063</v>
      </c>
      <c r="L296" t="s">
        <v>1813</v>
      </c>
      <c r="M296">
        <v>40</v>
      </c>
      <c r="N296">
        <v>1600</v>
      </c>
      <c r="O296" t="s">
        <v>1818</v>
      </c>
      <c r="P296" s="12" t="str">
        <f>HYPERLINK("https://b2b.kobi.pl/pl/product/9992,naswietlacz-led-mh-30w-6500k-ip65-czarny-led2b?currency=PLN")</f>
        <v>https://b2b.kobi.pl/pl/product/9992,naswietlacz-led-mh-30w-6500k-ip65-czarny-led2b?currency=PLN</v>
      </c>
      <c r="Q296" s="12" t="str">
        <f>HYPERLINK("https://eprel.ec.europa.eu/qr/760365")</f>
        <v>https://eprel.ec.europa.eu/qr/760365</v>
      </c>
      <c r="R296"/>
      <c r="S296" t="s">
        <v>2573</v>
      </c>
      <c r="T296">
        <v>0.23</v>
      </c>
      <c r="U296">
        <v>0.27</v>
      </c>
      <c r="V296">
        <v>0.32</v>
      </c>
      <c r="W296">
        <v>14.5</v>
      </c>
      <c r="X296">
        <v>13.5</v>
      </c>
      <c r="Y296">
        <v>3.5</v>
      </c>
    </row>
    <row r="297" spans="1:25" ht="60" customHeight="1" x14ac:dyDescent="0.25">
      <c r="A297"/>
      <c r="B297" t="s">
        <v>3</v>
      </c>
      <c r="C297" t="s">
        <v>17</v>
      </c>
      <c r="D297" t="s">
        <v>16</v>
      </c>
      <c r="E297" t="s">
        <v>2029</v>
      </c>
      <c r="F297" t="s">
        <v>2030</v>
      </c>
      <c r="G297" t="s">
        <v>1005</v>
      </c>
      <c r="H297" s="11">
        <v>48.89</v>
      </c>
      <c r="I297" s="10">
        <f>H297*(1-IFERROR(VLOOKUP(G297,Rabat!$C$9:$D$43,2,0),0))</f>
        <v>48.89</v>
      </c>
      <c r="J297" t="s">
        <v>1816</v>
      </c>
      <c r="K297" t="s">
        <v>2064</v>
      </c>
      <c r="L297" t="s">
        <v>1813</v>
      </c>
      <c r="M297">
        <v>30</v>
      </c>
      <c r="N297">
        <v>960</v>
      </c>
      <c r="O297" t="s">
        <v>1818</v>
      </c>
      <c r="P297" s="12" t="str">
        <f>HYPERLINK("https://b2b.kobi.pl/pl/product/9995,naswietlacz-led-mh-50w-4000k-ip65-czarny-led2b?currency=PLN")</f>
        <v>https://b2b.kobi.pl/pl/product/9995,naswietlacz-led-mh-50w-4000k-ip65-czarny-led2b?currency=PLN</v>
      </c>
      <c r="Q297" s="12" t="str">
        <f>HYPERLINK("https://eprel.ec.europa.eu/qr/760369")</f>
        <v>https://eprel.ec.europa.eu/qr/760369</v>
      </c>
      <c r="R297"/>
      <c r="S297" t="s">
        <v>2573</v>
      </c>
      <c r="T297">
        <v>0.35</v>
      </c>
      <c r="U297">
        <v>0.41</v>
      </c>
      <c r="V297">
        <v>0.47</v>
      </c>
      <c r="W297">
        <v>19.5</v>
      </c>
      <c r="X297">
        <v>17.5</v>
      </c>
      <c r="Y297">
        <v>3.5</v>
      </c>
    </row>
    <row r="298" spans="1:25" ht="60" customHeight="1" x14ac:dyDescent="0.25">
      <c r="A298"/>
      <c r="B298" t="s">
        <v>3</v>
      </c>
      <c r="C298" t="s">
        <v>17</v>
      </c>
      <c r="D298" t="s">
        <v>16</v>
      </c>
      <c r="E298" t="s">
        <v>2031</v>
      </c>
      <c r="F298" t="s">
        <v>2032</v>
      </c>
      <c r="G298" t="s">
        <v>1005</v>
      </c>
      <c r="H298" s="11">
        <v>48.89</v>
      </c>
      <c r="I298" s="10">
        <f>H298*(1-IFERROR(VLOOKUP(G298,Rabat!$C$9:$D$43,2,0),0))</f>
        <v>48.89</v>
      </c>
      <c r="J298" t="s">
        <v>1816</v>
      </c>
      <c r="K298" t="s">
        <v>2065</v>
      </c>
      <c r="L298" t="s">
        <v>1813</v>
      </c>
      <c r="M298">
        <v>30</v>
      </c>
      <c r="N298">
        <v>960</v>
      </c>
      <c r="O298" t="s">
        <v>1818</v>
      </c>
      <c r="P298" s="12" t="str">
        <f>HYPERLINK("https://b2b.kobi.pl/pl/product/9997,naswietlacz-led-mh-50w-6500k-ip65-czarny-led2b?currency=PLN")</f>
        <v>https://b2b.kobi.pl/pl/product/9997,naswietlacz-led-mh-50w-6500k-ip65-czarny-led2b?currency=PLN</v>
      </c>
      <c r="Q298" s="12" t="str">
        <f>HYPERLINK("https://eprel.ec.europa.eu/qr/760371")</f>
        <v>https://eprel.ec.europa.eu/qr/760371</v>
      </c>
      <c r="R298"/>
      <c r="S298" t="s">
        <v>2573</v>
      </c>
      <c r="T298">
        <v>0.35</v>
      </c>
      <c r="U298">
        <v>0.41</v>
      </c>
      <c r="V298">
        <v>0.47</v>
      </c>
      <c r="W298">
        <v>19.5</v>
      </c>
      <c r="X298">
        <v>17.5</v>
      </c>
      <c r="Y298">
        <v>3.5</v>
      </c>
    </row>
    <row r="299" spans="1:25" ht="60" customHeight="1" x14ac:dyDescent="0.25">
      <c r="A299"/>
      <c r="B299" t="s">
        <v>3</v>
      </c>
      <c r="C299" t="s">
        <v>17</v>
      </c>
      <c r="D299" t="s">
        <v>16</v>
      </c>
      <c r="E299" t="s">
        <v>2033</v>
      </c>
      <c r="F299" t="s">
        <v>2034</v>
      </c>
      <c r="G299" t="s">
        <v>1005</v>
      </c>
      <c r="H299" s="11">
        <v>90</v>
      </c>
      <c r="I299" s="10">
        <f>H299*(1-IFERROR(VLOOKUP(G299,Rabat!$C$9:$D$43,2,0),0))</f>
        <v>90</v>
      </c>
      <c r="J299" t="s">
        <v>1816</v>
      </c>
      <c r="K299" t="s">
        <v>2066</v>
      </c>
      <c r="L299" t="s">
        <v>1813</v>
      </c>
      <c r="M299">
        <v>10</v>
      </c>
      <c r="N299">
        <v>510</v>
      </c>
      <c r="O299" t="s">
        <v>1818</v>
      </c>
      <c r="P299" s="12" t="str">
        <f>HYPERLINK("https://b2b.kobi.pl/pl/product/9975,naswietlacz-led-mh-100w-4000k-ip65-czarny-led2b?currency=PLN")</f>
        <v>https://b2b.kobi.pl/pl/product/9975,naswietlacz-led-mh-100w-4000k-ip65-czarny-led2b?currency=PLN</v>
      </c>
      <c r="Q299" s="12" t="str">
        <f>HYPERLINK("https://eprel.ec.europa.eu/qr/760373")</f>
        <v>https://eprel.ec.europa.eu/qr/760373</v>
      </c>
      <c r="R299"/>
      <c r="S299" t="s">
        <v>2573</v>
      </c>
      <c r="T299">
        <v>0.76</v>
      </c>
      <c r="U299">
        <v>0.9</v>
      </c>
      <c r="V299">
        <v>0.98</v>
      </c>
      <c r="W299">
        <v>28</v>
      </c>
      <c r="X299">
        <v>22.5</v>
      </c>
      <c r="Y299">
        <v>3.5</v>
      </c>
    </row>
    <row r="300" spans="1:25" ht="60" customHeight="1" x14ac:dyDescent="0.25">
      <c r="A300"/>
      <c r="B300" t="s">
        <v>3</v>
      </c>
      <c r="C300" t="s">
        <v>17</v>
      </c>
      <c r="D300" t="s">
        <v>16</v>
      </c>
      <c r="E300" t="s">
        <v>2035</v>
      </c>
      <c r="F300" t="s">
        <v>2036</v>
      </c>
      <c r="G300" t="s">
        <v>1005</v>
      </c>
      <c r="H300" s="11">
        <v>90</v>
      </c>
      <c r="I300" s="10">
        <f>H300*(1-IFERROR(VLOOKUP(G300,Rabat!$C$9:$D$43,2,0),0))</f>
        <v>90</v>
      </c>
      <c r="J300" t="s">
        <v>1816</v>
      </c>
      <c r="K300" t="s">
        <v>2067</v>
      </c>
      <c r="L300" t="s">
        <v>1813</v>
      </c>
      <c r="M300">
        <v>10</v>
      </c>
      <c r="N300">
        <v>400</v>
      </c>
      <c r="O300" t="s">
        <v>1818</v>
      </c>
      <c r="P300" s="12" t="str">
        <f>HYPERLINK("https://b2b.kobi.pl/pl/product/9977,naswietlacz-led-mh-100w-6500k-ip65-czarny-led2b?currency=PLN")</f>
        <v>https://b2b.kobi.pl/pl/product/9977,naswietlacz-led-mh-100w-6500k-ip65-czarny-led2b?currency=PLN</v>
      </c>
      <c r="Q300" s="12" t="str">
        <f>HYPERLINK("https://eprel.ec.europa.eu/qr/760374")</f>
        <v>https://eprel.ec.europa.eu/qr/760374</v>
      </c>
      <c r="R300"/>
      <c r="S300" t="s">
        <v>2573</v>
      </c>
      <c r="T300">
        <v>0.76</v>
      </c>
      <c r="U300">
        <v>0.9</v>
      </c>
      <c r="V300">
        <v>0.98</v>
      </c>
      <c r="W300">
        <v>28</v>
      </c>
      <c r="X300">
        <v>22.5</v>
      </c>
      <c r="Y300">
        <v>3.5</v>
      </c>
    </row>
    <row r="301" spans="1:25" ht="60" customHeight="1" x14ac:dyDescent="0.25">
      <c r="A301"/>
      <c r="B301" t="s">
        <v>3</v>
      </c>
      <c r="C301" t="s">
        <v>17</v>
      </c>
      <c r="D301" t="s">
        <v>16</v>
      </c>
      <c r="E301" t="s">
        <v>1036</v>
      </c>
      <c r="F301" t="s">
        <v>1037</v>
      </c>
      <c r="G301" t="s">
        <v>1005</v>
      </c>
      <c r="H301" s="11">
        <v>46.44</v>
      </c>
      <c r="I301" s="10">
        <f>H301*(1-IFERROR(VLOOKUP(G301,Rabat!$C$9:$D$43,2,0),0))</f>
        <v>46.44</v>
      </c>
      <c r="J301" t="s">
        <v>1816</v>
      </c>
      <c r="K301" t="s">
        <v>214</v>
      </c>
      <c r="L301" t="s">
        <v>1813</v>
      </c>
      <c r="M301">
        <v>60</v>
      </c>
      <c r="N301">
        <v>960</v>
      </c>
      <c r="O301" t="s">
        <v>1818</v>
      </c>
      <c r="P301" s="12" t="str">
        <f>HYPERLINK("https://b2b.kobi.pl/pl/product/10000,naswietlaczz-czujnikiem-ruchu-led-mhc-10w-3000k-ip44-czarny-led2b?currency=PLN")</f>
        <v>https://b2b.kobi.pl/pl/product/10000,naswietlaczz-czujnikiem-ruchu-led-mhc-10w-3000k-ip44-czarny-led2b?currency=PLN</v>
      </c>
      <c r="Q301" s="12" t="str">
        <f>HYPERLINK("https://eprel.ec.europa.eu/qr/941688")</f>
        <v>https://eprel.ec.europa.eu/qr/941688</v>
      </c>
      <c r="R301" t="s">
        <v>1945</v>
      </c>
      <c r="S301" t="s">
        <v>2573</v>
      </c>
      <c r="T301">
        <v>0.2</v>
      </c>
      <c r="U301">
        <v>0.23499999999999999</v>
      </c>
      <c r="V301">
        <v>0.26300000000000001</v>
      </c>
      <c r="W301">
        <v>11.5</v>
      </c>
      <c r="X301">
        <v>4.8</v>
      </c>
      <c r="Y301">
        <v>16</v>
      </c>
    </row>
    <row r="302" spans="1:25" ht="60" customHeight="1" x14ac:dyDescent="0.25">
      <c r="A302"/>
      <c r="B302" t="s">
        <v>3</v>
      </c>
      <c r="C302" t="s">
        <v>17</v>
      </c>
      <c r="D302" t="s">
        <v>16</v>
      </c>
      <c r="E302" t="s">
        <v>1965</v>
      </c>
      <c r="F302" t="s">
        <v>1038</v>
      </c>
      <c r="G302" t="s">
        <v>1005</v>
      </c>
      <c r="H302" s="11">
        <v>46.44</v>
      </c>
      <c r="I302" s="10">
        <f>H302*(1-IFERROR(VLOOKUP(G302,Rabat!$C$9:$D$43,2,0),0))</f>
        <v>46.44</v>
      </c>
      <c r="J302" t="s">
        <v>1816</v>
      </c>
      <c r="K302" t="s">
        <v>215</v>
      </c>
      <c r="L302" t="s">
        <v>1813</v>
      </c>
      <c r="M302">
        <v>60</v>
      </c>
      <c r="N302">
        <v>960</v>
      </c>
      <c r="O302" t="s">
        <v>1818</v>
      </c>
      <c r="P302" s="12" t="str">
        <f>HYPERLINK("https://b2b.kobi.pl/pl/product/10001,naswietlaczz-czujnikiem-ruchu-led-mhc-10w-4000k-ip44-czarny-led2b?currency=PLN")</f>
        <v>https://b2b.kobi.pl/pl/product/10001,naswietlaczz-czujnikiem-ruchu-led-mhc-10w-4000k-ip44-czarny-led2b?currency=PLN</v>
      </c>
      <c r="Q302" s="12" t="str">
        <f>HYPERLINK("https://eprel.ec.europa.eu/qr/760375")</f>
        <v>https://eprel.ec.europa.eu/qr/760375</v>
      </c>
      <c r="R302"/>
      <c r="S302" t="s">
        <v>2573</v>
      </c>
      <c r="T302">
        <v>0.16</v>
      </c>
      <c r="U302">
        <v>0.19</v>
      </c>
      <c r="V302">
        <v>0.23</v>
      </c>
      <c r="W302">
        <v>10</v>
      </c>
      <c r="X302">
        <v>15.5</v>
      </c>
      <c r="Y302">
        <v>5</v>
      </c>
    </row>
    <row r="303" spans="1:25" ht="60" customHeight="1" x14ac:dyDescent="0.25">
      <c r="A303"/>
      <c r="B303" t="s">
        <v>3</v>
      </c>
      <c r="C303" t="s">
        <v>17</v>
      </c>
      <c r="D303" t="s">
        <v>16</v>
      </c>
      <c r="E303" t="s">
        <v>2022</v>
      </c>
      <c r="F303" t="s">
        <v>1040</v>
      </c>
      <c r="G303" t="s">
        <v>1005</v>
      </c>
      <c r="H303" s="11">
        <v>46.44</v>
      </c>
      <c r="I303" s="10">
        <f>H303*(1-IFERROR(VLOOKUP(G303,Rabat!$C$9:$D$43,2,0),0))</f>
        <v>46.44</v>
      </c>
      <c r="J303" t="s">
        <v>1816</v>
      </c>
      <c r="K303" t="s">
        <v>216</v>
      </c>
      <c r="L303" t="s">
        <v>1813</v>
      </c>
      <c r="M303">
        <v>60</v>
      </c>
      <c r="N303">
        <v>960</v>
      </c>
      <c r="O303" t="s">
        <v>1818</v>
      </c>
      <c r="P303" s="12" t="str">
        <f>HYPERLINK("https://b2b.kobi.pl/pl/product/10003,naswietlacz-z-czujnikiem-ruchu-led-mhc-10w-6500k-ip44-czarny-led2b?currency=PLN")</f>
        <v>https://b2b.kobi.pl/pl/product/10003,naswietlacz-z-czujnikiem-ruchu-led-mhc-10w-6500k-ip44-czarny-led2b?currency=PLN</v>
      </c>
      <c r="Q303" s="12" t="str">
        <f>HYPERLINK("https://eprel.ec.europa.eu/qr/760379")</f>
        <v>https://eprel.ec.europa.eu/qr/760379</v>
      </c>
      <c r="R303"/>
      <c r="S303" t="s">
        <v>2573</v>
      </c>
      <c r="T303">
        <v>0.16</v>
      </c>
      <c r="U303">
        <v>0.19</v>
      </c>
      <c r="V303">
        <v>0.23</v>
      </c>
      <c r="W303">
        <v>10</v>
      </c>
      <c r="X303">
        <v>15.5</v>
      </c>
      <c r="Y303">
        <v>5</v>
      </c>
    </row>
    <row r="304" spans="1:25" ht="60" customHeight="1" x14ac:dyDescent="0.25">
      <c r="A304"/>
      <c r="B304" t="s">
        <v>3</v>
      </c>
      <c r="C304" t="s">
        <v>17</v>
      </c>
      <c r="D304" t="s">
        <v>16</v>
      </c>
      <c r="E304" t="s">
        <v>2037</v>
      </c>
      <c r="F304" t="s">
        <v>2038</v>
      </c>
      <c r="G304" t="s">
        <v>1005</v>
      </c>
      <c r="H304" s="11">
        <v>54.44</v>
      </c>
      <c r="I304" s="10">
        <f>H304*(1-IFERROR(VLOOKUP(G304,Rabat!$C$9:$D$43,2,0),0))</f>
        <v>54.44</v>
      </c>
      <c r="J304" t="s">
        <v>1816</v>
      </c>
      <c r="K304" t="s">
        <v>2068</v>
      </c>
      <c r="L304" t="s">
        <v>1813</v>
      </c>
      <c r="M304">
        <v>60</v>
      </c>
      <c r="N304">
        <v>1200</v>
      </c>
      <c r="O304" t="s">
        <v>1818</v>
      </c>
      <c r="P304" s="12" t="str">
        <f>HYPERLINK("https://b2b.kobi.pl/pl/product/10006,naswietlacz-z-czujnikiem-ruchu-led-mhc-20w-4000k-ip65-czarny-led2b?currency=PLN")</f>
        <v>https://b2b.kobi.pl/pl/product/10006,naswietlacz-z-czujnikiem-ruchu-led-mhc-20w-4000k-ip65-czarny-led2b?currency=PLN</v>
      </c>
      <c r="Q304" s="12" t="str">
        <f>HYPERLINK("https://eprel.ec.europa.eu/qr/760438")</f>
        <v>https://eprel.ec.europa.eu/qr/760438</v>
      </c>
      <c r="R304"/>
      <c r="S304" t="s">
        <v>2573</v>
      </c>
      <c r="T304">
        <v>0.19</v>
      </c>
      <c r="U304">
        <v>0.22</v>
      </c>
      <c r="V304">
        <v>0.27</v>
      </c>
      <c r="W304">
        <v>11.5</v>
      </c>
      <c r="X304">
        <v>16</v>
      </c>
      <c r="Y304">
        <v>5</v>
      </c>
    </row>
    <row r="305" spans="1:25" ht="60" customHeight="1" x14ac:dyDescent="0.25">
      <c r="A305"/>
      <c r="B305" t="s">
        <v>3</v>
      </c>
      <c r="C305" t="s">
        <v>17</v>
      </c>
      <c r="D305" t="s">
        <v>16</v>
      </c>
      <c r="E305" t="s">
        <v>2039</v>
      </c>
      <c r="F305" t="s">
        <v>2040</v>
      </c>
      <c r="G305" t="s">
        <v>1005</v>
      </c>
      <c r="H305" s="11">
        <v>54.44</v>
      </c>
      <c r="I305" s="10">
        <f>H305*(1-IFERROR(VLOOKUP(G305,Rabat!$C$9:$D$43,2,0),0))</f>
        <v>54.44</v>
      </c>
      <c r="J305" t="s">
        <v>1816</v>
      </c>
      <c r="K305" t="s">
        <v>2069</v>
      </c>
      <c r="L305" t="s">
        <v>1813</v>
      </c>
      <c r="M305">
        <v>60</v>
      </c>
      <c r="N305">
        <v>1200</v>
      </c>
      <c r="O305" t="s">
        <v>1818</v>
      </c>
      <c r="P305" s="12" t="str">
        <f>HYPERLINK("https://b2b.kobi.pl/pl/product/10008,naswietlacz-z-czujnikiem-ruchu-led-mhc-20w-6500k-ip65-czarny-led2b?currency=PLN")</f>
        <v>https://b2b.kobi.pl/pl/product/10008,naswietlacz-z-czujnikiem-ruchu-led-mhc-20w-6500k-ip65-czarny-led2b?currency=PLN</v>
      </c>
      <c r="Q305" s="12" t="str">
        <f>HYPERLINK("https://eprel.ec.europa.eu/qr/760441")</f>
        <v>https://eprel.ec.europa.eu/qr/760441</v>
      </c>
      <c r="R305"/>
      <c r="S305" t="s">
        <v>2573</v>
      </c>
      <c r="T305">
        <v>0.19</v>
      </c>
      <c r="U305">
        <v>0.22</v>
      </c>
      <c r="V305">
        <v>0.27</v>
      </c>
      <c r="W305">
        <v>11.5</v>
      </c>
      <c r="X305">
        <v>16</v>
      </c>
      <c r="Y305">
        <v>5</v>
      </c>
    </row>
    <row r="306" spans="1:25" ht="60" customHeight="1" x14ac:dyDescent="0.25">
      <c r="A306"/>
      <c r="B306" t="s">
        <v>3</v>
      </c>
      <c r="C306" t="s">
        <v>17</v>
      </c>
      <c r="D306" t="s">
        <v>16</v>
      </c>
      <c r="E306" t="s">
        <v>2041</v>
      </c>
      <c r="F306" t="s">
        <v>2042</v>
      </c>
      <c r="G306" t="s">
        <v>1005</v>
      </c>
      <c r="H306" s="11">
        <v>64.22</v>
      </c>
      <c r="I306" s="10">
        <f>H306*(1-IFERROR(VLOOKUP(G306,Rabat!$C$9:$D$43,2,0),0))</f>
        <v>64.22</v>
      </c>
      <c r="J306" t="s">
        <v>1816</v>
      </c>
      <c r="K306" t="s">
        <v>2070</v>
      </c>
      <c r="L306" t="s">
        <v>1813</v>
      </c>
      <c r="M306">
        <v>20</v>
      </c>
      <c r="N306">
        <v>800</v>
      </c>
      <c r="O306" t="s">
        <v>1818</v>
      </c>
      <c r="P306" s="12" t="str">
        <f>HYPERLINK("https://b2b.kobi.pl/pl/product/10011,naswietlacz-z-czujnikiem-ruchu-led-mhc-30w-4000k-ip65-czarny-led2b?currency=PLN")</f>
        <v>https://b2b.kobi.pl/pl/product/10011,naswietlacz-z-czujnikiem-ruchu-led-mhc-30w-4000k-ip65-czarny-led2b?currency=PLN</v>
      </c>
      <c r="Q306" s="12" t="str">
        <f>HYPERLINK("https://eprel.ec.europa.eu/qr/760443")</f>
        <v>https://eprel.ec.europa.eu/qr/760443</v>
      </c>
      <c r="R306"/>
      <c r="S306" t="s">
        <v>2573</v>
      </c>
      <c r="T306">
        <v>0.27</v>
      </c>
      <c r="U306">
        <v>0.32</v>
      </c>
      <c r="V306">
        <v>0.37</v>
      </c>
      <c r="W306">
        <v>15</v>
      </c>
      <c r="X306">
        <v>18</v>
      </c>
      <c r="Y306">
        <v>5</v>
      </c>
    </row>
    <row r="307" spans="1:25" ht="60" customHeight="1" x14ac:dyDescent="0.25">
      <c r="A307"/>
      <c r="B307" t="s">
        <v>3</v>
      </c>
      <c r="C307" t="s">
        <v>17</v>
      </c>
      <c r="D307" t="s">
        <v>16</v>
      </c>
      <c r="E307" t="s">
        <v>1966</v>
      </c>
      <c r="F307" t="s">
        <v>1044</v>
      </c>
      <c r="G307" t="s">
        <v>1005</v>
      </c>
      <c r="H307" s="11">
        <v>64.22</v>
      </c>
      <c r="I307" s="10">
        <f>H307*(1-IFERROR(VLOOKUP(G307,Rabat!$C$9:$D$43,2,0),0))</f>
        <v>64.22</v>
      </c>
      <c r="J307" t="s">
        <v>1816</v>
      </c>
      <c r="K307" t="s">
        <v>217</v>
      </c>
      <c r="L307" t="s">
        <v>1813</v>
      </c>
      <c r="M307">
        <v>20</v>
      </c>
      <c r="N307">
        <v>800</v>
      </c>
      <c r="O307" t="s">
        <v>1818</v>
      </c>
      <c r="P307" s="12" t="str">
        <f>HYPERLINK("https://b2b.kobi.pl/pl/product/10013,naswietlacz-z-czujnikiem-ruchu-led-mhc-30w-6500k-ip44-czarny-led2b?currency=PLN")</f>
        <v>https://b2b.kobi.pl/pl/product/10013,naswietlacz-z-czujnikiem-ruchu-led-mhc-30w-6500k-ip44-czarny-led2b?currency=PLN</v>
      </c>
      <c r="Q307" s="12" t="str">
        <f>HYPERLINK("https://eprel.ec.europa.eu/qr/760445")</f>
        <v>https://eprel.ec.europa.eu/qr/760445</v>
      </c>
      <c r="R307"/>
      <c r="S307" t="s">
        <v>2573</v>
      </c>
      <c r="T307">
        <v>0.27</v>
      </c>
      <c r="U307">
        <v>0.32</v>
      </c>
      <c r="V307">
        <v>0.37</v>
      </c>
      <c r="W307">
        <v>15</v>
      </c>
      <c r="X307">
        <v>18</v>
      </c>
      <c r="Y307">
        <v>5</v>
      </c>
    </row>
    <row r="308" spans="1:25" ht="60" customHeight="1" x14ac:dyDescent="0.25">
      <c r="A308"/>
      <c r="B308" t="s">
        <v>3</v>
      </c>
      <c r="C308" t="s">
        <v>17</v>
      </c>
      <c r="D308" t="s">
        <v>16</v>
      </c>
      <c r="E308" t="s">
        <v>1046</v>
      </c>
      <c r="F308" t="s">
        <v>1047</v>
      </c>
      <c r="G308" t="s">
        <v>1005</v>
      </c>
      <c r="H308" s="11">
        <v>76.67</v>
      </c>
      <c r="I308" s="10">
        <f>H308*(1-IFERROR(VLOOKUP(G308,Rabat!$C$9:$D$43,2,0),0))</f>
        <v>76.67</v>
      </c>
      <c r="J308" t="s">
        <v>1816</v>
      </c>
      <c r="K308" t="s">
        <v>218</v>
      </c>
      <c r="L308" t="s">
        <v>1813</v>
      </c>
      <c r="M308">
        <v>20</v>
      </c>
      <c r="N308">
        <v>400</v>
      </c>
      <c r="O308" t="s">
        <v>1818</v>
      </c>
      <c r="P308" s="12" t="str">
        <f>HYPERLINK("https://b2b.kobi.pl/pl/product/10015,naswietlacz-z-czujnikiem-ruchu-led-mhc-50w-3000k-ip44-czarny-led2b?currency=PLN")</f>
        <v>https://b2b.kobi.pl/pl/product/10015,naswietlacz-z-czujnikiem-ruchu-led-mhc-50w-3000k-ip44-czarny-led2b?currency=PLN</v>
      </c>
      <c r="Q308" s="12" t="str">
        <f>HYPERLINK("https://eprel.ec.europa.eu/qr/943719")</f>
        <v>https://eprel.ec.europa.eu/qr/943719</v>
      </c>
      <c r="R308" t="s">
        <v>1945</v>
      </c>
      <c r="S308" t="s">
        <v>2573</v>
      </c>
      <c r="T308">
        <v>0.53</v>
      </c>
      <c r="U308">
        <v>0.63200000000000001</v>
      </c>
      <c r="V308">
        <v>0.752</v>
      </c>
      <c r="W308">
        <v>22.2</v>
      </c>
      <c r="X308">
        <v>4.7</v>
      </c>
      <c r="Y308">
        <v>23.4</v>
      </c>
    </row>
    <row r="309" spans="1:25" ht="60" customHeight="1" x14ac:dyDescent="0.25">
      <c r="A309"/>
      <c r="B309" t="s">
        <v>3</v>
      </c>
      <c r="C309" t="s">
        <v>17</v>
      </c>
      <c r="D309" t="s">
        <v>16</v>
      </c>
      <c r="E309" t="s">
        <v>2043</v>
      </c>
      <c r="F309" t="s">
        <v>2044</v>
      </c>
      <c r="G309" t="s">
        <v>1005</v>
      </c>
      <c r="H309" s="11">
        <v>76.67</v>
      </c>
      <c r="I309" s="10">
        <f>H309*(1-IFERROR(VLOOKUP(G309,Rabat!$C$9:$D$43,2,0),0))</f>
        <v>76.67</v>
      </c>
      <c r="J309" t="s">
        <v>1816</v>
      </c>
      <c r="K309" t="s">
        <v>2071</v>
      </c>
      <c r="L309" t="s">
        <v>1813</v>
      </c>
      <c r="M309">
        <v>20</v>
      </c>
      <c r="N309">
        <v>600</v>
      </c>
      <c r="O309" t="s">
        <v>1818</v>
      </c>
      <c r="P309" s="12" t="str">
        <f>HYPERLINK("https://b2b.kobi.pl/pl/product/10016,naswietlacz-z-czujnikiem-ruchu-led-mhc-50w-4000k-ip65-czarny-led2b?currency=PLN")</f>
        <v>https://b2b.kobi.pl/pl/product/10016,naswietlacz-z-czujnikiem-ruchu-led-mhc-50w-4000k-ip65-czarny-led2b?currency=PLN</v>
      </c>
      <c r="Q309" s="12" t="str">
        <f>HYPERLINK("https://eprel.ec.europa.eu/qr/760446")</f>
        <v>https://eprel.ec.europa.eu/qr/760446</v>
      </c>
      <c r="R309"/>
      <c r="S309" t="s">
        <v>2573</v>
      </c>
      <c r="T309">
        <v>0.4</v>
      </c>
      <c r="U309">
        <v>0.47</v>
      </c>
      <c r="V309">
        <v>0.54</v>
      </c>
      <c r="W309">
        <v>19.5</v>
      </c>
      <c r="X309">
        <v>21.5</v>
      </c>
      <c r="Y309">
        <v>5</v>
      </c>
    </row>
    <row r="310" spans="1:25" ht="60" customHeight="1" x14ac:dyDescent="0.25">
      <c r="A310"/>
      <c r="B310" t="s">
        <v>3</v>
      </c>
      <c r="C310" t="s">
        <v>17</v>
      </c>
      <c r="D310" t="s">
        <v>16</v>
      </c>
      <c r="E310" t="s">
        <v>2045</v>
      </c>
      <c r="F310" t="s">
        <v>2046</v>
      </c>
      <c r="G310" t="s">
        <v>1005</v>
      </c>
      <c r="H310" s="11">
        <v>76.67</v>
      </c>
      <c r="I310" s="10">
        <f>H310*(1-IFERROR(VLOOKUP(G310,Rabat!$C$9:$D$43,2,0),0))</f>
        <v>76.67</v>
      </c>
      <c r="J310" t="s">
        <v>1816</v>
      </c>
      <c r="K310" t="s">
        <v>2072</v>
      </c>
      <c r="L310" t="s">
        <v>1813</v>
      </c>
      <c r="M310">
        <v>20</v>
      </c>
      <c r="N310">
        <v>480</v>
      </c>
      <c r="O310" t="s">
        <v>1818</v>
      </c>
      <c r="P310" s="12" t="str">
        <f>HYPERLINK("https://b2b.kobi.pl/pl/product/10018,naswietlacz-z-czujnikiem-ruchu-led-mhc-50w-6500k-ip65-czarny-led2b?currency=PLN")</f>
        <v>https://b2b.kobi.pl/pl/product/10018,naswietlacz-z-czujnikiem-ruchu-led-mhc-50w-6500k-ip65-czarny-led2b?currency=PLN</v>
      </c>
      <c r="Q310" s="12" t="str">
        <f>HYPERLINK("https://eprel.ec.europa.eu/qr/760449")</f>
        <v>https://eprel.ec.europa.eu/qr/760449</v>
      </c>
      <c r="R310"/>
      <c r="S310" t="s">
        <v>2573</v>
      </c>
      <c r="T310">
        <v>0.4</v>
      </c>
      <c r="U310">
        <v>0.47</v>
      </c>
      <c r="V310">
        <v>0.54</v>
      </c>
      <c r="W310">
        <v>19.5</v>
      </c>
      <c r="X310">
        <v>21.5</v>
      </c>
      <c r="Y310">
        <v>5</v>
      </c>
    </row>
    <row r="311" spans="1:25" ht="60" customHeight="1" x14ac:dyDescent="0.25">
      <c r="A311"/>
      <c r="B311" t="s">
        <v>3</v>
      </c>
      <c r="C311" t="s">
        <v>17</v>
      </c>
      <c r="D311" t="s">
        <v>1004</v>
      </c>
      <c r="E311" t="s">
        <v>1016</v>
      </c>
      <c r="F311" t="s">
        <v>1017</v>
      </c>
      <c r="G311" t="s">
        <v>1005</v>
      </c>
      <c r="H311" s="11">
        <v>15.11</v>
      </c>
      <c r="I311" s="10">
        <f>H311*(1-IFERROR(VLOOKUP(G311,Rabat!$C$9:$D$43,2,0),0))</f>
        <v>15.11</v>
      </c>
      <c r="J311" t="s">
        <v>1816</v>
      </c>
      <c r="K311" t="s">
        <v>523</v>
      </c>
      <c r="L311" t="s">
        <v>1813</v>
      </c>
      <c r="M311">
        <v>90</v>
      </c>
      <c r="N311">
        <v>3360</v>
      </c>
      <c r="O311" t="s">
        <v>1818</v>
      </c>
      <c r="P311" s="12" t="str">
        <f>HYPERLINK("https://b2b.kobi.pl/pl/product/9981,naswietlacz-led-mh-10w-4000k-ip65-czarny-led2b-red?currency=PLN")</f>
        <v>https://b2b.kobi.pl/pl/product/9981,naswietlacz-led-mh-10w-4000k-ip65-czarny-led2b-red?currency=PLN</v>
      </c>
      <c r="Q311" s="12" t="str">
        <f>HYPERLINK("https://eprel.ec.europa.eu/qr/1984162")</f>
        <v>https://eprel.ec.europa.eu/qr/1984162</v>
      </c>
      <c r="R311"/>
      <c r="S311" t="s">
        <v>2573</v>
      </c>
      <c r="T311">
        <v>0.11</v>
      </c>
      <c r="U311">
        <v>0.13500000000000001</v>
      </c>
      <c r="V311">
        <v>0.16</v>
      </c>
      <c r="W311">
        <v>10.5</v>
      </c>
      <c r="X311">
        <v>3</v>
      </c>
      <c r="Y311">
        <v>8.5</v>
      </c>
    </row>
    <row r="312" spans="1:25" ht="60" customHeight="1" x14ac:dyDescent="0.25">
      <c r="A312"/>
      <c r="B312" t="s">
        <v>3</v>
      </c>
      <c r="C312" t="s">
        <v>17</v>
      </c>
      <c r="D312" t="s">
        <v>1004</v>
      </c>
      <c r="E312" t="s">
        <v>1020</v>
      </c>
      <c r="F312" t="s">
        <v>1021</v>
      </c>
      <c r="G312" t="s">
        <v>1005</v>
      </c>
      <c r="H312" s="11">
        <v>15.11</v>
      </c>
      <c r="I312" s="10">
        <f>H312*(1-IFERROR(VLOOKUP(G312,Rabat!$C$9:$D$43,2,0),0))</f>
        <v>15.11</v>
      </c>
      <c r="J312" t="s">
        <v>1816</v>
      </c>
      <c r="K312" t="s">
        <v>524</v>
      </c>
      <c r="L312" t="s">
        <v>1813</v>
      </c>
      <c r="M312">
        <v>40</v>
      </c>
      <c r="N312">
        <v>3360</v>
      </c>
      <c r="O312" t="s">
        <v>1818</v>
      </c>
      <c r="P312" s="12" t="str">
        <f>HYPERLINK("https://b2b.kobi.pl/pl/product/9983,naswietlacz-led-mh-10w-6500k-ip65-czarny-led2b-red?currency=PLN")</f>
        <v>https://b2b.kobi.pl/pl/product/9983,naswietlacz-led-mh-10w-6500k-ip65-czarny-led2b-red?currency=PLN</v>
      </c>
      <c r="Q312" s="12" t="str">
        <f>HYPERLINK("https://eprel.ec.europa.eu/qr/1984170")</f>
        <v>https://eprel.ec.europa.eu/qr/1984170</v>
      </c>
      <c r="R312"/>
      <c r="S312" t="s">
        <v>2573</v>
      </c>
      <c r="T312">
        <v>0.12</v>
      </c>
      <c r="U312">
        <v>0.14000000000000001</v>
      </c>
      <c r="V312">
        <v>0.156</v>
      </c>
      <c r="W312">
        <v>10.9</v>
      </c>
      <c r="X312">
        <v>2.6</v>
      </c>
      <c r="Y312">
        <v>9.6999999999999993</v>
      </c>
    </row>
    <row r="313" spans="1:25" ht="60" customHeight="1" x14ac:dyDescent="0.25">
      <c r="A313"/>
      <c r="B313" t="s">
        <v>3</v>
      </c>
      <c r="C313" t="s">
        <v>17</v>
      </c>
      <c r="D313" t="s">
        <v>1004</v>
      </c>
      <c r="E313" t="s">
        <v>1024</v>
      </c>
      <c r="F313" t="s">
        <v>1025</v>
      </c>
      <c r="G313" t="s">
        <v>1005</v>
      </c>
      <c r="H313" s="11">
        <v>20.64</v>
      </c>
      <c r="I313" s="10">
        <f>H313*(1-IFERROR(VLOOKUP(G313,Rabat!$C$9:$D$43,2,0),0))</f>
        <v>20.64</v>
      </c>
      <c r="J313" t="s">
        <v>1816</v>
      </c>
      <c r="K313" t="s">
        <v>525</v>
      </c>
      <c r="L313" t="s">
        <v>1813</v>
      </c>
      <c r="M313">
        <v>80</v>
      </c>
      <c r="N313">
        <v>1920</v>
      </c>
      <c r="O313" t="s">
        <v>1818</v>
      </c>
      <c r="P313" s="12" t="str">
        <f>HYPERLINK("https://b2b.kobi.pl/pl/product/9986,naswietlacz-led-mh-20w-4000k-ip65-czarny-led2b-red?currency=PLN")</f>
        <v>https://b2b.kobi.pl/pl/product/9986,naswietlacz-led-mh-20w-4000k-ip65-czarny-led2b-red?currency=PLN</v>
      </c>
      <c r="Q313" s="12" t="str">
        <f>HYPERLINK("https://eprel.ec.europa.eu/qr/1984182")</f>
        <v>https://eprel.ec.europa.eu/qr/1984182</v>
      </c>
      <c r="R313"/>
      <c r="S313" t="s">
        <v>2573</v>
      </c>
      <c r="T313">
        <v>0.14000000000000001</v>
      </c>
      <c r="U313">
        <v>0.16500000000000001</v>
      </c>
      <c r="V313">
        <v>0.2</v>
      </c>
      <c r="W313">
        <v>11.5</v>
      </c>
      <c r="X313">
        <v>3</v>
      </c>
      <c r="Y313">
        <v>9.5</v>
      </c>
    </row>
    <row r="314" spans="1:25" ht="60" customHeight="1" x14ac:dyDescent="0.25">
      <c r="A314"/>
      <c r="B314" t="s">
        <v>3</v>
      </c>
      <c r="C314" t="s">
        <v>17</v>
      </c>
      <c r="D314" t="s">
        <v>1004</v>
      </c>
      <c r="E314" t="s">
        <v>1028</v>
      </c>
      <c r="F314" t="s">
        <v>1029</v>
      </c>
      <c r="G314" t="s">
        <v>1005</v>
      </c>
      <c r="H314" s="11">
        <v>20.64</v>
      </c>
      <c r="I314" s="10">
        <f>H314*(1-IFERROR(VLOOKUP(G314,Rabat!$C$9:$D$43,2,0),0))</f>
        <v>20.64</v>
      </c>
      <c r="J314" t="s">
        <v>1816</v>
      </c>
      <c r="K314" t="s">
        <v>526</v>
      </c>
      <c r="L314" t="s">
        <v>1813</v>
      </c>
      <c r="M314">
        <v>80</v>
      </c>
      <c r="N314">
        <v>1920</v>
      </c>
      <c r="O314" t="s">
        <v>1818</v>
      </c>
      <c r="P314" s="12" t="str">
        <f>HYPERLINK("https://b2b.kobi.pl/pl/product/9988,naswietlacz-led-mh-20w-6500k-ip65-czarny-led2b-red?currency=PLN")</f>
        <v>https://b2b.kobi.pl/pl/product/9988,naswietlacz-led-mh-20w-6500k-ip65-czarny-led2b-red?currency=PLN</v>
      </c>
      <c r="Q314" s="12" t="str">
        <f>HYPERLINK("https://eprel.ec.europa.eu/qr/1984224")</f>
        <v>https://eprel.ec.europa.eu/qr/1984224</v>
      </c>
      <c r="R314"/>
      <c r="S314" t="s">
        <v>2573</v>
      </c>
      <c r="T314">
        <v>0.14000000000000001</v>
      </c>
      <c r="U314">
        <v>0.16500000000000001</v>
      </c>
      <c r="V314">
        <v>0.2</v>
      </c>
      <c r="W314">
        <v>11.5</v>
      </c>
      <c r="X314">
        <v>3</v>
      </c>
      <c r="Y314">
        <v>9.5</v>
      </c>
    </row>
    <row r="315" spans="1:25" ht="60" customHeight="1" x14ac:dyDescent="0.25">
      <c r="A315"/>
      <c r="B315" t="s">
        <v>3</v>
      </c>
      <c r="C315" t="s">
        <v>17</v>
      </c>
      <c r="D315" t="s">
        <v>1004</v>
      </c>
      <c r="E315" t="s">
        <v>1030</v>
      </c>
      <c r="F315" t="s">
        <v>1031</v>
      </c>
      <c r="G315" t="s">
        <v>1005</v>
      </c>
      <c r="H315" s="11">
        <v>25.56</v>
      </c>
      <c r="I315" s="10">
        <f>H315*(1-IFERROR(VLOOKUP(G315,Rabat!$C$9:$D$43,2,0),0))</f>
        <v>25.56</v>
      </c>
      <c r="J315" t="s">
        <v>1816</v>
      </c>
      <c r="K315" t="s">
        <v>527</v>
      </c>
      <c r="L315" t="s">
        <v>1813</v>
      </c>
      <c r="M315">
        <v>60</v>
      </c>
      <c r="N315">
        <v>1800</v>
      </c>
      <c r="O315" t="s">
        <v>1818</v>
      </c>
      <c r="P315" s="12" t="str">
        <f>HYPERLINK("https://b2b.kobi.pl/pl/product/9991,naswietlacz-led-mh-30w-4000k-ip65-czarny-led2b-red?currency=PLN")</f>
        <v>https://b2b.kobi.pl/pl/product/9991,naswietlacz-led-mh-30w-4000k-ip65-czarny-led2b-red?currency=PLN</v>
      </c>
      <c r="Q315" s="12" t="str">
        <f>HYPERLINK("https://eprel.ec.europa.eu/qr/1984250")</f>
        <v>https://eprel.ec.europa.eu/qr/1984250</v>
      </c>
      <c r="R315"/>
      <c r="S315" t="s">
        <v>2573</v>
      </c>
      <c r="T315">
        <v>0.2</v>
      </c>
      <c r="U315">
        <v>0.23899999999999999</v>
      </c>
      <c r="V315">
        <v>0.34399999999999997</v>
      </c>
      <c r="W315">
        <v>14.5</v>
      </c>
      <c r="X315">
        <v>3</v>
      </c>
      <c r="Y315">
        <v>11</v>
      </c>
    </row>
    <row r="316" spans="1:25" ht="60" customHeight="1" x14ac:dyDescent="0.25">
      <c r="A316"/>
      <c r="B316" t="s">
        <v>3</v>
      </c>
      <c r="C316" t="s">
        <v>17</v>
      </c>
      <c r="D316" t="s">
        <v>1004</v>
      </c>
      <c r="E316" t="s">
        <v>1032</v>
      </c>
      <c r="F316" t="s">
        <v>1033</v>
      </c>
      <c r="G316" t="s">
        <v>1005</v>
      </c>
      <c r="H316" s="11">
        <v>25.56</v>
      </c>
      <c r="I316" s="10">
        <f>H316*(1-IFERROR(VLOOKUP(G316,Rabat!$C$9:$D$43,2,0),0))</f>
        <v>25.56</v>
      </c>
      <c r="J316" t="s">
        <v>1816</v>
      </c>
      <c r="K316" t="s">
        <v>528</v>
      </c>
      <c r="L316" t="s">
        <v>1813</v>
      </c>
      <c r="M316">
        <v>60</v>
      </c>
      <c r="N316">
        <v>1800</v>
      </c>
      <c r="O316" t="s">
        <v>1818</v>
      </c>
      <c r="P316" s="12" t="str">
        <f>HYPERLINK("https://b2b.kobi.pl/pl/product/9993,naswietlacz-led-mh-30w-6500k-ip65-czarny-led2b-red?currency=PLN")</f>
        <v>https://b2b.kobi.pl/pl/product/9993,naswietlacz-led-mh-30w-6500k-ip65-czarny-led2b-red?currency=PLN</v>
      </c>
      <c r="Q316" s="12" t="str">
        <f>HYPERLINK("https://eprel.ec.europa.eu/qr/1984257")</f>
        <v>https://eprel.ec.europa.eu/qr/1984257</v>
      </c>
      <c r="R316"/>
      <c r="S316" t="s">
        <v>2573</v>
      </c>
      <c r="T316">
        <v>0.2</v>
      </c>
      <c r="U316">
        <v>0.23899999999999999</v>
      </c>
      <c r="V316">
        <v>0.34399999999999997</v>
      </c>
      <c r="W316">
        <v>14.5</v>
      </c>
      <c r="X316">
        <v>3</v>
      </c>
      <c r="Y316">
        <v>11</v>
      </c>
    </row>
    <row r="317" spans="1:25" ht="60" customHeight="1" x14ac:dyDescent="0.25">
      <c r="A317"/>
      <c r="B317" t="s">
        <v>3</v>
      </c>
      <c r="C317" t="s">
        <v>17</v>
      </c>
      <c r="D317" t="s">
        <v>1004</v>
      </c>
      <c r="E317" t="s">
        <v>2462</v>
      </c>
      <c r="F317" t="s">
        <v>2463</v>
      </c>
      <c r="G317" t="s">
        <v>1005</v>
      </c>
      <c r="H317" s="11">
        <v>38.22</v>
      </c>
      <c r="I317" s="10">
        <f>H317*(1-IFERROR(VLOOKUP(G317,Rabat!$C$9:$D$43,2,0),0))</f>
        <v>38.22</v>
      </c>
      <c r="J317" t="s">
        <v>1816</v>
      </c>
      <c r="K317" t="s">
        <v>2467</v>
      </c>
      <c r="L317" t="s">
        <v>1813</v>
      </c>
      <c r="M317">
        <v>40</v>
      </c>
      <c r="N317">
        <v>1200</v>
      </c>
      <c r="O317" t="s">
        <v>1818</v>
      </c>
      <c r="P317" s="12" t="str">
        <f>HYPERLINK("https://b2b.kobi.pl/pl/product/9996,naswietlacz-led-mh-50w-4000k-ip65-czarny-led2b-red?currency=PLN")</f>
        <v>https://b2b.kobi.pl/pl/product/9996,naswietlacz-led-mh-50w-4000k-ip65-czarny-led2b-red?currency=PLN</v>
      </c>
      <c r="Q317" s="12" t="str">
        <f>HYPERLINK("https://eprel.ec.europa.eu/qr/1984267")</f>
        <v>https://eprel.ec.europa.eu/qr/1984267</v>
      </c>
      <c r="R317"/>
      <c r="S317" t="s">
        <v>2573</v>
      </c>
      <c r="T317">
        <v>0.32</v>
      </c>
      <c r="U317">
        <v>0.376</v>
      </c>
      <c r="V317">
        <v>0.42699999999999999</v>
      </c>
      <c r="W317">
        <v>18.5</v>
      </c>
      <c r="X317">
        <v>3</v>
      </c>
      <c r="Y317">
        <v>13.5</v>
      </c>
    </row>
    <row r="318" spans="1:25" ht="60" customHeight="1" x14ac:dyDescent="0.25">
      <c r="A318"/>
      <c r="B318" t="s">
        <v>3</v>
      </c>
      <c r="C318" t="s">
        <v>17</v>
      </c>
      <c r="D318" t="s">
        <v>1004</v>
      </c>
      <c r="E318" t="s">
        <v>1034</v>
      </c>
      <c r="F318" t="s">
        <v>1035</v>
      </c>
      <c r="G318" t="s">
        <v>1005</v>
      </c>
      <c r="H318" s="11">
        <v>38.22</v>
      </c>
      <c r="I318" s="10">
        <f>H318*(1-IFERROR(VLOOKUP(G318,Rabat!$C$9:$D$43,2,0),0))</f>
        <v>38.22</v>
      </c>
      <c r="J318" t="s">
        <v>1816</v>
      </c>
      <c r="K318" t="s">
        <v>484</v>
      </c>
      <c r="L318" t="s">
        <v>1813</v>
      </c>
      <c r="M318">
        <v>40</v>
      </c>
      <c r="N318">
        <v>1200</v>
      </c>
      <c r="O318" t="s">
        <v>1818</v>
      </c>
      <c r="P318" s="12" t="str">
        <f>HYPERLINK("https://b2b.kobi.pl/pl/product/9998,naswietlacz-led-mh-50w-6500k-ip65-czarny-led2b-red?currency=PLN")</f>
        <v>https://b2b.kobi.pl/pl/product/9998,naswietlacz-led-mh-50w-6500k-ip65-czarny-led2b-red?currency=PLN</v>
      </c>
      <c r="Q318" s="12" t="str">
        <f>HYPERLINK("https://eprel.ec.europa.eu/qr/1984365")</f>
        <v>https://eprel.ec.europa.eu/qr/1984365</v>
      </c>
      <c r="R318"/>
      <c r="S318" t="s">
        <v>2573</v>
      </c>
      <c r="T318">
        <v>0.32</v>
      </c>
      <c r="U318">
        <v>0.376</v>
      </c>
      <c r="V318">
        <v>0.42699999999999999</v>
      </c>
      <c r="W318">
        <v>18.5</v>
      </c>
      <c r="X318">
        <v>3</v>
      </c>
      <c r="Y318">
        <v>13.5</v>
      </c>
    </row>
    <row r="319" spans="1:25" ht="60" customHeight="1" x14ac:dyDescent="0.25">
      <c r="A319"/>
      <c r="B319" t="s">
        <v>3</v>
      </c>
      <c r="C319" t="s">
        <v>17</v>
      </c>
      <c r="D319" t="s">
        <v>1004</v>
      </c>
      <c r="E319" t="s">
        <v>2636</v>
      </c>
      <c r="F319" t="s">
        <v>2637</v>
      </c>
      <c r="G319" t="s">
        <v>1005</v>
      </c>
      <c r="H319" s="11">
        <v>73.11</v>
      </c>
      <c r="I319" s="10">
        <f>H319*(1-IFERROR(VLOOKUP(G319,Rabat!$C$9:$D$43,2,0),0))</f>
        <v>73.11</v>
      </c>
      <c r="J319" t="s">
        <v>1816</v>
      </c>
      <c r="K319" t="s">
        <v>2666</v>
      </c>
      <c r="L319" t="s">
        <v>1813</v>
      </c>
      <c r="M319">
        <v>10</v>
      </c>
      <c r="N319">
        <v>520</v>
      </c>
      <c r="O319" t="s">
        <v>1818</v>
      </c>
      <c r="P319" s="12" t="str">
        <f>HYPERLINK("https://b2b.kobi.pl/pl/product/9976,naswietlacz-led-mh-100w-4000k-ip65-czarny-led2b-red?currency=PLN")</f>
        <v>https://b2b.kobi.pl/pl/product/9976,naswietlacz-led-mh-100w-4000k-ip65-czarny-led2b-red?currency=PLN</v>
      </c>
      <c r="Q319" s="12" t="str">
        <f>HYPERLINK("https://eprel.ec.europa.eu/qr/1984540")</f>
        <v>https://eprel.ec.europa.eu/qr/1984540</v>
      </c>
      <c r="R319"/>
      <c r="S319" t="s">
        <v>2573</v>
      </c>
      <c r="T319">
        <v>0.79</v>
      </c>
      <c r="U319">
        <v>0.93300000000000005</v>
      </c>
      <c r="V319">
        <v>1</v>
      </c>
      <c r="W319">
        <v>29.5</v>
      </c>
      <c r="X319">
        <v>3.1</v>
      </c>
      <c r="Y319">
        <v>19</v>
      </c>
    </row>
    <row r="320" spans="1:25" ht="60" customHeight="1" x14ac:dyDescent="0.25">
      <c r="A320"/>
      <c r="B320" t="s">
        <v>3</v>
      </c>
      <c r="C320" t="s">
        <v>17</v>
      </c>
      <c r="D320" t="s">
        <v>1004</v>
      </c>
      <c r="E320" t="s">
        <v>2464</v>
      </c>
      <c r="F320" t="s">
        <v>2465</v>
      </c>
      <c r="G320" t="s">
        <v>1005</v>
      </c>
      <c r="H320" s="11">
        <v>73.11</v>
      </c>
      <c r="I320" s="10">
        <f>H320*(1-IFERROR(VLOOKUP(G320,Rabat!$C$9:$D$43,2,0),0))</f>
        <v>73.11</v>
      </c>
      <c r="J320" t="s">
        <v>1816</v>
      </c>
      <c r="K320" t="s">
        <v>2468</v>
      </c>
      <c r="L320" t="s">
        <v>1813</v>
      </c>
      <c r="M320">
        <v>10</v>
      </c>
      <c r="N320">
        <v>520</v>
      </c>
      <c r="O320" t="s">
        <v>1818</v>
      </c>
      <c r="P320" s="12" t="str">
        <f>HYPERLINK("https://b2b.kobi.pl/pl/product/9978,naswietlacz-led-mh-100w-6500k-ip65-czarny-led2b-red?currency=PLN")</f>
        <v>https://b2b.kobi.pl/pl/product/9978,naswietlacz-led-mh-100w-6500k-ip65-czarny-led2b-red?currency=PLN</v>
      </c>
      <c r="Q320" s="12" t="str">
        <f>HYPERLINK("https://eprel.ec.europa.eu/qr/1984570")</f>
        <v>https://eprel.ec.europa.eu/qr/1984570</v>
      </c>
      <c r="R320"/>
      <c r="S320" t="s">
        <v>2573</v>
      </c>
      <c r="T320">
        <v>0.79</v>
      </c>
      <c r="U320">
        <v>0.93300000000000005</v>
      </c>
      <c r="V320">
        <v>1</v>
      </c>
      <c r="W320">
        <v>29.5</v>
      </c>
      <c r="X320">
        <v>3.1</v>
      </c>
      <c r="Y320">
        <v>19</v>
      </c>
    </row>
    <row r="321" spans="1:25" ht="60" customHeight="1" x14ac:dyDescent="0.25">
      <c r="A321"/>
      <c r="B321" t="s">
        <v>3</v>
      </c>
      <c r="C321" t="s">
        <v>17</v>
      </c>
      <c r="D321" t="s">
        <v>1004</v>
      </c>
      <c r="E321" t="s">
        <v>2780</v>
      </c>
      <c r="F321" t="s">
        <v>1039</v>
      </c>
      <c r="G321" t="s">
        <v>1005</v>
      </c>
      <c r="H321" s="11">
        <v>41.11</v>
      </c>
      <c r="I321" s="10">
        <f>H321*(1-IFERROR(VLOOKUP(G321,Rabat!$C$9:$D$43,2,0),0))</f>
        <v>41.11</v>
      </c>
      <c r="J321" t="s">
        <v>1816</v>
      </c>
      <c r="K321" t="s">
        <v>529</v>
      </c>
      <c r="L321" t="s">
        <v>1813</v>
      </c>
      <c r="M321">
        <v>30</v>
      </c>
      <c r="N321">
        <v>1140</v>
      </c>
      <c r="O321" t="s">
        <v>1818</v>
      </c>
      <c r="P321" s="12" t="str">
        <f>HYPERLINK("https://b2b.kobi.pl/pl/product/10002,naswietlacz-z-czujnikiem-ruchu-led-mhc-10w-4000k-ip44-czarny-led2b-red?currency=PLN")</f>
        <v>https://b2b.kobi.pl/pl/product/10002,naswietlacz-z-czujnikiem-ruchu-led-mhc-10w-4000k-ip44-czarny-led2b-red?currency=PLN</v>
      </c>
      <c r="Q321" s="12" t="str">
        <f>HYPERLINK("https://eprel.ec.europa.eu/qr/1988260")</f>
        <v>https://eprel.ec.europa.eu/qr/1988260</v>
      </c>
      <c r="R321"/>
      <c r="S321" t="s">
        <v>2573</v>
      </c>
      <c r="T321">
        <v>0.15</v>
      </c>
      <c r="U321">
        <v>0.183</v>
      </c>
      <c r="V321">
        <v>0.223</v>
      </c>
      <c r="W321">
        <v>10.5</v>
      </c>
      <c r="X321">
        <v>4.5999999999999996</v>
      </c>
      <c r="Y321">
        <v>15</v>
      </c>
    </row>
    <row r="322" spans="1:25" ht="60" customHeight="1" x14ac:dyDescent="0.25">
      <c r="A322"/>
      <c r="B322" t="s">
        <v>3</v>
      </c>
      <c r="C322" t="s">
        <v>17</v>
      </c>
      <c r="D322" t="s">
        <v>1004</v>
      </c>
      <c r="E322" t="s">
        <v>3564</v>
      </c>
      <c r="F322" t="s">
        <v>1041</v>
      </c>
      <c r="G322" t="s">
        <v>1005</v>
      </c>
      <c r="H322" s="11">
        <v>41.11</v>
      </c>
      <c r="I322" s="10">
        <f>H322*(1-IFERROR(VLOOKUP(G322,Rabat!$C$9:$D$43,2,0),0))</f>
        <v>41.11</v>
      </c>
      <c r="J322" t="s">
        <v>1816</v>
      </c>
      <c r="K322" t="s">
        <v>530</v>
      </c>
      <c r="L322" t="s">
        <v>1813</v>
      </c>
      <c r="M322">
        <v>30</v>
      </c>
      <c r="N322">
        <v>1140</v>
      </c>
      <c r="O322" t="s">
        <v>1818</v>
      </c>
      <c r="P322" s="12" t="str">
        <f>HYPERLINK("https://b2b.kobi.pl/pl/product/10004,naswietlacz-z-czujnikiem-ruchu-led-mhc-10w-6500k-ip44-czarny-led2b-red?currency=PLN")</f>
        <v>https://b2b.kobi.pl/pl/product/10004,naswietlacz-z-czujnikiem-ruchu-led-mhc-10w-6500k-ip44-czarny-led2b-red?currency=PLN</v>
      </c>
      <c r="Q322" s="12" t="str">
        <f>HYPERLINK("https://eprel.ec.europa.eu/qr/1988276")</f>
        <v>https://eprel.ec.europa.eu/qr/1988276</v>
      </c>
      <c r="R322"/>
      <c r="S322" t="s">
        <v>2573</v>
      </c>
      <c r="T322">
        <v>0.15</v>
      </c>
      <c r="U322">
        <v>0.183</v>
      </c>
      <c r="V322">
        <v>0.223</v>
      </c>
      <c r="W322">
        <v>10.5</v>
      </c>
      <c r="X322">
        <v>4.5999999999999996</v>
      </c>
      <c r="Y322">
        <v>15</v>
      </c>
    </row>
    <row r="323" spans="1:25" ht="60" customHeight="1" x14ac:dyDescent="0.25">
      <c r="A323"/>
      <c r="B323" t="s">
        <v>3</v>
      </c>
      <c r="C323" t="s">
        <v>17</v>
      </c>
      <c r="D323" t="s">
        <v>1004</v>
      </c>
      <c r="E323" t="s">
        <v>2723</v>
      </c>
      <c r="F323" t="s">
        <v>1042</v>
      </c>
      <c r="G323" t="s">
        <v>1005</v>
      </c>
      <c r="H323" s="11">
        <v>47.78</v>
      </c>
      <c r="I323" s="10">
        <f>H323*(1-IFERROR(VLOOKUP(G323,Rabat!$C$9:$D$43,2,0),0))</f>
        <v>47.78</v>
      </c>
      <c r="J323" t="s">
        <v>1816</v>
      </c>
      <c r="K323" t="s">
        <v>531</v>
      </c>
      <c r="L323" t="s">
        <v>1813</v>
      </c>
      <c r="M323">
        <v>30</v>
      </c>
      <c r="N323">
        <v>1140</v>
      </c>
      <c r="O323" t="s">
        <v>1818</v>
      </c>
      <c r="P323" s="12" t="str">
        <f>HYPERLINK("https://b2b.kobi.pl/pl/product/10007,naswietlacz-z-czujnikiem-ruchu-led-mhc-20w-4000k-ip44-czarny-led2b-red?currency=PLN")</f>
        <v>https://b2b.kobi.pl/pl/product/10007,naswietlacz-z-czujnikiem-ruchu-led-mhc-20w-4000k-ip44-czarny-led2b-red?currency=PLN</v>
      </c>
      <c r="Q323" s="12" t="str">
        <f>HYPERLINK("https://eprel.ec.europa.eu/qr/1988366")</f>
        <v>https://eprel.ec.europa.eu/qr/1988366</v>
      </c>
      <c r="R323"/>
      <c r="S323" t="s">
        <v>2573</v>
      </c>
      <c r="T323">
        <v>0.18</v>
      </c>
      <c r="U323">
        <v>0.217</v>
      </c>
      <c r="V323">
        <v>0.26500000000000001</v>
      </c>
      <c r="W323">
        <v>11.5</v>
      </c>
      <c r="X323">
        <v>4.5999999999999996</v>
      </c>
      <c r="Y323">
        <v>17</v>
      </c>
    </row>
    <row r="324" spans="1:25" ht="60" customHeight="1" x14ac:dyDescent="0.25">
      <c r="A324"/>
      <c r="B324" t="s">
        <v>3</v>
      </c>
      <c r="C324" t="s">
        <v>17</v>
      </c>
      <c r="D324" t="s">
        <v>1004</v>
      </c>
      <c r="E324" t="s">
        <v>3242</v>
      </c>
      <c r="F324" t="s">
        <v>1043</v>
      </c>
      <c r="G324" t="s">
        <v>1005</v>
      </c>
      <c r="H324" s="11">
        <v>47.78</v>
      </c>
      <c r="I324" s="10">
        <f>H324*(1-IFERROR(VLOOKUP(G324,Rabat!$C$9:$D$43,2,0),0))</f>
        <v>47.78</v>
      </c>
      <c r="J324" t="s">
        <v>1816</v>
      </c>
      <c r="K324" t="s">
        <v>532</v>
      </c>
      <c r="L324" t="s">
        <v>1813</v>
      </c>
      <c r="M324">
        <v>30</v>
      </c>
      <c r="N324">
        <v>1140</v>
      </c>
      <c r="O324" t="s">
        <v>1818</v>
      </c>
      <c r="P324" s="12" t="str">
        <f>HYPERLINK("https://b2b.kobi.pl/pl/product/10009,naswietlaczz-czujnikiem-ruchu-led-mhc-20w-6500k-ip44-czarny-led2b-red?currency=PLN")</f>
        <v>https://b2b.kobi.pl/pl/product/10009,naswietlaczz-czujnikiem-ruchu-led-mhc-20w-6500k-ip44-czarny-led2b-red?currency=PLN</v>
      </c>
      <c r="Q324" s="12" t="str">
        <f>HYPERLINK("https://eprel.ec.europa.eu/qr/1988379")</f>
        <v>https://eprel.ec.europa.eu/qr/1988379</v>
      </c>
      <c r="R324"/>
      <c r="S324" t="s">
        <v>2573</v>
      </c>
      <c r="T324">
        <v>0.18</v>
      </c>
      <c r="U324">
        <v>0.217</v>
      </c>
      <c r="V324">
        <v>0.26500000000000001</v>
      </c>
      <c r="W324">
        <v>11.5</v>
      </c>
      <c r="X324">
        <v>4.5999999999999996</v>
      </c>
      <c r="Y324">
        <v>17</v>
      </c>
    </row>
    <row r="325" spans="1:25" ht="60" customHeight="1" x14ac:dyDescent="0.25">
      <c r="A325"/>
      <c r="B325" t="s">
        <v>3</v>
      </c>
      <c r="C325" t="s">
        <v>17</v>
      </c>
      <c r="D325" t="s">
        <v>1004</v>
      </c>
      <c r="E325" t="s">
        <v>2686</v>
      </c>
      <c r="F325" t="s">
        <v>2687</v>
      </c>
      <c r="G325" t="s">
        <v>1005</v>
      </c>
      <c r="H325" s="11">
        <v>54.44</v>
      </c>
      <c r="I325" s="10">
        <f>H325*(1-IFERROR(VLOOKUP(G325,Rabat!$C$9:$D$43,2,0),0))</f>
        <v>54.44</v>
      </c>
      <c r="J325" t="s">
        <v>1816</v>
      </c>
      <c r="K325" t="s">
        <v>2716</v>
      </c>
      <c r="L325" t="s">
        <v>1813</v>
      </c>
      <c r="M325">
        <v>30</v>
      </c>
      <c r="N325">
        <v>690</v>
      </c>
      <c r="O325" t="s">
        <v>1818</v>
      </c>
      <c r="P325" s="12" t="str">
        <f>HYPERLINK("https://b2b.kobi.pl/pl/product/10012,naswietlacz-z-czujnikiem-ruchu-led-mhc-30w-4000k-ip44-czarny-led2b-red?currency=PLN")</f>
        <v>https://b2b.kobi.pl/pl/product/10012,naswietlacz-z-czujnikiem-ruchu-led-mhc-30w-4000k-ip44-czarny-led2b-red?currency=PLN</v>
      </c>
      <c r="Q325" s="12" t="str">
        <f>HYPERLINK("https://eprel.ec.europa.eu/qr/1988394")</f>
        <v>https://eprel.ec.europa.eu/qr/1988394</v>
      </c>
      <c r="R325"/>
      <c r="S325" t="s">
        <v>2573</v>
      </c>
      <c r="T325">
        <v>0.18</v>
      </c>
      <c r="U325">
        <v>0.218</v>
      </c>
      <c r="V325">
        <v>0.35399999999999998</v>
      </c>
      <c r="W325">
        <v>14.5</v>
      </c>
      <c r="X325">
        <v>4.5999999999999996</v>
      </c>
      <c r="Y325">
        <v>19</v>
      </c>
    </row>
    <row r="326" spans="1:25" ht="60" customHeight="1" x14ac:dyDescent="0.25">
      <c r="A326"/>
      <c r="B326" t="s">
        <v>3</v>
      </c>
      <c r="C326" t="s">
        <v>17</v>
      </c>
      <c r="D326" t="s">
        <v>1004</v>
      </c>
      <c r="E326" t="s">
        <v>3565</v>
      </c>
      <c r="F326" t="s">
        <v>1045</v>
      </c>
      <c r="G326" t="s">
        <v>1005</v>
      </c>
      <c r="H326" s="11">
        <v>54.44</v>
      </c>
      <c r="I326" s="10">
        <f>H326*(1-IFERROR(VLOOKUP(G326,Rabat!$C$9:$D$43,2,0),0))</f>
        <v>54.44</v>
      </c>
      <c r="J326" t="s">
        <v>1816</v>
      </c>
      <c r="K326" t="s">
        <v>533</v>
      </c>
      <c r="L326" t="s">
        <v>1813</v>
      </c>
      <c r="M326">
        <v>30</v>
      </c>
      <c r="N326">
        <v>690</v>
      </c>
      <c r="O326" t="s">
        <v>1818</v>
      </c>
      <c r="P326" s="12" t="str">
        <f>HYPERLINK("https://b2b.kobi.pl/pl/product/10014,naswietlacz-z-czujnikiem-ruchu-led-mhc-30w-6500k-ip44-czarny-led2b-red?currency=PLN")</f>
        <v>https://b2b.kobi.pl/pl/product/10014,naswietlacz-z-czujnikiem-ruchu-led-mhc-30w-6500k-ip44-czarny-led2b-red?currency=PLN</v>
      </c>
      <c r="Q326" s="12" t="str">
        <f>HYPERLINK("https://eprel.ec.europa.eu/qr/1988404")</f>
        <v>https://eprel.ec.europa.eu/qr/1988404</v>
      </c>
      <c r="R326"/>
      <c r="S326" t="s">
        <v>2573</v>
      </c>
      <c r="T326">
        <v>0.18</v>
      </c>
      <c r="U326">
        <v>0.218</v>
      </c>
      <c r="V326">
        <v>0.35399999999999998</v>
      </c>
      <c r="W326">
        <v>14.5</v>
      </c>
      <c r="X326">
        <v>4.5999999999999996</v>
      </c>
      <c r="Y326">
        <v>19</v>
      </c>
    </row>
    <row r="327" spans="1:25" ht="60" customHeight="1" x14ac:dyDescent="0.25">
      <c r="A327"/>
      <c r="B327" t="s">
        <v>3</v>
      </c>
      <c r="C327" t="s">
        <v>17</v>
      </c>
      <c r="D327" t="s">
        <v>1004</v>
      </c>
      <c r="E327" t="s">
        <v>2688</v>
      </c>
      <c r="F327" t="s">
        <v>2466</v>
      </c>
      <c r="G327" t="s">
        <v>1005</v>
      </c>
      <c r="H327" s="11">
        <v>67.78</v>
      </c>
      <c r="I327" s="10">
        <f>H327*(1-IFERROR(VLOOKUP(G327,Rabat!$C$9:$D$43,2,0),0))</f>
        <v>67.78</v>
      </c>
      <c r="J327" t="s">
        <v>1816</v>
      </c>
      <c r="K327" t="s">
        <v>2469</v>
      </c>
      <c r="L327" t="s">
        <v>1813</v>
      </c>
      <c r="M327">
        <v>20</v>
      </c>
      <c r="N327">
        <v>680</v>
      </c>
      <c r="O327" t="s">
        <v>1818</v>
      </c>
      <c r="P327" s="12" t="str">
        <f>HYPERLINK("https://b2b.kobi.pl/pl/product/10017,naswietlaczz-czujnikiem-ruchu-led-mhc-50w-4000k-ip44-czarny-led2b-red?currency=PLN")</f>
        <v>https://b2b.kobi.pl/pl/product/10017,naswietlaczz-czujnikiem-ruchu-led-mhc-50w-4000k-ip44-czarny-led2b-red?currency=PLN</v>
      </c>
      <c r="Q327" s="12" t="str">
        <f>HYPERLINK("https://eprel.ec.europa.eu/qr/1988420")</f>
        <v>https://eprel.ec.europa.eu/qr/1988420</v>
      </c>
      <c r="R327"/>
      <c r="S327" t="s">
        <v>2573</v>
      </c>
      <c r="T327">
        <v>0.36</v>
      </c>
      <c r="U327">
        <v>0.42499999999999999</v>
      </c>
      <c r="V327">
        <v>0.435</v>
      </c>
      <c r="W327">
        <v>18.5</v>
      </c>
      <c r="X327">
        <v>4.5999999999999996</v>
      </c>
      <c r="Y327">
        <v>21.5</v>
      </c>
    </row>
    <row r="328" spans="1:25" ht="60" customHeight="1" x14ac:dyDescent="0.25">
      <c r="A328"/>
      <c r="B328" t="s">
        <v>3</v>
      </c>
      <c r="C328" t="s">
        <v>17</v>
      </c>
      <c r="D328" t="s">
        <v>575</v>
      </c>
      <c r="E328" t="s">
        <v>3785</v>
      </c>
      <c r="F328" t="s">
        <v>3786</v>
      </c>
      <c r="G328" t="s">
        <v>1005</v>
      </c>
      <c r="H328" s="11">
        <v>219.98</v>
      </c>
      <c r="I328" s="10">
        <f>H328*(1-IFERROR(VLOOKUP(G328,Rabat!$C$9:$D$43,2,0),0))</f>
        <v>219.98</v>
      </c>
      <c r="J328" t="s">
        <v>1815</v>
      </c>
      <c r="K328" t="s">
        <v>4121</v>
      </c>
      <c r="L328" t="s">
        <v>1813</v>
      </c>
      <c r="M328">
        <v>10</v>
      </c>
      <c r="N328"/>
      <c r="O328" t="s">
        <v>1814</v>
      </c>
      <c r="P328" s="12" t="str">
        <f>HYPERLINK("https://b2b.kobi.pl/pl/product/12772,naswietlacz-led-ulsan-100w-4000k-ip65-kobi-pro?currency=PLN")</f>
        <v>https://b2b.kobi.pl/pl/product/12772,naswietlacz-led-ulsan-100w-4000k-ip65-kobi-pro?currency=PLN</v>
      </c>
      <c r="Q328" s="12" t="str">
        <f>HYPERLINK("https://eprel.ec.europa.eu/qr/2771966")</f>
        <v>https://eprel.ec.europa.eu/qr/2771966</v>
      </c>
      <c r="R328"/>
      <c r="S328" t="s">
        <v>2573</v>
      </c>
      <c r="T328">
        <v>0.78</v>
      </c>
      <c r="U328">
        <v>0.91800000000000004</v>
      </c>
      <c r="V328">
        <v>1.03</v>
      </c>
      <c r="W328">
        <v>23</v>
      </c>
      <c r="X328">
        <v>3.4</v>
      </c>
      <c r="Y328">
        <v>26.7</v>
      </c>
    </row>
    <row r="329" spans="1:25" ht="60" customHeight="1" x14ac:dyDescent="0.25">
      <c r="A329"/>
      <c r="B329" t="s">
        <v>3</v>
      </c>
      <c r="C329" t="s">
        <v>17</v>
      </c>
      <c r="D329" t="s">
        <v>1004</v>
      </c>
      <c r="E329" t="s">
        <v>2689</v>
      </c>
      <c r="F329" t="s">
        <v>2690</v>
      </c>
      <c r="G329" t="s">
        <v>1005</v>
      </c>
      <c r="H329" s="11">
        <v>67.78</v>
      </c>
      <c r="I329" s="10">
        <f>H329*(1-IFERROR(VLOOKUP(G329,Rabat!$C$9:$D$43,2,0),0))</f>
        <v>67.78</v>
      </c>
      <c r="J329" t="s">
        <v>1816</v>
      </c>
      <c r="K329" t="s">
        <v>2717</v>
      </c>
      <c r="L329" t="s">
        <v>1813</v>
      </c>
      <c r="M329">
        <v>20</v>
      </c>
      <c r="N329">
        <v>680</v>
      </c>
      <c r="O329" t="s">
        <v>1818</v>
      </c>
      <c r="P329" s="12" t="str">
        <f>HYPERLINK("https://b2b.kobi.pl/pl/product/10019,naswietlacz-z-czujnikiem-ruchu-led-mhc-50w-6500k-ip44-czarny-led2b-red?currency=PLN")</f>
        <v>https://b2b.kobi.pl/pl/product/10019,naswietlacz-z-czujnikiem-ruchu-led-mhc-50w-6500k-ip44-czarny-led2b-red?currency=PLN</v>
      </c>
      <c r="Q329" s="12" t="str">
        <f>HYPERLINK("https://eprel.ec.europa.eu/qr/1988430")</f>
        <v>https://eprel.ec.europa.eu/qr/1988430</v>
      </c>
      <c r="R329"/>
      <c r="S329" t="s">
        <v>2573</v>
      </c>
      <c r="T329">
        <v>0.36</v>
      </c>
      <c r="U329">
        <v>0.42499999999999999</v>
      </c>
      <c r="V329">
        <v>0.435</v>
      </c>
      <c r="W329">
        <v>18.5</v>
      </c>
      <c r="X329">
        <v>4.5999999999999996</v>
      </c>
      <c r="Y329">
        <v>21.5</v>
      </c>
    </row>
    <row r="330" spans="1:25" ht="60" customHeight="1" x14ac:dyDescent="0.25">
      <c r="A330"/>
      <c r="B330" t="s">
        <v>3</v>
      </c>
      <c r="C330" t="s">
        <v>17</v>
      </c>
      <c r="D330" t="s">
        <v>575</v>
      </c>
      <c r="E330" t="s">
        <v>3787</v>
      </c>
      <c r="F330" t="s">
        <v>3788</v>
      </c>
      <c r="G330" t="s">
        <v>1005</v>
      </c>
      <c r="H330" s="11">
        <v>308.89</v>
      </c>
      <c r="I330" s="10">
        <f>H330*(1-IFERROR(VLOOKUP(G330,Rabat!$C$9:$D$43,2,0),0))</f>
        <v>308.89</v>
      </c>
      <c r="J330" t="s">
        <v>1815</v>
      </c>
      <c r="K330" t="s">
        <v>4122</v>
      </c>
      <c r="L330" t="s">
        <v>1813</v>
      </c>
      <c r="M330">
        <v>6</v>
      </c>
      <c r="N330"/>
      <c r="O330" t="s">
        <v>1814</v>
      </c>
      <c r="P330" s="12" t="str">
        <f>HYPERLINK("https://b2b.kobi.pl/pl/product/12773,naswietlacz-led-ulsan-150w-4000k-ip65-kobi-pro?currency=PLN")</f>
        <v>https://b2b.kobi.pl/pl/product/12773,naswietlacz-led-ulsan-150w-4000k-ip65-kobi-pro?currency=PLN</v>
      </c>
      <c r="Q330" s="12" t="str">
        <f>HYPERLINK("https://eprel.ec.europa.eu/qr/2772066")</f>
        <v>https://eprel.ec.europa.eu/qr/2772066</v>
      </c>
      <c r="R330"/>
      <c r="S330" t="s">
        <v>2573</v>
      </c>
      <c r="T330">
        <v>1.23</v>
      </c>
      <c r="U330">
        <v>1.45</v>
      </c>
      <c r="V330">
        <v>1.57</v>
      </c>
      <c r="W330">
        <v>27</v>
      </c>
      <c r="X330">
        <v>3.5</v>
      </c>
      <c r="Y330">
        <v>31.5</v>
      </c>
    </row>
    <row r="331" spans="1:25" ht="60" customHeight="1" x14ac:dyDescent="0.25">
      <c r="A331"/>
      <c r="B331" t="s">
        <v>3</v>
      </c>
      <c r="C331" t="s">
        <v>17</v>
      </c>
      <c r="D331" t="s">
        <v>575</v>
      </c>
      <c r="E331" t="s">
        <v>3789</v>
      </c>
      <c r="F331" t="s">
        <v>3790</v>
      </c>
      <c r="G331" t="s">
        <v>1005</v>
      </c>
      <c r="H331" s="11">
        <v>375.56</v>
      </c>
      <c r="I331" s="10">
        <f>H331*(1-IFERROR(VLOOKUP(G331,Rabat!$C$9:$D$43,2,0),0))</f>
        <v>375.56</v>
      </c>
      <c r="J331" t="s">
        <v>1815</v>
      </c>
      <c r="K331" t="s">
        <v>4123</v>
      </c>
      <c r="L331" t="s">
        <v>1813</v>
      </c>
      <c r="M331">
        <v>5</v>
      </c>
      <c r="N331"/>
      <c r="O331" t="s">
        <v>1814</v>
      </c>
      <c r="P331" s="12" t="str">
        <f>HYPERLINK("https://b2b.kobi.pl/pl/product/12774,naswietlacz-led-ulsan-200w-4000k-ip65-kobi-pro?currency=PLN")</f>
        <v>https://b2b.kobi.pl/pl/product/12774,naswietlacz-led-ulsan-200w-4000k-ip65-kobi-pro?currency=PLN</v>
      </c>
      <c r="Q331" s="12" t="str">
        <f>HYPERLINK("https://eprel.ec.europa.eu/qr/2772086")</f>
        <v>https://eprel.ec.europa.eu/qr/2772086</v>
      </c>
      <c r="R331"/>
      <c r="S331" t="s">
        <v>2573</v>
      </c>
      <c r="T331">
        <v>1.64</v>
      </c>
      <c r="U331">
        <v>1.9419999999999999</v>
      </c>
      <c r="V331">
        <v>2.09</v>
      </c>
      <c r="W331">
        <v>30.7</v>
      </c>
      <c r="X331">
        <v>3.5</v>
      </c>
      <c r="Y331">
        <v>35.299999999999997</v>
      </c>
    </row>
    <row r="332" spans="1:25" ht="60" customHeight="1" x14ac:dyDescent="0.25">
      <c r="A332"/>
      <c r="B332" t="s">
        <v>3</v>
      </c>
      <c r="C332" t="s">
        <v>17</v>
      </c>
      <c r="D332" t="s">
        <v>575</v>
      </c>
      <c r="E332" t="s">
        <v>3791</v>
      </c>
      <c r="F332" t="s">
        <v>3792</v>
      </c>
      <c r="G332" t="s">
        <v>1005</v>
      </c>
      <c r="H332" s="11">
        <v>124.42</v>
      </c>
      <c r="I332" s="10">
        <f>H332*(1-IFERROR(VLOOKUP(G332,Rabat!$C$9:$D$43,2,0),0))</f>
        <v>124.42</v>
      </c>
      <c r="J332" t="s">
        <v>1815</v>
      </c>
      <c r="K332" t="s">
        <v>4124</v>
      </c>
      <c r="L332" t="s">
        <v>1813</v>
      </c>
      <c r="M332">
        <v>20</v>
      </c>
      <c r="N332"/>
      <c r="O332" t="s">
        <v>1814</v>
      </c>
      <c r="P332" s="12" t="str">
        <f>HYPERLINK("https://b2b.kobi.pl/pl/product/12771,naswietlacz-led-ulsan-50w-4000k-ip65-kobi-pro?currency=PLN")</f>
        <v>https://b2b.kobi.pl/pl/product/12771,naswietlacz-led-ulsan-50w-4000k-ip65-kobi-pro?currency=PLN</v>
      </c>
      <c r="Q332" s="12" t="str">
        <f>HYPERLINK("https://eprel.ec.europa.eu/qr/2771959")</f>
        <v>https://eprel.ec.europa.eu/qr/2771959</v>
      </c>
      <c r="R332"/>
      <c r="S332" t="s">
        <v>2573</v>
      </c>
      <c r="T332">
        <v>0.4</v>
      </c>
      <c r="U332">
        <v>0.46800000000000003</v>
      </c>
      <c r="V332">
        <v>0.53</v>
      </c>
      <c r="W332">
        <v>16.8</v>
      </c>
      <c r="X332">
        <v>3.3</v>
      </c>
      <c r="Y332">
        <v>19.8</v>
      </c>
    </row>
    <row r="333" spans="1:25" ht="60" customHeight="1" x14ac:dyDescent="0.25">
      <c r="A333"/>
      <c r="B333" t="s">
        <v>3</v>
      </c>
      <c r="C333" t="s">
        <v>17</v>
      </c>
      <c r="D333" t="s">
        <v>618</v>
      </c>
      <c r="E333" t="s">
        <v>3793</v>
      </c>
      <c r="F333" t="s">
        <v>3794</v>
      </c>
      <c r="G333" t="s">
        <v>578</v>
      </c>
      <c r="H333" s="11">
        <v>59.78</v>
      </c>
      <c r="I333" s="10">
        <f>H333*(1-IFERROR(VLOOKUP(G333,Rabat!$C$9:$D$43,2,0),0))</f>
        <v>59.78</v>
      </c>
      <c r="J333" t="s">
        <v>1815</v>
      </c>
      <c r="K333" t="s">
        <v>4125</v>
      </c>
      <c r="L333" t="s">
        <v>1813</v>
      </c>
      <c r="M333">
        <v>20</v>
      </c>
      <c r="N333"/>
      <c r="O333" t="s">
        <v>1818</v>
      </c>
      <c r="P333" s="12" t="str">
        <f>HYPERLINK("https://b2b.kobi.pl/pl/product/13416,naswietlacz-solar-led-ncs-g2-10w-3cct-ip54-kobi?currency=PLN")</f>
        <v>https://b2b.kobi.pl/pl/product/13416,naswietlacz-solar-led-ncs-g2-10w-3cct-ip54-kobi?currency=PLN</v>
      </c>
      <c r="Q333" t="s">
        <v>14</v>
      </c>
      <c r="R333" t="s">
        <v>4101</v>
      </c>
      <c r="S333" t="s">
        <v>2609</v>
      </c>
      <c r="T333">
        <v>0.24</v>
      </c>
      <c r="U333">
        <v>0.28000000000000003</v>
      </c>
      <c r="V333">
        <v>0.33</v>
      </c>
      <c r="W333">
        <v>6</v>
      </c>
      <c r="X333">
        <v>15</v>
      </c>
      <c r="Y333">
        <v>12</v>
      </c>
    </row>
    <row r="334" spans="1:25" ht="60" customHeight="1" x14ac:dyDescent="0.25">
      <c r="A334"/>
      <c r="B334" t="s">
        <v>3</v>
      </c>
      <c r="C334" t="s">
        <v>17</v>
      </c>
      <c r="D334" t="s">
        <v>618</v>
      </c>
      <c r="E334" t="s">
        <v>3795</v>
      </c>
      <c r="F334" t="s">
        <v>3796</v>
      </c>
      <c r="G334" t="s">
        <v>578</v>
      </c>
      <c r="H334" s="11">
        <v>79.78</v>
      </c>
      <c r="I334" s="10">
        <f>H334*(1-IFERROR(VLOOKUP(G334,Rabat!$C$9:$D$43,2,0),0))</f>
        <v>79.78</v>
      </c>
      <c r="J334" t="s">
        <v>1815</v>
      </c>
      <c r="K334" t="s">
        <v>4126</v>
      </c>
      <c r="L334" t="s">
        <v>1813</v>
      </c>
      <c r="M334">
        <v>20</v>
      </c>
      <c r="N334"/>
      <c r="O334" t="s">
        <v>1818</v>
      </c>
      <c r="P334" s="12" t="str">
        <f>HYPERLINK("https://b2b.kobi.pl/pl/product/13417,naswietlacz-solar-led-ncs-g2-20w-3cct-ip54-kobi?currency=PLN")</f>
        <v>https://b2b.kobi.pl/pl/product/13417,naswietlacz-solar-led-ncs-g2-20w-3cct-ip54-kobi?currency=PLN</v>
      </c>
      <c r="Q334" t="s">
        <v>14</v>
      </c>
      <c r="R334" t="s">
        <v>4101</v>
      </c>
      <c r="S334" t="s">
        <v>2609</v>
      </c>
      <c r="T334">
        <v>0.31</v>
      </c>
      <c r="U334">
        <v>0.37</v>
      </c>
      <c r="V334">
        <v>0.43</v>
      </c>
      <c r="W334">
        <v>6</v>
      </c>
      <c r="X334">
        <v>16</v>
      </c>
      <c r="Y334">
        <v>12</v>
      </c>
    </row>
    <row r="335" spans="1:25" ht="60" customHeight="1" x14ac:dyDescent="0.25">
      <c r="A335"/>
      <c r="B335" t="s">
        <v>3</v>
      </c>
      <c r="C335" t="s">
        <v>17</v>
      </c>
      <c r="D335" t="s">
        <v>618</v>
      </c>
      <c r="E335" t="s">
        <v>3797</v>
      </c>
      <c r="F335" t="s">
        <v>3798</v>
      </c>
      <c r="G335" t="s">
        <v>578</v>
      </c>
      <c r="H335" s="11">
        <v>128.66999999999999</v>
      </c>
      <c r="I335" s="10">
        <f>H335*(1-IFERROR(VLOOKUP(G335,Rabat!$C$9:$D$43,2,0),0))</f>
        <v>128.66999999999999</v>
      </c>
      <c r="J335" t="s">
        <v>1815</v>
      </c>
      <c r="K335" t="s">
        <v>4127</v>
      </c>
      <c r="L335" t="s">
        <v>1813</v>
      </c>
      <c r="M335">
        <v>20</v>
      </c>
      <c r="N335"/>
      <c r="O335" t="s">
        <v>1818</v>
      </c>
      <c r="P335" s="12" t="str">
        <f>HYPERLINK("https://b2b.kobi.pl/pl/product/13418,naswietlacz-solar-led-ncs-g2-30w-3cct-ip54-kobi?currency=PLN")</f>
        <v>https://b2b.kobi.pl/pl/product/13418,naswietlacz-solar-led-ncs-g2-30w-3cct-ip54-kobi?currency=PLN</v>
      </c>
      <c r="Q335" t="s">
        <v>14</v>
      </c>
      <c r="R335" t="s">
        <v>4101</v>
      </c>
      <c r="S335" t="s">
        <v>2609</v>
      </c>
      <c r="T335">
        <v>0.61</v>
      </c>
      <c r="U335">
        <v>0.72</v>
      </c>
      <c r="V335">
        <v>0.79</v>
      </c>
      <c r="W335">
        <v>6</v>
      </c>
      <c r="X335">
        <v>23</v>
      </c>
      <c r="Y335">
        <v>15</v>
      </c>
    </row>
    <row r="336" spans="1:25" ht="60" customHeight="1" x14ac:dyDescent="0.25">
      <c r="A336"/>
      <c r="B336" t="s">
        <v>3</v>
      </c>
      <c r="C336" t="s">
        <v>17</v>
      </c>
      <c r="D336" t="s">
        <v>606</v>
      </c>
      <c r="E336" t="s">
        <v>3799</v>
      </c>
      <c r="F336" t="s">
        <v>3800</v>
      </c>
      <c r="G336" t="s">
        <v>578</v>
      </c>
      <c r="H336" s="11">
        <v>300</v>
      </c>
      <c r="I336" s="10">
        <f>H336*(1-IFERROR(VLOOKUP(G336,Rabat!$C$9:$D$43,2,0),0))</f>
        <v>300</v>
      </c>
      <c r="J336" t="s">
        <v>1815</v>
      </c>
      <c r="K336" t="s">
        <v>4128</v>
      </c>
      <c r="L336" t="s">
        <v>1813</v>
      </c>
      <c r="M336">
        <v>6</v>
      </c>
      <c r="N336"/>
      <c r="O336" t="s">
        <v>1819</v>
      </c>
      <c r="P336" s="12" t="str">
        <f>HYPERLINK("https://b2b.kobi.pl/pl/product/13419,naswietlacz-solar-led-phoenix-g2-15w-2cct-ip65-kobi-premium?currency=PLN")</f>
        <v>https://b2b.kobi.pl/pl/product/13419,naswietlacz-solar-led-phoenix-g2-15w-2cct-ip65-kobi-premium?currency=PLN</v>
      </c>
      <c r="Q336" t="s">
        <v>14</v>
      </c>
      <c r="R336" t="s">
        <v>4101</v>
      </c>
      <c r="S336" t="s">
        <v>2609</v>
      </c>
      <c r="T336">
        <v>0.88</v>
      </c>
      <c r="U336">
        <v>1.04</v>
      </c>
      <c r="V336">
        <v>1.38</v>
      </c>
      <c r="W336">
        <v>30.5</v>
      </c>
      <c r="X336">
        <v>7.5</v>
      </c>
      <c r="Y336">
        <v>24.5</v>
      </c>
    </row>
    <row r="337" spans="1:25" ht="60" customHeight="1" x14ac:dyDescent="0.25">
      <c r="A337"/>
      <c r="B337" t="s">
        <v>3</v>
      </c>
      <c r="C337" t="s">
        <v>17</v>
      </c>
      <c r="D337" t="s">
        <v>575</v>
      </c>
      <c r="E337" t="s">
        <v>1022</v>
      </c>
      <c r="F337" t="s">
        <v>1023</v>
      </c>
      <c r="G337" t="s">
        <v>1005</v>
      </c>
      <c r="H337" s="11">
        <v>375.56</v>
      </c>
      <c r="I337" s="10">
        <f>H337*(1-IFERROR(VLOOKUP(G337,Rabat!$C$9:$D$43,2,0),0))</f>
        <v>375.56</v>
      </c>
      <c r="J337" t="s">
        <v>1815</v>
      </c>
      <c r="K337" t="s">
        <v>203</v>
      </c>
      <c r="L337" t="s">
        <v>1813</v>
      </c>
      <c r="M337">
        <v>4</v>
      </c>
      <c r="N337">
        <v>128</v>
      </c>
      <c r="O337" t="s">
        <v>1814</v>
      </c>
      <c r="P337" s="12" t="str">
        <f>HYPERLINK("https://b2b.kobi.pl/pl/product/10191,naswietlacz-led-kobi-seul-150w-4000k-ip65-kobi-pro?currency=PLN")</f>
        <v>https://b2b.kobi.pl/pl/product/10191,naswietlacz-led-kobi-seul-150w-4000k-ip65-kobi-pro?currency=PLN</v>
      </c>
      <c r="Q337" s="12" t="str">
        <f>HYPERLINK("https://eprel.ec.europa.eu/qr/1988707")</f>
        <v>https://eprel.ec.europa.eu/qr/1988707</v>
      </c>
      <c r="R337" t="s">
        <v>1945</v>
      </c>
      <c r="S337" t="s">
        <v>2573</v>
      </c>
      <c r="T337">
        <v>2.4500000000000002</v>
      </c>
      <c r="U337">
        <v>2.9</v>
      </c>
      <c r="V337">
        <v>3.4</v>
      </c>
      <c r="W337">
        <v>30</v>
      </c>
      <c r="X337">
        <v>6.2</v>
      </c>
      <c r="Y337">
        <v>41.2</v>
      </c>
    </row>
    <row r="338" spans="1:25" ht="60" customHeight="1" x14ac:dyDescent="0.25">
      <c r="A338"/>
      <c r="B338" t="s">
        <v>3</v>
      </c>
      <c r="C338" t="s">
        <v>17</v>
      </c>
      <c r="D338" t="s">
        <v>606</v>
      </c>
      <c r="E338" t="s">
        <v>3801</v>
      </c>
      <c r="F338" t="s">
        <v>3802</v>
      </c>
      <c r="G338" t="s">
        <v>3803</v>
      </c>
      <c r="H338" s="11">
        <v>93.33</v>
      </c>
      <c r="I338" s="10">
        <f>H338*(1-IFERROR(VLOOKUP(G338,Rabat!$C$9:$D$43,2,0),0))</f>
        <v>93.33</v>
      </c>
      <c r="J338" t="s">
        <v>1815</v>
      </c>
      <c r="K338" t="s">
        <v>4129</v>
      </c>
      <c r="L338" t="s">
        <v>1813</v>
      </c>
      <c r="M338">
        <v>20</v>
      </c>
      <c r="N338"/>
      <c r="O338" t="s">
        <v>1819</v>
      </c>
      <c r="P338" s="12" t="str">
        <f>HYPERLINK("https://b2b.kobi.pl/pl/product/13492,oprawa-led-multiluxo-50w-4000k-ip65-kobi-premium?currency=PLN")</f>
        <v>https://b2b.kobi.pl/pl/product/13492,oprawa-led-multiluxo-50w-4000k-ip65-kobi-premium?currency=PLN</v>
      </c>
      <c r="Q338" t="s">
        <v>14</v>
      </c>
      <c r="R338" t="s">
        <v>4101</v>
      </c>
      <c r="S338" t="s">
        <v>2573</v>
      </c>
      <c r="T338">
        <v>0.25</v>
      </c>
      <c r="U338">
        <v>0.28999999999999998</v>
      </c>
      <c r="V338">
        <v>0.7</v>
      </c>
      <c r="W338">
        <v>26.5</v>
      </c>
      <c r="X338">
        <v>11.5</v>
      </c>
      <c r="Y338">
        <v>6</v>
      </c>
    </row>
    <row r="339" spans="1:25" ht="60" customHeight="1" x14ac:dyDescent="0.25">
      <c r="A339"/>
      <c r="B339" t="s">
        <v>3</v>
      </c>
      <c r="C339" t="s">
        <v>17</v>
      </c>
      <c r="D339" t="s">
        <v>606</v>
      </c>
      <c r="E339" t="s">
        <v>3804</v>
      </c>
      <c r="F339" t="s">
        <v>3805</v>
      </c>
      <c r="G339" t="s">
        <v>3803</v>
      </c>
      <c r="H339" s="11">
        <v>115.56</v>
      </c>
      <c r="I339" s="10">
        <f>H339*(1-IFERROR(VLOOKUP(G339,Rabat!$C$9:$D$43,2,0),0))</f>
        <v>115.56</v>
      </c>
      <c r="J339" t="s">
        <v>1815</v>
      </c>
      <c r="K339" t="s">
        <v>4130</v>
      </c>
      <c r="L339" t="s">
        <v>1813</v>
      </c>
      <c r="M339">
        <v>10</v>
      </c>
      <c r="N339"/>
      <c r="O339" t="s">
        <v>1819</v>
      </c>
      <c r="P339" s="12" t="str">
        <f>HYPERLINK("https://b2b.kobi.pl/pl/product/13493,oprawa-led-multiluxo-100w-4000k-ip65-kobi-premium?currency=PLN")</f>
        <v>https://b2b.kobi.pl/pl/product/13493,oprawa-led-multiluxo-100w-4000k-ip65-kobi-premium?currency=PLN</v>
      </c>
      <c r="Q339" t="s">
        <v>14</v>
      </c>
      <c r="R339" t="s">
        <v>4101</v>
      </c>
      <c r="S339" t="s">
        <v>2573</v>
      </c>
      <c r="T339">
        <v>0.34</v>
      </c>
      <c r="U339">
        <v>0.4</v>
      </c>
      <c r="V339">
        <v>0.85</v>
      </c>
      <c r="W339">
        <v>30.5</v>
      </c>
      <c r="X339">
        <v>15</v>
      </c>
      <c r="Y339">
        <v>5.5</v>
      </c>
    </row>
    <row r="340" spans="1:25" ht="60" customHeight="1" x14ac:dyDescent="0.25">
      <c r="A340"/>
      <c r="B340" t="s">
        <v>3</v>
      </c>
      <c r="C340" t="s">
        <v>17</v>
      </c>
      <c r="D340" t="s">
        <v>575</v>
      </c>
      <c r="E340" t="s">
        <v>1080</v>
      </c>
      <c r="F340" t="s">
        <v>1081</v>
      </c>
      <c r="G340" t="s">
        <v>1005</v>
      </c>
      <c r="H340" s="11">
        <v>1042.22</v>
      </c>
      <c r="I340" s="10">
        <f>H340*(1-IFERROR(VLOOKUP(G340,Rabat!$C$9:$D$43,2,0),0))</f>
        <v>1042.22</v>
      </c>
      <c r="J340" t="s">
        <v>1815</v>
      </c>
      <c r="K340" t="s">
        <v>1856</v>
      </c>
      <c r="L340" t="s">
        <v>1813</v>
      </c>
      <c r="M340">
        <v>3</v>
      </c>
      <c r="N340">
        <v>84</v>
      </c>
      <c r="O340" t="s">
        <v>1814</v>
      </c>
      <c r="P340" s="12" t="str">
        <f>HYPERLINK("https://b2b.kobi.pl/pl/product/10203,naswietlacz-led-us-300w-5000k-ip65-60-dim-kobi-pro?currency=PLN")</f>
        <v>https://b2b.kobi.pl/pl/product/10203,naswietlacz-led-us-300w-5000k-ip65-60-dim-kobi-pro?currency=PLN</v>
      </c>
      <c r="Q340" s="12" t="str">
        <f>HYPERLINK("https://eprel.ec.europa.eu/qr/1989035")</f>
        <v>https://eprel.ec.europa.eu/qr/1989035</v>
      </c>
      <c r="R340"/>
      <c r="S340" t="s">
        <v>2573</v>
      </c>
      <c r="T340">
        <v>3.55</v>
      </c>
      <c r="U340">
        <v>4.2</v>
      </c>
      <c r="V340">
        <v>5.0999999999999996</v>
      </c>
      <c r="W340">
        <v>35.5</v>
      </c>
      <c r="X340">
        <v>6.5</v>
      </c>
      <c r="Y340">
        <v>48.2</v>
      </c>
    </row>
    <row r="341" spans="1:25" ht="60" customHeight="1" x14ac:dyDescent="0.25">
      <c r="A341"/>
      <c r="B341" t="s">
        <v>3</v>
      </c>
      <c r="C341" t="s">
        <v>17</v>
      </c>
      <c r="D341" t="s">
        <v>606</v>
      </c>
      <c r="E341" t="s">
        <v>3806</v>
      </c>
      <c r="F341" t="s">
        <v>3807</v>
      </c>
      <c r="G341" t="s">
        <v>3803</v>
      </c>
      <c r="H341" s="11">
        <v>155.33000000000001</v>
      </c>
      <c r="I341" s="10">
        <f>H341*(1-IFERROR(VLOOKUP(G341,Rabat!$C$9:$D$43,2,0),0))</f>
        <v>155.33000000000001</v>
      </c>
      <c r="J341" t="s">
        <v>1815</v>
      </c>
      <c r="K341" t="s">
        <v>4131</v>
      </c>
      <c r="L341" t="s">
        <v>1813</v>
      </c>
      <c r="M341">
        <v>10</v>
      </c>
      <c r="N341"/>
      <c r="O341" t="s">
        <v>1819</v>
      </c>
      <c r="P341" s="12" t="str">
        <f>HYPERLINK("https://b2b.kobi.pl/pl/product/13494,oprawa-led-multiluxo-150w-4000k-ip65-kobi-premium?currency=PLN")</f>
        <v>https://b2b.kobi.pl/pl/product/13494,oprawa-led-multiluxo-150w-4000k-ip65-kobi-premium?currency=PLN</v>
      </c>
      <c r="Q341" t="s">
        <v>14</v>
      </c>
      <c r="R341" t="s">
        <v>4101</v>
      </c>
      <c r="S341" t="s">
        <v>2573</v>
      </c>
      <c r="T341">
        <v>0.53</v>
      </c>
      <c r="U341">
        <v>0.63</v>
      </c>
      <c r="V341">
        <v>1.22</v>
      </c>
      <c r="W341">
        <v>36.5</v>
      </c>
      <c r="X341">
        <v>18</v>
      </c>
      <c r="Y341">
        <v>6</v>
      </c>
    </row>
    <row r="342" spans="1:25" ht="60" customHeight="1" x14ac:dyDescent="0.25">
      <c r="A342"/>
      <c r="B342" t="s">
        <v>3</v>
      </c>
      <c r="C342" t="s">
        <v>17</v>
      </c>
      <c r="D342" t="s">
        <v>575</v>
      </c>
      <c r="E342" t="s">
        <v>1082</v>
      </c>
      <c r="F342" t="s">
        <v>1083</v>
      </c>
      <c r="G342" t="s">
        <v>1005</v>
      </c>
      <c r="H342" s="11">
        <v>1042.22</v>
      </c>
      <c r="I342" s="10">
        <f>H342*(1-IFERROR(VLOOKUP(G342,Rabat!$C$9:$D$43,2,0),0))</f>
        <v>1042.22</v>
      </c>
      <c r="J342" t="s">
        <v>1815</v>
      </c>
      <c r="K342" t="s">
        <v>158</v>
      </c>
      <c r="L342" t="s">
        <v>1813</v>
      </c>
      <c r="M342">
        <v>3</v>
      </c>
      <c r="N342">
        <v>99</v>
      </c>
      <c r="O342" t="s">
        <v>1814</v>
      </c>
      <c r="P342" s="12" t="str">
        <f>HYPERLINK("https://b2b.kobi.pl/pl/product/10204,naswietlacz-led-us-300w-5000k-ip65-90-dim-kobi-pro?currency=PLN")</f>
        <v>https://b2b.kobi.pl/pl/product/10204,naswietlacz-led-us-300w-5000k-ip65-90-dim-kobi-pro?currency=PLN</v>
      </c>
      <c r="Q342" s="12" t="str">
        <f>HYPERLINK("https://eprel.ec.europa.eu/qr/1989035")</f>
        <v>https://eprel.ec.europa.eu/qr/1989035</v>
      </c>
      <c r="R342"/>
      <c r="S342" t="s">
        <v>2573</v>
      </c>
      <c r="T342">
        <v>3.55</v>
      </c>
      <c r="U342">
        <v>4.2</v>
      </c>
      <c r="V342">
        <v>5.0999999999999996</v>
      </c>
      <c r="W342">
        <v>35.5</v>
      </c>
      <c r="X342">
        <v>6.5</v>
      </c>
      <c r="Y342">
        <v>48.2</v>
      </c>
    </row>
    <row r="343" spans="1:25" ht="60" customHeight="1" x14ac:dyDescent="0.25">
      <c r="A343"/>
      <c r="B343" t="s">
        <v>3</v>
      </c>
      <c r="C343" t="s">
        <v>17</v>
      </c>
      <c r="D343" t="s">
        <v>606</v>
      </c>
      <c r="E343" t="s">
        <v>3808</v>
      </c>
      <c r="F343" t="s">
        <v>3809</v>
      </c>
      <c r="G343" t="s">
        <v>3803</v>
      </c>
      <c r="H343" s="11">
        <v>204.44</v>
      </c>
      <c r="I343" s="10">
        <f>H343*(1-IFERROR(VLOOKUP(G343,Rabat!$C$9:$D$43,2,0),0))</f>
        <v>204.44</v>
      </c>
      <c r="J343" t="s">
        <v>1815</v>
      </c>
      <c r="K343" t="s">
        <v>4132</v>
      </c>
      <c r="L343" t="s">
        <v>1813</v>
      </c>
      <c r="M343">
        <v>5</v>
      </c>
      <c r="N343"/>
      <c r="O343" t="s">
        <v>1819</v>
      </c>
      <c r="P343" s="12" t="str">
        <f>HYPERLINK("https://b2b.kobi.pl/pl/product/13495,oprawa-led-multiluxo-200w-4000k-ip65-kobi-premium?currency=PLN")</f>
        <v>https://b2b.kobi.pl/pl/product/13495,oprawa-led-multiluxo-200w-4000k-ip65-kobi-premium?currency=PLN</v>
      </c>
      <c r="Q343" t="s">
        <v>14</v>
      </c>
      <c r="R343" t="s">
        <v>4101</v>
      </c>
      <c r="S343" t="s">
        <v>2573</v>
      </c>
      <c r="T343">
        <v>0.73</v>
      </c>
      <c r="U343">
        <v>0.86</v>
      </c>
      <c r="V343">
        <v>1.53</v>
      </c>
      <c r="W343">
        <v>42.5</v>
      </c>
      <c r="X343">
        <v>20</v>
      </c>
      <c r="Y343">
        <v>6</v>
      </c>
    </row>
    <row r="344" spans="1:25" ht="60" customHeight="1" x14ac:dyDescent="0.25">
      <c r="A344"/>
      <c r="B344" t="s">
        <v>3</v>
      </c>
      <c r="C344" t="s">
        <v>17</v>
      </c>
      <c r="D344" t="s">
        <v>575</v>
      </c>
      <c r="E344" t="s">
        <v>1084</v>
      </c>
      <c r="F344" t="s">
        <v>1085</v>
      </c>
      <c r="G344" t="s">
        <v>1005</v>
      </c>
      <c r="H344" s="11">
        <v>3088.89</v>
      </c>
      <c r="I344" s="10">
        <f>H344*(1-IFERROR(VLOOKUP(G344,Rabat!$C$9:$D$43,2,0),0))</f>
        <v>3088.89</v>
      </c>
      <c r="J344" t="s">
        <v>1815</v>
      </c>
      <c r="K344" t="s">
        <v>159</v>
      </c>
      <c r="L344" t="s">
        <v>1813</v>
      </c>
      <c r="M344">
        <v>1</v>
      </c>
      <c r="N344">
        <v>21</v>
      </c>
      <c r="O344" t="s">
        <v>1814</v>
      </c>
      <c r="P344" s="12" t="str">
        <f>HYPERLINK("https://b2b.kobi.pl/pl/product/10206,naswietlacz-led-us-500w-5000k-ip66-60-dim-kobi-pro?currency=PLN")</f>
        <v>https://b2b.kobi.pl/pl/product/10206,naswietlacz-led-us-500w-5000k-ip66-60-dim-kobi-pro?currency=PLN</v>
      </c>
      <c r="Q344" s="12" t="str">
        <f>HYPERLINK("https://eprel.ec.europa.eu/qr/1742631")</f>
        <v>https://eprel.ec.europa.eu/qr/1742631</v>
      </c>
      <c r="R344"/>
      <c r="S344" t="s">
        <v>2573</v>
      </c>
      <c r="T344">
        <v>10.56</v>
      </c>
      <c r="U344">
        <v>12.5</v>
      </c>
      <c r="V344">
        <v>14.1</v>
      </c>
      <c r="W344">
        <v>15.5</v>
      </c>
      <c r="X344">
        <v>47.5</v>
      </c>
      <c r="Y344">
        <v>73.5</v>
      </c>
    </row>
    <row r="345" spans="1:25" ht="60" customHeight="1" x14ac:dyDescent="0.25">
      <c r="A345"/>
      <c r="B345" t="s">
        <v>3</v>
      </c>
      <c r="C345" t="s">
        <v>17</v>
      </c>
      <c r="D345" t="s">
        <v>618</v>
      </c>
      <c r="E345" t="s">
        <v>2104</v>
      </c>
      <c r="F345" t="s">
        <v>2105</v>
      </c>
      <c r="G345" t="s">
        <v>1005</v>
      </c>
      <c r="H345" s="11">
        <v>86.67</v>
      </c>
      <c r="I345" s="10">
        <f>H345*(1-IFERROR(VLOOKUP(G345,Rabat!$C$9:$D$43,2,0),0))</f>
        <v>86.67</v>
      </c>
      <c r="J345" t="s">
        <v>1815</v>
      </c>
      <c r="K345" t="s">
        <v>2156</v>
      </c>
      <c r="L345" t="s">
        <v>1813</v>
      </c>
      <c r="M345">
        <v>10</v>
      </c>
      <c r="N345">
        <v>360</v>
      </c>
      <c r="O345" t="s">
        <v>1818</v>
      </c>
      <c r="P345" s="12" t="str">
        <f>HYPERLINK("https://b2b.kobi.pl/pl/product/12380,naswietlacz-led-tigra-portable-50w-4000k-ip54-kobi?currency=PLN")</f>
        <v>https://b2b.kobi.pl/pl/product/12380,naswietlacz-led-tigra-portable-50w-4000k-ip54-kobi?currency=PLN</v>
      </c>
      <c r="Q345" s="12" t="str">
        <f>HYPERLINK("https://eprel.ec.europa.eu/qr/2247735")</f>
        <v>https://eprel.ec.europa.eu/qr/2247735</v>
      </c>
      <c r="R345"/>
      <c r="S345" t="s">
        <v>2573</v>
      </c>
      <c r="T345">
        <v>0.71</v>
      </c>
      <c r="U345">
        <v>0.84</v>
      </c>
      <c r="V345">
        <v>0.93</v>
      </c>
      <c r="W345">
        <v>23.6</v>
      </c>
      <c r="X345">
        <v>6</v>
      </c>
      <c r="Y345">
        <v>25</v>
      </c>
    </row>
    <row r="346" spans="1:25" ht="60" customHeight="1" x14ac:dyDescent="0.25">
      <c r="A346"/>
      <c r="B346" t="s">
        <v>3</v>
      </c>
      <c r="C346" t="s">
        <v>17</v>
      </c>
      <c r="D346" t="s">
        <v>618</v>
      </c>
      <c r="E346" t="s">
        <v>2106</v>
      </c>
      <c r="F346" t="s">
        <v>2107</v>
      </c>
      <c r="G346" t="s">
        <v>1005</v>
      </c>
      <c r="H346" s="11">
        <v>128.88999999999999</v>
      </c>
      <c r="I346" s="10">
        <f>H346*(1-IFERROR(VLOOKUP(G346,Rabat!$C$9:$D$43,2,0),0))</f>
        <v>128.88999999999999</v>
      </c>
      <c r="J346" t="s">
        <v>1815</v>
      </c>
      <c r="K346" t="s">
        <v>2157</v>
      </c>
      <c r="L346" t="s">
        <v>1813</v>
      </c>
      <c r="M346">
        <v>5</v>
      </c>
      <c r="N346">
        <v>200</v>
      </c>
      <c r="O346" t="s">
        <v>1818</v>
      </c>
      <c r="P346" s="12" t="str">
        <f>HYPERLINK("https://b2b.kobi.pl/pl/product/12381,naswietlacz-led-tigra-portable-100w-4000k-ip54-kobi?currency=PLN")</f>
        <v>https://b2b.kobi.pl/pl/product/12381,naswietlacz-led-tigra-portable-100w-4000k-ip54-kobi?currency=PLN</v>
      </c>
      <c r="Q346" s="12" t="str">
        <f>HYPERLINK("https://eprel.ec.europa.eu/qr/2247834")</f>
        <v>https://eprel.ec.europa.eu/qr/2247834</v>
      </c>
      <c r="R346"/>
      <c r="S346" t="s">
        <v>2573</v>
      </c>
      <c r="T346">
        <v>1.03</v>
      </c>
      <c r="U346">
        <v>1.22</v>
      </c>
      <c r="V346">
        <v>1.36</v>
      </c>
      <c r="W346">
        <v>30.8</v>
      </c>
      <c r="X346">
        <v>5.5</v>
      </c>
      <c r="Y346">
        <v>32</v>
      </c>
    </row>
    <row r="347" spans="1:25" ht="60" customHeight="1" x14ac:dyDescent="0.25">
      <c r="A347"/>
      <c r="B347" t="s">
        <v>3</v>
      </c>
      <c r="C347" t="s">
        <v>17</v>
      </c>
      <c r="D347" t="s">
        <v>618</v>
      </c>
      <c r="E347" t="s">
        <v>2108</v>
      </c>
      <c r="F347" t="s">
        <v>2109</v>
      </c>
      <c r="G347" t="s">
        <v>1005</v>
      </c>
      <c r="H347" s="11">
        <v>188.89</v>
      </c>
      <c r="I347" s="10">
        <f>H347*(1-IFERROR(VLOOKUP(G347,Rabat!$C$9:$D$43,2,0),0))</f>
        <v>188.89</v>
      </c>
      <c r="J347" t="s">
        <v>1815</v>
      </c>
      <c r="K347" t="s">
        <v>2158</v>
      </c>
      <c r="L347" t="s">
        <v>1813</v>
      </c>
      <c r="M347">
        <v>4</v>
      </c>
      <c r="N347">
        <v>96</v>
      </c>
      <c r="O347" t="s">
        <v>1818</v>
      </c>
      <c r="P347" s="12" t="str">
        <f>HYPERLINK("https://b2b.kobi.pl/pl/product/12382,naswietlacz-led-tigra-tripod-2x50w-4000k-ip54-kobi?currency=PLN")</f>
        <v>https://b2b.kobi.pl/pl/product/12382,naswietlacz-led-tigra-tripod-2x50w-4000k-ip54-kobi?currency=PLN</v>
      </c>
      <c r="Q347" s="12" t="str">
        <f>HYPERLINK("https://eprel.ec.europa.eu/qr/2247735")</f>
        <v>https://eprel.ec.europa.eu/qr/2247735</v>
      </c>
      <c r="R347"/>
      <c r="S347" t="s">
        <v>2573</v>
      </c>
      <c r="T347">
        <v>2.68</v>
      </c>
      <c r="U347">
        <v>3.17</v>
      </c>
      <c r="V347">
        <v>3.47</v>
      </c>
      <c r="W347">
        <v>17</v>
      </c>
      <c r="X347">
        <v>12.5</v>
      </c>
      <c r="Y347">
        <v>62</v>
      </c>
    </row>
    <row r="348" spans="1:25" ht="60" customHeight="1" x14ac:dyDescent="0.25">
      <c r="A348"/>
      <c r="B348" t="s">
        <v>3</v>
      </c>
      <c r="C348" t="s">
        <v>17</v>
      </c>
      <c r="D348" t="s">
        <v>618</v>
      </c>
      <c r="E348" t="s">
        <v>2110</v>
      </c>
      <c r="F348" t="s">
        <v>2111</v>
      </c>
      <c r="G348" t="s">
        <v>1005</v>
      </c>
      <c r="H348" s="11">
        <v>253.33</v>
      </c>
      <c r="I348" s="10">
        <f>H348*(1-IFERROR(VLOOKUP(G348,Rabat!$C$9:$D$43,2,0),0))</f>
        <v>253.33</v>
      </c>
      <c r="J348" t="s">
        <v>1815</v>
      </c>
      <c r="K348" t="s">
        <v>2159</v>
      </c>
      <c r="L348" t="s">
        <v>1813</v>
      </c>
      <c r="M348">
        <v>4</v>
      </c>
      <c r="N348">
        <v>72</v>
      </c>
      <c r="O348" t="s">
        <v>1818</v>
      </c>
      <c r="P348" s="12" t="str">
        <f>HYPERLINK("https://b2b.kobi.pl/pl/product/12383,naswietlacz-led-tigra-tripod-2x100w-4000k-ip54-kobi?currency=PLN")</f>
        <v>https://b2b.kobi.pl/pl/product/12383,naswietlacz-led-tigra-tripod-2x100w-4000k-ip54-kobi?currency=PLN</v>
      </c>
      <c r="Q348" s="12" t="str">
        <f>HYPERLINK("https://eprel.ec.europa.eu/qr/2247834")</f>
        <v>https://eprel.ec.europa.eu/qr/2247834</v>
      </c>
      <c r="R348"/>
      <c r="S348" t="s">
        <v>2573</v>
      </c>
      <c r="T348">
        <v>3.24</v>
      </c>
      <c r="U348">
        <v>3.83</v>
      </c>
      <c r="V348">
        <v>4.1900000000000004</v>
      </c>
      <c r="W348">
        <v>24.5</v>
      </c>
      <c r="X348">
        <v>12.5</v>
      </c>
      <c r="Y348">
        <v>62</v>
      </c>
    </row>
    <row r="349" spans="1:25" ht="60" customHeight="1" x14ac:dyDescent="0.25">
      <c r="A349"/>
      <c r="B349" t="s">
        <v>3</v>
      </c>
      <c r="C349" t="s">
        <v>17</v>
      </c>
      <c r="D349" t="s">
        <v>618</v>
      </c>
      <c r="E349" t="s">
        <v>3178</v>
      </c>
      <c r="F349" t="s">
        <v>3165</v>
      </c>
      <c r="G349" t="s">
        <v>1005</v>
      </c>
      <c r="H349" s="11">
        <v>86.67</v>
      </c>
      <c r="I349" s="10">
        <f>H349*(1-IFERROR(VLOOKUP(G349,Rabat!$C$9:$D$43,2,0),0))</f>
        <v>86.67</v>
      </c>
      <c r="J349" t="s">
        <v>1815</v>
      </c>
      <c r="K349" t="s">
        <v>3172</v>
      </c>
      <c r="L349" t="s">
        <v>1813</v>
      </c>
      <c r="M349">
        <v>20</v>
      </c>
      <c r="N349">
        <v>600</v>
      </c>
      <c r="O349" t="s">
        <v>1818</v>
      </c>
      <c r="P349" s="12" t="str">
        <f>HYPERLINK("https://b2b.kobi.pl/pl/product/12931,naswietlacz-akumulatorowy-led-tigra-b-20w-4000k-ip54-kobi?currency=PLN")</f>
        <v>https://b2b.kobi.pl/pl/product/12931,naswietlacz-akumulatorowy-led-tigra-b-20w-4000k-ip54-kobi?currency=PLN</v>
      </c>
      <c r="Q349" t="s">
        <v>14</v>
      </c>
      <c r="R349"/>
      <c r="S349" t="s">
        <v>2573</v>
      </c>
      <c r="T349">
        <v>0.31</v>
      </c>
      <c r="U349">
        <v>0.36199999999999999</v>
      </c>
      <c r="V349">
        <v>0.64</v>
      </c>
      <c r="W349">
        <v>13.2</v>
      </c>
      <c r="X349">
        <v>9.5</v>
      </c>
      <c r="Y349">
        <v>16</v>
      </c>
    </row>
    <row r="350" spans="1:25" ht="60" customHeight="1" x14ac:dyDescent="0.25">
      <c r="A350"/>
      <c r="B350" t="s">
        <v>3</v>
      </c>
      <c r="C350" t="s">
        <v>17</v>
      </c>
      <c r="D350" t="s">
        <v>606</v>
      </c>
      <c r="E350" t="s">
        <v>2505</v>
      </c>
      <c r="F350" t="s">
        <v>2506</v>
      </c>
      <c r="G350" t="s">
        <v>1005</v>
      </c>
      <c r="H350" s="11">
        <v>18.87</v>
      </c>
      <c r="I350" s="10">
        <f>H350*(1-IFERROR(VLOOKUP(G350,Rabat!$C$9:$D$43,2,0),0))</f>
        <v>18.87</v>
      </c>
      <c r="J350" t="s">
        <v>1815</v>
      </c>
      <c r="K350" t="s">
        <v>2578</v>
      </c>
      <c r="L350" t="s">
        <v>1813</v>
      </c>
      <c r="M350">
        <v>60</v>
      </c>
      <c r="N350">
        <v>1680</v>
      </c>
      <c r="O350" t="s">
        <v>1819</v>
      </c>
      <c r="P350" s="12" t="str">
        <f>HYPERLINK("https://b2b.kobi.pl/pl/product/12668,naswietlacz-led-delyo-mhn-10w-4000k-ip65-kobi-premium?currency=PLN")</f>
        <v>https://b2b.kobi.pl/pl/product/12668,naswietlacz-led-delyo-mhn-10w-4000k-ip65-kobi-premium?currency=PLN</v>
      </c>
      <c r="Q350" s="12" t="str">
        <f>HYPERLINK("https://eprel.ec.europa.eu/qr/2365025")</f>
        <v>https://eprel.ec.europa.eu/qr/2365025</v>
      </c>
      <c r="R350"/>
      <c r="S350" t="s">
        <v>2573</v>
      </c>
      <c r="T350">
        <v>0.1</v>
      </c>
      <c r="U350">
        <v>0.12</v>
      </c>
      <c r="V350">
        <v>0.15</v>
      </c>
      <c r="W350">
        <v>10.6</v>
      </c>
      <c r="X350">
        <v>5</v>
      </c>
      <c r="Y350">
        <v>9.5</v>
      </c>
    </row>
    <row r="351" spans="1:25" ht="60" customHeight="1" x14ac:dyDescent="0.25">
      <c r="A351"/>
      <c r="B351" t="s">
        <v>3</v>
      </c>
      <c r="C351" t="s">
        <v>17</v>
      </c>
      <c r="D351" t="s">
        <v>606</v>
      </c>
      <c r="E351" t="s">
        <v>2507</v>
      </c>
      <c r="F351" t="s">
        <v>2508</v>
      </c>
      <c r="G351" t="s">
        <v>1005</v>
      </c>
      <c r="H351" s="11">
        <v>18.87</v>
      </c>
      <c r="I351" s="10">
        <f>H351*(1-IFERROR(VLOOKUP(G351,Rabat!$C$9:$D$43,2,0),0))</f>
        <v>18.87</v>
      </c>
      <c r="J351" t="s">
        <v>1815</v>
      </c>
      <c r="K351" t="s">
        <v>2579</v>
      </c>
      <c r="L351" t="s">
        <v>1813</v>
      </c>
      <c r="M351">
        <v>60</v>
      </c>
      <c r="N351">
        <v>1680</v>
      </c>
      <c r="O351" t="s">
        <v>1819</v>
      </c>
      <c r="P351" s="12" t="str">
        <f>HYPERLINK("https://b2b.kobi.pl/pl/product/12669,naswietlacz-led-delyo-mhn-10w-6000k-ip65-kobi-premium?currency=PLN")</f>
        <v>https://b2b.kobi.pl/pl/product/12669,naswietlacz-led-delyo-mhn-10w-6000k-ip65-kobi-premium?currency=PLN</v>
      </c>
      <c r="Q351" s="12" t="str">
        <f>HYPERLINK("https://eprel.ec.europa.eu/qr/2365044")</f>
        <v>https://eprel.ec.europa.eu/qr/2365044</v>
      </c>
      <c r="R351"/>
      <c r="S351" t="s">
        <v>2573</v>
      </c>
      <c r="T351">
        <v>0.1</v>
      </c>
      <c r="U351">
        <v>0.12</v>
      </c>
      <c r="V351">
        <v>0.15</v>
      </c>
      <c r="W351">
        <v>10.6</v>
      </c>
      <c r="X351">
        <v>5</v>
      </c>
      <c r="Y351">
        <v>9.5</v>
      </c>
    </row>
    <row r="352" spans="1:25" ht="60" customHeight="1" x14ac:dyDescent="0.25">
      <c r="A352"/>
      <c r="B352" t="s">
        <v>3</v>
      </c>
      <c r="C352" t="s">
        <v>17</v>
      </c>
      <c r="D352" t="s">
        <v>606</v>
      </c>
      <c r="E352" t="s">
        <v>2509</v>
      </c>
      <c r="F352" t="s">
        <v>2510</v>
      </c>
      <c r="G352" t="s">
        <v>1005</v>
      </c>
      <c r="H352" s="11">
        <v>29.98</v>
      </c>
      <c r="I352" s="10">
        <f>H352*(1-IFERROR(VLOOKUP(G352,Rabat!$C$9:$D$43,2,0),0))</f>
        <v>29.98</v>
      </c>
      <c r="J352" t="s">
        <v>1815</v>
      </c>
      <c r="K352" t="s">
        <v>2580</v>
      </c>
      <c r="L352" t="s">
        <v>1813</v>
      </c>
      <c r="M352">
        <v>40</v>
      </c>
      <c r="N352">
        <v>1800</v>
      </c>
      <c r="O352" t="s">
        <v>1819</v>
      </c>
      <c r="P352" s="12" t="str">
        <f>HYPERLINK("https://b2b.kobi.pl/pl/product/12670,naswietlacz-led-delyo-mhn-20w-4000k-ip65-kobi-premium?currency=PLN")</f>
        <v>https://b2b.kobi.pl/pl/product/12670,naswietlacz-led-delyo-mhn-20w-4000k-ip65-kobi-premium?currency=PLN</v>
      </c>
      <c r="Q352" s="12" t="str">
        <f>HYPERLINK("https://eprel.ec.europa.eu/qr/2365088")</f>
        <v>https://eprel.ec.europa.eu/qr/2365088</v>
      </c>
      <c r="R352"/>
      <c r="S352" t="s">
        <v>2573</v>
      </c>
      <c r="T352">
        <v>0.14000000000000001</v>
      </c>
      <c r="U352">
        <v>0.16</v>
      </c>
      <c r="V352">
        <v>0.2</v>
      </c>
      <c r="W352">
        <v>13</v>
      </c>
      <c r="X352">
        <v>4.5</v>
      </c>
      <c r="Y352">
        <v>11</v>
      </c>
    </row>
    <row r="353" spans="1:25" ht="60" customHeight="1" x14ac:dyDescent="0.25">
      <c r="A353"/>
      <c r="B353" t="s">
        <v>3</v>
      </c>
      <c r="C353" t="s">
        <v>17</v>
      </c>
      <c r="D353" t="s">
        <v>606</v>
      </c>
      <c r="E353" t="s">
        <v>2511</v>
      </c>
      <c r="F353" t="s">
        <v>2512</v>
      </c>
      <c r="G353" t="s">
        <v>1005</v>
      </c>
      <c r="H353" s="11">
        <v>29.98</v>
      </c>
      <c r="I353" s="10">
        <f>H353*(1-IFERROR(VLOOKUP(G353,Rabat!$C$9:$D$43,2,0),0))</f>
        <v>29.98</v>
      </c>
      <c r="J353" t="s">
        <v>1815</v>
      </c>
      <c r="K353" t="s">
        <v>2581</v>
      </c>
      <c r="L353" t="s">
        <v>1813</v>
      </c>
      <c r="M353">
        <v>40</v>
      </c>
      <c r="N353">
        <v>1800</v>
      </c>
      <c r="O353" t="s">
        <v>1819</v>
      </c>
      <c r="P353" s="12" t="str">
        <f>HYPERLINK("https://b2b.kobi.pl/pl/product/12671,naswietlacz-led-delyo-mhn-20w-6000k-ip65-kobi-premium?currency=PLN")</f>
        <v>https://b2b.kobi.pl/pl/product/12671,naswietlacz-led-delyo-mhn-20w-6000k-ip65-kobi-premium?currency=PLN</v>
      </c>
      <c r="Q353" s="12" t="str">
        <f>HYPERLINK("https://eprel.ec.europa.eu/qr/2365095")</f>
        <v>https://eprel.ec.europa.eu/qr/2365095</v>
      </c>
      <c r="R353"/>
      <c r="S353" t="s">
        <v>2573</v>
      </c>
      <c r="T353">
        <v>0.14000000000000001</v>
      </c>
      <c r="U353">
        <v>0.16</v>
      </c>
      <c r="V353">
        <v>0.2</v>
      </c>
      <c r="W353">
        <v>13</v>
      </c>
      <c r="X353">
        <v>4.5</v>
      </c>
      <c r="Y353">
        <v>11</v>
      </c>
    </row>
    <row r="354" spans="1:25" ht="60" customHeight="1" x14ac:dyDescent="0.25">
      <c r="A354"/>
      <c r="B354" t="s">
        <v>3</v>
      </c>
      <c r="C354" t="s">
        <v>17</v>
      </c>
      <c r="D354" t="s">
        <v>606</v>
      </c>
      <c r="E354" t="s">
        <v>2513</v>
      </c>
      <c r="F354" t="s">
        <v>2514</v>
      </c>
      <c r="G354" t="s">
        <v>1005</v>
      </c>
      <c r="H354" s="11">
        <v>38.67</v>
      </c>
      <c r="I354" s="10">
        <f>H354*(1-IFERROR(VLOOKUP(G354,Rabat!$C$9:$D$43,2,0),0))</f>
        <v>38.67</v>
      </c>
      <c r="J354" t="s">
        <v>1815</v>
      </c>
      <c r="K354" t="s">
        <v>2582</v>
      </c>
      <c r="L354" t="s">
        <v>1813</v>
      </c>
      <c r="M354">
        <v>40</v>
      </c>
      <c r="N354">
        <v>1000</v>
      </c>
      <c r="O354" t="s">
        <v>1819</v>
      </c>
      <c r="P354" s="12" t="str">
        <f>HYPERLINK("https://b2b.kobi.pl/pl/product/12672,naswietlacz-led-delyo-mhn-30w-4000k-ip65-kobi-premium?currency=PLN")</f>
        <v>https://b2b.kobi.pl/pl/product/12672,naswietlacz-led-delyo-mhn-30w-4000k-ip65-kobi-premium?currency=PLN</v>
      </c>
      <c r="Q354" s="12" t="str">
        <f>HYPERLINK("https://eprel.ec.europa.eu/qr/2365102")</f>
        <v>https://eprel.ec.europa.eu/qr/2365102</v>
      </c>
      <c r="R354"/>
      <c r="S354" t="s">
        <v>2573</v>
      </c>
      <c r="T354">
        <v>0.2</v>
      </c>
      <c r="U354">
        <v>0.24</v>
      </c>
      <c r="V354">
        <v>0.3</v>
      </c>
      <c r="W354">
        <v>16.5</v>
      </c>
      <c r="X354">
        <v>4.5</v>
      </c>
      <c r="Y354">
        <v>14.5</v>
      </c>
    </row>
    <row r="355" spans="1:25" ht="60" customHeight="1" x14ac:dyDescent="0.25">
      <c r="A355"/>
      <c r="B355" t="s">
        <v>3</v>
      </c>
      <c r="C355" t="s">
        <v>17</v>
      </c>
      <c r="D355" t="s">
        <v>606</v>
      </c>
      <c r="E355" t="s">
        <v>2515</v>
      </c>
      <c r="F355" t="s">
        <v>2516</v>
      </c>
      <c r="G355" t="s">
        <v>1005</v>
      </c>
      <c r="H355" s="11">
        <v>38.67</v>
      </c>
      <c r="I355" s="10">
        <f>H355*(1-IFERROR(VLOOKUP(G355,Rabat!$C$9:$D$43,2,0),0))</f>
        <v>38.67</v>
      </c>
      <c r="J355" t="s">
        <v>1815</v>
      </c>
      <c r="K355" t="s">
        <v>2583</v>
      </c>
      <c r="L355" t="s">
        <v>1813</v>
      </c>
      <c r="M355">
        <v>40</v>
      </c>
      <c r="N355">
        <v>1000</v>
      </c>
      <c r="O355" t="s">
        <v>1819</v>
      </c>
      <c r="P355" s="12" t="str">
        <f>HYPERLINK("https://b2b.kobi.pl/pl/product/12673,naswietlacz-led-delyo-mhn-30w-6000k-ip65-kobi-premium?currency=PLN")</f>
        <v>https://b2b.kobi.pl/pl/product/12673,naswietlacz-led-delyo-mhn-30w-6000k-ip65-kobi-premium?currency=PLN</v>
      </c>
      <c r="Q355" s="12" t="str">
        <f>HYPERLINK("https://eprel.ec.europa.eu/qr/2365116")</f>
        <v>https://eprel.ec.europa.eu/qr/2365116</v>
      </c>
      <c r="R355"/>
      <c r="S355" t="s">
        <v>2573</v>
      </c>
      <c r="T355">
        <v>0.2</v>
      </c>
      <c r="U355">
        <v>0.24</v>
      </c>
      <c r="V355">
        <v>0.3</v>
      </c>
      <c r="W355">
        <v>16.5</v>
      </c>
      <c r="X355">
        <v>4.5</v>
      </c>
      <c r="Y355">
        <v>14.5</v>
      </c>
    </row>
    <row r="356" spans="1:25" ht="60" customHeight="1" x14ac:dyDescent="0.25">
      <c r="A356"/>
      <c r="B356" t="s">
        <v>3</v>
      </c>
      <c r="C356" t="s">
        <v>17</v>
      </c>
      <c r="D356" t="s">
        <v>606</v>
      </c>
      <c r="E356" t="s">
        <v>2517</v>
      </c>
      <c r="F356" t="s">
        <v>2518</v>
      </c>
      <c r="G356" t="s">
        <v>1005</v>
      </c>
      <c r="H356" s="11">
        <v>56.67</v>
      </c>
      <c r="I356" s="10">
        <f>H356*(1-IFERROR(VLOOKUP(G356,Rabat!$C$9:$D$43,2,0),0))</f>
        <v>56.67</v>
      </c>
      <c r="J356" t="s">
        <v>1815</v>
      </c>
      <c r="K356" t="s">
        <v>2584</v>
      </c>
      <c r="L356" t="s">
        <v>1813</v>
      </c>
      <c r="M356">
        <v>20</v>
      </c>
      <c r="N356">
        <v>700</v>
      </c>
      <c r="O356" t="s">
        <v>1819</v>
      </c>
      <c r="P356" s="12" t="str">
        <f>HYPERLINK("https://b2b.kobi.pl/pl/product/12674,naswietlacz-led-delyo-mhn-50w-4000k-ip65-kobi-premium?currency=PLN")</f>
        <v>https://b2b.kobi.pl/pl/product/12674,naswietlacz-led-delyo-mhn-50w-4000k-ip65-kobi-premium?currency=PLN</v>
      </c>
      <c r="Q356" s="12" t="str">
        <f>HYPERLINK("https://eprel.ec.europa.eu/qr/2365126")</f>
        <v>https://eprel.ec.europa.eu/qr/2365126</v>
      </c>
      <c r="R356"/>
      <c r="S356" t="s">
        <v>2573</v>
      </c>
      <c r="T356">
        <v>0.3</v>
      </c>
      <c r="U356">
        <v>0.35</v>
      </c>
      <c r="V356">
        <v>0.42</v>
      </c>
      <c r="W356">
        <v>20</v>
      </c>
      <c r="X356">
        <v>4.3</v>
      </c>
      <c r="Y356">
        <v>16</v>
      </c>
    </row>
    <row r="357" spans="1:25" ht="60" customHeight="1" x14ac:dyDescent="0.25">
      <c r="A357"/>
      <c r="B357" t="s">
        <v>3</v>
      </c>
      <c r="C357" t="s">
        <v>17</v>
      </c>
      <c r="D357" t="s">
        <v>606</v>
      </c>
      <c r="E357" t="s">
        <v>2519</v>
      </c>
      <c r="F357" t="s">
        <v>2520</v>
      </c>
      <c r="G357" t="s">
        <v>1005</v>
      </c>
      <c r="H357" s="11">
        <v>56.67</v>
      </c>
      <c r="I357" s="10">
        <f>H357*(1-IFERROR(VLOOKUP(G357,Rabat!$C$9:$D$43,2,0),0))</f>
        <v>56.67</v>
      </c>
      <c r="J357" t="s">
        <v>1815</v>
      </c>
      <c r="K357" t="s">
        <v>2585</v>
      </c>
      <c r="L357" t="s">
        <v>1813</v>
      </c>
      <c r="M357">
        <v>20</v>
      </c>
      <c r="N357">
        <v>700</v>
      </c>
      <c r="O357" t="s">
        <v>1819</v>
      </c>
      <c r="P357" s="12" t="str">
        <f>HYPERLINK("https://b2b.kobi.pl/pl/product/12675,naswietlacz-led-delyo-mhn-50w-6000k-ip65-kobi-premium?currency=PLN")</f>
        <v>https://b2b.kobi.pl/pl/product/12675,naswietlacz-led-delyo-mhn-50w-6000k-ip65-kobi-premium?currency=PLN</v>
      </c>
      <c r="Q357" s="12" t="str">
        <f>HYPERLINK("https://eprel.ec.europa.eu/qr/2365535")</f>
        <v>https://eprel.ec.europa.eu/qr/2365535</v>
      </c>
      <c r="R357"/>
      <c r="S357" t="s">
        <v>2573</v>
      </c>
      <c r="T357">
        <v>0.3</v>
      </c>
      <c r="U357">
        <v>0.35</v>
      </c>
      <c r="V357">
        <v>0.42</v>
      </c>
      <c r="W357">
        <v>20</v>
      </c>
      <c r="X357">
        <v>4.3</v>
      </c>
      <c r="Y357">
        <v>16</v>
      </c>
    </row>
    <row r="358" spans="1:25" ht="60" customHeight="1" x14ac:dyDescent="0.25">
      <c r="A358"/>
      <c r="B358" t="s">
        <v>3</v>
      </c>
      <c r="C358" t="s">
        <v>17</v>
      </c>
      <c r="D358" t="s">
        <v>606</v>
      </c>
      <c r="E358" t="s">
        <v>2521</v>
      </c>
      <c r="F358" t="s">
        <v>2522</v>
      </c>
      <c r="G358" t="s">
        <v>1005</v>
      </c>
      <c r="H358" s="11">
        <v>106.67</v>
      </c>
      <c r="I358" s="10">
        <f>H358*(1-IFERROR(VLOOKUP(G358,Rabat!$C$9:$D$43,2,0),0))</f>
        <v>106.67</v>
      </c>
      <c r="J358" t="s">
        <v>1815</v>
      </c>
      <c r="K358" t="s">
        <v>2586</v>
      </c>
      <c r="L358" t="s">
        <v>1813</v>
      </c>
      <c r="M358">
        <v>10</v>
      </c>
      <c r="N358">
        <v>360</v>
      </c>
      <c r="O358" t="s">
        <v>1819</v>
      </c>
      <c r="P358" s="12" t="str">
        <f>HYPERLINK("https://b2b.kobi.pl/pl/product/12676,naswietlacz-led-delyo-mhn-100w-4000k-ip65-kobi-premium?currency=PLN")</f>
        <v>https://b2b.kobi.pl/pl/product/12676,naswietlacz-led-delyo-mhn-100w-4000k-ip65-kobi-premium?currency=PLN</v>
      </c>
      <c r="Q358" s="12" t="str">
        <f>HYPERLINK("https://eprel.ec.europa.eu/qr/2365552")</f>
        <v>https://eprel.ec.europa.eu/qr/2365552</v>
      </c>
      <c r="R358"/>
      <c r="S358" t="s">
        <v>2573</v>
      </c>
      <c r="T358">
        <v>0.66</v>
      </c>
      <c r="U358">
        <v>0.77900000000000003</v>
      </c>
      <c r="V358">
        <v>0.88200000000000001</v>
      </c>
      <c r="W358">
        <v>28</v>
      </c>
      <c r="X358">
        <v>4.3</v>
      </c>
      <c r="Y358">
        <v>23.5</v>
      </c>
    </row>
    <row r="359" spans="1:25" ht="60" customHeight="1" x14ac:dyDescent="0.25">
      <c r="A359"/>
      <c r="B359" t="s">
        <v>3</v>
      </c>
      <c r="C359" t="s">
        <v>17</v>
      </c>
      <c r="D359" t="s">
        <v>606</v>
      </c>
      <c r="E359" t="s">
        <v>2523</v>
      </c>
      <c r="F359" t="s">
        <v>2524</v>
      </c>
      <c r="G359" t="s">
        <v>1005</v>
      </c>
      <c r="H359" s="11">
        <v>106.67</v>
      </c>
      <c r="I359" s="10">
        <f>H359*(1-IFERROR(VLOOKUP(G359,Rabat!$C$9:$D$43,2,0),0))</f>
        <v>106.67</v>
      </c>
      <c r="J359" t="s">
        <v>1815</v>
      </c>
      <c r="K359" t="s">
        <v>2587</v>
      </c>
      <c r="L359" t="s">
        <v>1813</v>
      </c>
      <c r="M359">
        <v>10</v>
      </c>
      <c r="N359">
        <v>360</v>
      </c>
      <c r="O359" t="s">
        <v>1819</v>
      </c>
      <c r="P359" s="12" t="str">
        <f>HYPERLINK("https://b2b.kobi.pl/pl/product/12677,naswietlacz-led-delyo-mhn-100w-6000k-ip65-kobi-premium?currency=PLN")</f>
        <v>https://b2b.kobi.pl/pl/product/12677,naswietlacz-led-delyo-mhn-100w-6000k-ip65-kobi-premium?currency=PLN</v>
      </c>
      <c r="Q359" s="12" t="str">
        <f>HYPERLINK("https://eprel.ec.europa.eu/qr/2365630")</f>
        <v>https://eprel.ec.europa.eu/qr/2365630</v>
      </c>
      <c r="R359"/>
      <c r="S359" t="s">
        <v>2573</v>
      </c>
      <c r="T359">
        <v>0.66</v>
      </c>
      <c r="U359">
        <v>0.77900000000000003</v>
      </c>
      <c r="V359">
        <v>0.88200000000000001</v>
      </c>
      <c r="W359">
        <v>28</v>
      </c>
      <c r="X359">
        <v>4.3</v>
      </c>
      <c r="Y359">
        <v>23.5</v>
      </c>
    </row>
    <row r="360" spans="1:25" ht="60" customHeight="1" x14ac:dyDescent="0.25">
      <c r="A360"/>
      <c r="B360" t="s">
        <v>3</v>
      </c>
      <c r="C360" t="s">
        <v>17</v>
      </c>
      <c r="D360" t="s">
        <v>606</v>
      </c>
      <c r="E360" t="s">
        <v>2525</v>
      </c>
      <c r="F360" t="s">
        <v>2526</v>
      </c>
      <c r="G360" t="s">
        <v>1005</v>
      </c>
      <c r="H360" s="11">
        <v>52.67</v>
      </c>
      <c r="I360" s="10">
        <f>H360*(1-IFERROR(VLOOKUP(G360,Rabat!$C$9:$D$43,2,0),0))</f>
        <v>52.67</v>
      </c>
      <c r="J360" t="s">
        <v>1815</v>
      </c>
      <c r="K360" t="s">
        <v>2588</v>
      </c>
      <c r="L360" t="s">
        <v>1813</v>
      </c>
      <c r="M360">
        <v>24</v>
      </c>
      <c r="N360">
        <v>1200</v>
      </c>
      <c r="O360" t="s">
        <v>1819</v>
      </c>
      <c r="P360" s="12" t="str">
        <f>HYPERLINK("https://b2b.kobi.pl/pl/product/12678,naswietlacz-led-delyo-mhnc-10w-4000k-ip54-kobi-premium?currency=PLN")</f>
        <v>https://b2b.kobi.pl/pl/product/12678,naswietlacz-led-delyo-mhnc-10w-4000k-ip54-kobi-premium?currency=PLN</v>
      </c>
      <c r="Q360" s="12" t="str">
        <f>HYPERLINK("https://eprel.ec.europa.eu/qr/2365025")</f>
        <v>https://eprel.ec.europa.eu/qr/2365025</v>
      </c>
      <c r="R360"/>
      <c r="S360" t="s">
        <v>2573</v>
      </c>
      <c r="T360">
        <v>0.14000000000000001</v>
      </c>
      <c r="U360">
        <v>0.16</v>
      </c>
      <c r="V360">
        <v>0.21</v>
      </c>
      <c r="W360">
        <v>14.5</v>
      </c>
      <c r="X360">
        <v>5.3</v>
      </c>
      <c r="Y360">
        <v>11.5</v>
      </c>
    </row>
    <row r="361" spans="1:25" ht="60" customHeight="1" x14ac:dyDescent="0.25">
      <c r="A361"/>
      <c r="B361" t="s">
        <v>3</v>
      </c>
      <c r="C361" t="s">
        <v>17</v>
      </c>
      <c r="D361" t="s">
        <v>606</v>
      </c>
      <c r="E361" t="s">
        <v>2527</v>
      </c>
      <c r="F361" t="s">
        <v>2528</v>
      </c>
      <c r="G361" t="s">
        <v>1005</v>
      </c>
      <c r="H361" s="11">
        <v>52.67</v>
      </c>
      <c r="I361" s="10">
        <f>H361*(1-IFERROR(VLOOKUP(G361,Rabat!$C$9:$D$43,2,0),0))</f>
        <v>52.67</v>
      </c>
      <c r="J361" t="s">
        <v>1815</v>
      </c>
      <c r="K361" t="s">
        <v>2589</v>
      </c>
      <c r="L361" t="s">
        <v>1813</v>
      </c>
      <c r="M361">
        <v>24</v>
      </c>
      <c r="N361">
        <v>1200</v>
      </c>
      <c r="O361" t="s">
        <v>1819</v>
      </c>
      <c r="P361" s="12" t="str">
        <f>HYPERLINK("https://b2b.kobi.pl/pl/product/12679,naswietlacz-led-delyo-mhnc-10w-6000k-ip54-kobi-premium?currency=PLN")</f>
        <v>https://b2b.kobi.pl/pl/product/12679,naswietlacz-led-delyo-mhnc-10w-6000k-ip54-kobi-premium?currency=PLN</v>
      </c>
      <c r="Q361" s="12" t="str">
        <f>HYPERLINK("https://eprel.ec.europa.eu/qr/2365044")</f>
        <v>https://eprel.ec.europa.eu/qr/2365044</v>
      </c>
      <c r="R361"/>
      <c r="S361" t="s">
        <v>2573</v>
      </c>
      <c r="T361">
        <v>0.14000000000000001</v>
      </c>
      <c r="U361">
        <v>0.16</v>
      </c>
      <c r="V361">
        <v>0.21</v>
      </c>
      <c r="W361">
        <v>14.5</v>
      </c>
      <c r="X361">
        <v>5.3</v>
      </c>
      <c r="Y361">
        <v>11.5</v>
      </c>
    </row>
    <row r="362" spans="1:25" ht="60" customHeight="1" x14ac:dyDescent="0.25">
      <c r="A362"/>
      <c r="B362" t="s">
        <v>3</v>
      </c>
      <c r="C362" t="s">
        <v>17</v>
      </c>
      <c r="D362" t="s">
        <v>606</v>
      </c>
      <c r="E362" t="s">
        <v>2529</v>
      </c>
      <c r="F362" t="s">
        <v>2530</v>
      </c>
      <c r="G362" t="s">
        <v>1005</v>
      </c>
      <c r="H362" s="11">
        <v>66.44</v>
      </c>
      <c r="I362" s="10">
        <f>H362*(1-IFERROR(VLOOKUP(G362,Rabat!$C$9:$D$43,2,0),0))</f>
        <v>66.44</v>
      </c>
      <c r="J362" t="s">
        <v>1815</v>
      </c>
      <c r="K362" t="s">
        <v>2590</v>
      </c>
      <c r="L362" t="s">
        <v>1813</v>
      </c>
      <c r="M362">
        <v>24</v>
      </c>
      <c r="N362">
        <v>864</v>
      </c>
      <c r="O362" t="s">
        <v>1819</v>
      </c>
      <c r="P362" s="12" t="str">
        <f>HYPERLINK("https://b2b.kobi.pl/pl/product/12680,naswietlacz-led-delyo-mhnc-20w-4000k-ip54-kobi-premium?currency=PLN")</f>
        <v>https://b2b.kobi.pl/pl/product/12680,naswietlacz-led-delyo-mhnc-20w-4000k-ip54-kobi-premium?currency=PLN</v>
      </c>
      <c r="Q362" s="12" t="str">
        <f>HYPERLINK("https://eprel.ec.europa.eu/qr/2365088")</f>
        <v>https://eprel.ec.europa.eu/qr/2365088</v>
      </c>
      <c r="R362"/>
      <c r="S362" t="s">
        <v>2573</v>
      </c>
      <c r="T362">
        <v>0.18</v>
      </c>
      <c r="U362">
        <v>0.21</v>
      </c>
      <c r="V362">
        <v>0.26</v>
      </c>
      <c r="W362">
        <v>16.5</v>
      </c>
      <c r="X362">
        <v>5.3</v>
      </c>
      <c r="Y362">
        <v>13.2</v>
      </c>
    </row>
    <row r="363" spans="1:25" ht="60" customHeight="1" x14ac:dyDescent="0.25">
      <c r="A363"/>
      <c r="B363" t="s">
        <v>3</v>
      </c>
      <c r="C363" t="s">
        <v>17</v>
      </c>
      <c r="D363" t="s">
        <v>606</v>
      </c>
      <c r="E363" t="s">
        <v>2531</v>
      </c>
      <c r="F363" t="s">
        <v>2532</v>
      </c>
      <c r="G363" t="s">
        <v>1005</v>
      </c>
      <c r="H363" s="11">
        <v>66.44</v>
      </c>
      <c r="I363" s="10">
        <f>H363*(1-IFERROR(VLOOKUP(G363,Rabat!$C$9:$D$43,2,0),0))</f>
        <v>66.44</v>
      </c>
      <c r="J363" t="s">
        <v>1815</v>
      </c>
      <c r="K363" t="s">
        <v>2591</v>
      </c>
      <c r="L363" t="s">
        <v>1813</v>
      </c>
      <c r="M363">
        <v>24</v>
      </c>
      <c r="N363">
        <v>864</v>
      </c>
      <c r="O363" t="s">
        <v>1819</v>
      </c>
      <c r="P363" s="12" t="str">
        <f>HYPERLINK("https://b2b.kobi.pl/pl/product/12681,naswietlacz-led-delyo-mhnc-20w-6000k-ip54-kobi-premium?currency=PLN")</f>
        <v>https://b2b.kobi.pl/pl/product/12681,naswietlacz-led-delyo-mhnc-20w-6000k-ip54-kobi-premium?currency=PLN</v>
      </c>
      <c r="Q363" s="12" t="str">
        <f>HYPERLINK("https://eprel.ec.europa.eu/qr/2365095")</f>
        <v>https://eprel.ec.europa.eu/qr/2365095</v>
      </c>
      <c r="R363"/>
      <c r="S363" t="s">
        <v>2573</v>
      </c>
      <c r="T363">
        <v>0.18</v>
      </c>
      <c r="U363">
        <v>0.21</v>
      </c>
      <c r="V363">
        <v>0.26</v>
      </c>
      <c r="W363">
        <v>16.5</v>
      </c>
      <c r="X363">
        <v>5.3</v>
      </c>
      <c r="Y363">
        <v>13.2</v>
      </c>
    </row>
    <row r="364" spans="1:25" ht="60" customHeight="1" x14ac:dyDescent="0.25">
      <c r="A364"/>
      <c r="B364" t="s">
        <v>3</v>
      </c>
      <c r="C364" t="s">
        <v>17</v>
      </c>
      <c r="D364" t="s">
        <v>606</v>
      </c>
      <c r="E364" t="s">
        <v>2533</v>
      </c>
      <c r="F364" t="s">
        <v>2534</v>
      </c>
      <c r="G364" t="s">
        <v>1005</v>
      </c>
      <c r="H364" s="11">
        <v>75.56</v>
      </c>
      <c r="I364" s="10">
        <f>H364*(1-IFERROR(VLOOKUP(G364,Rabat!$C$9:$D$43,2,0),0))</f>
        <v>75.56</v>
      </c>
      <c r="J364" t="s">
        <v>1815</v>
      </c>
      <c r="K364" t="s">
        <v>2592</v>
      </c>
      <c r="L364" t="s">
        <v>1813</v>
      </c>
      <c r="M364">
        <v>24</v>
      </c>
      <c r="N364">
        <v>600</v>
      </c>
      <c r="O364" t="s">
        <v>1819</v>
      </c>
      <c r="P364" s="12" t="str">
        <f>HYPERLINK("https://b2b.kobi.pl/pl/product/12682,naswietlacz-led-delyo-mhnc-30w-4000k-ip54-kobi-premium?currency=PLN")</f>
        <v>https://b2b.kobi.pl/pl/product/12682,naswietlacz-led-delyo-mhnc-30w-4000k-ip54-kobi-premium?currency=PLN</v>
      </c>
      <c r="Q364" s="12" t="str">
        <f>HYPERLINK("https://eprel.ec.europa.eu/qr/2365102")</f>
        <v>https://eprel.ec.europa.eu/qr/2365102</v>
      </c>
      <c r="R364"/>
      <c r="S364" t="s">
        <v>2573</v>
      </c>
      <c r="T364">
        <v>0.24</v>
      </c>
      <c r="U364">
        <v>0.28000000000000003</v>
      </c>
      <c r="V364">
        <v>0.35</v>
      </c>
      <c r="W364">
        <v>20</v>
      </c>
      <c r="X364">
        <v>5.3</v>
      </c>
      <c r="Y364">
        <v>16</v>
      </c>
    </row>
    <row r="365" spans="1:25" ht="60" customHeight="1" x14ac:dyDescent="0.25">
      <c r="A365"/>
      <c r="B365" t="s">
        <v>3</v>
      </c>
      <c r="C365" t="s">
        <v>17</v>
      </c>
      <c r="D365" t="s">
        <v>606</v>
      </c>
      <c r="E365" t="s">
        <v>2535</v>
      </c>
      <c r="F365" t="s">
        <v>2536</v>
      </c>
      <c r="G365" t="s">
        <v>1005</v>
      </c>
      <c r="H365" s="11">
        <v>75.56</v>
      </c>
      <c r="I365" s="10">
        <f>H365*(1-IFERROR(VLOOKUP(G365,Rabat!$C$9:$D$43,2,0),0))</f>
        <v>75.56</v>
      </c>
      <c r="J365" t="s">
        <v>1815</v>
      </c>
      <c r="K365" t="s">
        <v>2593</v>
      </c>
      <c r="L365" t="s">
        <v>1813</v>
      </c>
      <c r="M365">
        <v>24</v>
      </c>
      <c r="N365">
        <v>600</v>
      </c>
      <c r="O365" t="s">
        <v>1819</v>
      </c>
      <c r="P365" s="12" t="str">
        <f>HYPERLINK("https://b2b.kobi.pl/pl/product/12683,naswietlacz-led-delyo-mhnc-30w-6000k-ip54-kobi-premium?currency=PLN")</f>
        <v>https://b2b.kobi.pl/pl/product/12683,naswietlacz-led-delyo-mhnc-30w-6000k-ip54-kobi-premium?currency=PLN</v>
      </c>
      <c r="Q365" s="12" t="str">
        <f>HYPERLINK("https://eprel.ec.europa.eu/qr/2365116")</f>
        <v>https://eprel.ec.europa.eu/qr/2365116</v>
      </c>
      <c r="R365"/>
      <c r="S365" t="s">
        <v>2573</v>
      </c>
      <c r="T365">
        <v>0.24</v>
      </c>
      <c r="U365">
        <v>0.28000000000000003</v>
      </c>
      <c r="V365">
        <v>0.35</v>
      </c>
      <c r="W365">
        <v>20</v>
      </c>
      <c r="X365">
        <v>5.3</v>
      </c>
      <c r="Y365">
        <v>16</v>
      </c>
    </row>
    <row r="366" spans="1:25" ht="60" customHeight="1" x14ac:dyDescent="0.25">
      <c r="A366"/>
      <c r="B366" t="s">
        <v>3</v>
      </c>
      <c r="C366" t="s">
        <v>17</v>
      </c>
      <c r="D366" t="s">
        <v>606</v>
      </c>
      <c r="E366" t="s">
        <v>2537</v>
      </c>
      <c r="F366" t="s">
        <v>2538</v>
      </c>
      <c r="G366" t="s">
        <v>1005</v>
      </c>
      <c r="H366" s="11">
        <v>88.22</v>
      </c>
      <c r="I366" s="10">
        <f>H366*(1-IFERROR(VLOOKUP(G366,Rabat!$C$9:$D$43,2,0),0))</f>
        <v>88.22</v>
      </c>
      <c r="J366" t="s">
        <v>1815</v>
      </c>
      <c r="K366" t="s">
        <v>2594</v>
      </c>
      <c r="L366" t="s">
        <v>1813</v>
      </c>
      <c r="M366">
        <v>20</v>
      </c>
      <c r="N366">
        <v>480</v>
      </c>
      <c r="O366" t="s">
        <v>1819</v>
      </c>
      <c r="P366" s="12" t="str">
        <f>HYPERLINK("https://b2b.kobi.pl/pl/product/12684,naswietlacz-led-delyo-mhnc-50w-4000k-ip54-kobi-premium?currency=PLN")</f>
        <v>https://b2b.kobi.pl/pl/product/12684,naswietlacz-led-delyo-mhnc-50w-4000k-ip54-kobi-premium?currency=PLN</v>
      </c>
      <c r="Q366" s="12" t="str">
        <f>HYPERLINK("https://eprel.ec.europa.eu/qr/2365126")</f>
        <v>https://eprel.ec.europa.eu/qr/2365126</v>
      </c>
      <c r="R366"/>
      <c r="S366" t="s">
        <v>2573</v>
      </c>
      <c r="T366">
        <v>0.33</v>
      </c>
      <c r="U366">
        <v>0.39</v>
      </c>
      <c r="V366">
        <v>0.48</v>
      </c>
      <c r="W366">
        <v>22</v>
      </c>
      <c r="X366">
        <v>5.3</v>
      </c>
      <c r="Y366">
        <v>19.7</v>
      </c>
    </row>
    <row r="367" spans="1:25" ht="60" customHeight="1" x14ac:dyDescent="0.25">
      <c r="A367"/>
      <c r="B367" t="s">
        <v>3</v>
      </c>
      <c r="C367" t="s">
        <v>17</v>
      </c>
      <c r="D367" t="s">
        <v>606</v>
      </c>
      <c r="E367" t="s">
        <v>2539</v>
      </c>
      <c r="F367" t="s">
        <v>2540</v>
      </c>
      <c r="G367" t="s">
        <v>1005</v>
      </c>
      <c r="H367" s="11">
        <v>88.22</v>
      </c>
      <c r="I367" s="10">
        <f>H367*(1-IFERROR(VLOOKUP(G367,Rabat!$C$9:$D$43,2,0),0))</f>
        <v>88.22</v>
      </c>
      <c r="J367" t="s">
        <v>1815</v>
      </c>
      <c r="K367" t="s">
        <v>2595</v>
      </c>
      <c r="L367" t="s">
        <v>1813</v>
      </c>
      <c r="M367">
        <v>20</v>
      </c>
      <c r="N367">
        <v>480</v>
      </c>
      <c r="O367" t="s">
        <v>1819</v>
      </c>
      <c r="P367" s="12" t="str">
        <f>HYPERLINK("https://b2b.kobi.pl/pl/product/12685,naswietlacz-led-delyo-mhnc-50w-6000k-ip54-kobi-premium?currency=PLN")</f>
        <v>https://b2b.kobi.pl/pl/product/12685,naswietlacz-led-delyo-mhnc-50w-6000k-ip54-kobi-premium?currency=PLN</v>
      </c>
      <c r="Q367" s="12" t="str">
        <f>HYPERLINK("https://eprel.ec.europa.eu/qr/2365535")</f>
        <v>https://eprel.ec.europa.eu/qr/2365535</v>
      </c>
      <c r="R367"/>
      <c r="S367" t="s">
        <v>2573</v>
      </c>
      <c r="T367">
        <v>0.33</v>
      </c>
      <c r="U367">
        <v>0.39</v>
      </c>
      <c r="V367">
        <v>0.48</v>
      </c>
      <c r="W367">
        <v>22</v>
      </c>
      <c r="X367">
        <v>5.3</v>
      </c>
      <c r="Y367">
        <v>19.7</v>
      </c>
    </row>
    <row r="368" spans="1:25" ht="60" customHeight="1" x14ac:dyDescent="0.25">
      <c r="A368"/>
      <c r="B368" t="s">
        <v>3</v>
      </c>
      <c r="C368" t="s">
        <v>17</v>
      </c>
      <c r="D368" t="s">
        <v>606</v>
      </c>
      <c r="E368" t="s">
        <v>2541</v>
      </c>
      <c r="F368" t="s">
        <v>2542</v>
      </c>
      <c r="G368" t="s">
        <v>1005</v>
      </c>
      <c r="H368" s="11">
        <v>138.88999999999999</v>
      </c>
      <c r="I368" s="10">
        <f>H368*(1-IFERROR(VLOOKUP(G368,Rabat!$C$9:$D$43,2,0),0))</f>
        <v>138.88999999999999</v>
      </c>
      <c r="J368" t="s">
        <v>1815</v>
      </c>
      <c r="K368" t="s">
        <v>2596</v>
      </c>
      <c r="L368" t="s">
        <v>1813</v>
      </c>
      <c r="M368">
        <v>10</v>
      </c>
      <c r="N368">
        <v>200</v>
      </c>
      <c r="O368" t="s">
        <v>1819</v>
      </c>
      <c r="P368" s="12" t="str">
        <f>HYPERLINK("https://b2b.kobi.pl/pl/product/12686,naswietlacz-led-delyo-mhnc-100w-4000k-ip54-kobi-premium?currency=PLN")</f>
        <v>https://b2b.kobi.pl/pl/product/12686,naswietlacz-led-delyo-mhnc-100w-4000k-ip54-kobi-premium?currency=PLN</v>
      </c>
      <c r="Q368" s="12" t="str">
        <f>HYPERLINK("https://eprel.ec.europa.eu/qr/2365552")</f>
        <v>https://eprel.ec.europa.eu/qr/2365552</v>
      </c>
      <c r="R368"/>
      <c r="S368" t="s">
        <v>2573</v>
      </c>
      <c r="T368">
        <v>0.69</v>
      </c>
      <c r="U368">
        <v>0.82</v>
      </c>
      <c r="V368">
        <v>0.95</v>
      </c>
      <c r="W368">
        <v>29</v>
      </c>
      <c r="X368">
        <v>5.3</v>
      </c>
      <c r="Y368">
        <v>28.5</v>
      </c>
    </row>
    <row r="369" spans="1:25" ht="60" customHeight="1" x14ac:dyDescent="0.25">
      <c r="A369"/>
      <c r="B369" t="s">
        <v>3</v>
      </c>
      <c r="C369" t="s">
        <v>17</v>
      </c>
      <c r="D369" t="s">
        <v>606</v>
      </c>
      <c r="E369" t="s">
        <v>2543</v>
      </c>
      <c r="F369" t="s">
        <v>2544</v>
      </c>
      <c r="G369" t="s">
        <v>1005</v>
      </c>
      <c r="H369" s="11">
        <v>138.88999999999999</v>
      </c>
      <c r="I369" s="10">
        <f>H369*(1-IFERROR(VLOOKUP(G369,Rabat!$C$9:$D$43,2,0),0))</f>
        <v>138.88999999999999</v>
      </c>
      <c r="J369" t="s">
        <v>1815</v>
      </c>
      <c r="K369" t="s">
        <v>2597</v>
      </c>
      <c r="L369" t="s">
        <v>1813</v>
      </c>
      <c r="M369">
        <v>10</v>
      </c>
      <c r="N369">
        <v>200</v>
      </c>
      <c r="O369" t="s">
        <v>1819</v>
      </c>
      <c r="P369" s="12" t="str">
        <f>HYPERLINK("https://b2b.kobi.pl/pl/product/12687,naswietlacz-led-delyo-mhnc-100w-6000k-ip54-kobi-premium?currency=PLN")</f>
        <v>https://b2b.kobi.pl/pl/product/12687,naswietlacz-led-delyo-mhnc-100w-6000k-ip54-kobi-premium?currency=PLN</v>
      </c>
      <c r="Q369" s="12" t="str">
        <f>HYPERLINK("https://eprel.ec.europa.eu/qr/2365630")</f>
        <v>https://eprel.ec.europa.eu/qr/2365630</v>
      </c>
      <c r="R369"/>
      <c r="S369" t="s">
        <v>2573</v>
      </c>
      <c r="T369">
        <v>0.69</v>
      </c>
      <c r="U369">
        <v>0.82</v>
      </c>
      <c r="V369">
        <v>0.95</v>
      </c>
      <c r="W369">
        <v>29</v>
      </c>
      <c r="X369">
        <v>5.3</v>
      </c>
      <c r="Y369">
        <v>28.5</v>
      </c>
    </row>
    <row r="370" spans="1:25" ht="60" customHeight="1" x14ac:dyDescent="0.25">
      <c r="A370"/>
      <c r="B370" t="s">
        <v>3</v>
      </c>
      <c r="C370" t="s">
        <v>3810</v>
      </c>
      <c r="D370" t="s">
        <v>606</v>
      </c>
      <c r="E370" t="s">
        <v>924</v>
      </c>
      <c r="F370" t="s">
        <v>925</v>
      </c>
      <c r="G370" t="s">
        <v>926</v>
      </c>
      <c r="H370" s="11">
        <v>174.42</v>
      </c>
      <c r="I370" s="10">
        <f>H370*(1-IFERROR(VLOOKUP(G370,Rabat!$C$9:$D$43,2,0),0))</f>
        <v>174.42</v>
      </c>
      <c r="J370" t="s">
        <v>1815</v>
      </c>
      <c r="K370" t="s">
        <v>537</v>
      </c>
      <c r="L370" t="s">
        <v>1813</v>
      </c>
      <c r="M370">
        <v>5</v>
      </c>
      <c r="N370">
        <v>140</v>
      </c>
      <c r="O370" t="s">
        <v>1819</v>
      </c>
      <c r="P370" s="12" t="str">
        <f>HYPERLINK("https://b2b.kobi.pl/pl/product/9917,oprawa-drogowa-led-cyoto-100w-4000k-lx-kobi-premium?currency=PLN")</f>
        <v>https://b2b.kobi.pl/pl/product/9917,oprawa-drogowa-led-cyoto-100w-4000k-lx-kobi-premium?currency=PLN</v>
      </c>
      <c r="Q370" s="12" t="str">
        <f>HYPERLINK("https://eprel.ec.europa.eu/qr/2075604")</f>
        <v>https://eprel.ec.europa.eu/qr/2075604</v>
      </c>
      <c r="R370" t="s">
        <v>1945</v>
      </c>
      <c r="S370" t="s">
        <v>2573</v>
      </c>
      <c r="T370">
        <v>1.02</v>
      </c>
      <c r="U370">
        <v>1.206</v>
      </c>
      <c r="V370">
        <v>1.407</v>
      </c>
      <c r="W370">
        <v>12</v>
      </c>
      <c r="X370">
        <v>8.3000000000000007</v>
      </c>
      <c r="Y370">
        <v>64</v>
      </c>
    </row>
    <row r="371" spans="1:25" ht="60" customHeight="1" x14ac:dyDescent="0.25">
      <c r="A371"/>
      <c r="B371" t="s">
        <v>3</v>
      </c>
      <c r="C371" t="s">
        <v>3810</v>
      </c>
      <c r="D371" t="s">
        <v>575</v>
      </c>
      <c r="E371" t="s">
        <v>1048</v>
      </c>
      <c r="F371" t="s">
        <v>1049</v>
      </c>
      <c r="G371" t="s">
        <v>926</v>
      </c>
      <c r="H371" s="11">
        <v>677.78</v>
      </c>
      <c r="I371" s="10">
        <f>H371*(1-IFERROR(VLOOKUP(G371,Rabat!$C$9:$D$43,2,0),0))</f>
        <v>677.78</v>
      </c>
      <c r="J371" t="s">
        <v>1821</v>
      </c>
      <c r="K371" t="s">
        <v>225</v>
      </c>
      <c r="L371" t="s">
        <v>1813</v>
      </c>
      <c r="M371"/>
      <c r="N371"/>
      <c r="O371" t="s">
        <v>1814</v>
      </c>
      <c r="P371" s="12" t="str">
        <f>HYPERLINK("https://b2b.kobi.pl/pl/product/10027,oprawa-drogowa-led-master-street-35w-4000k-ip66-mb-kobi-pro?currency=PLN")</f>
        <v>https://b2b.kobi.pl/pl/product/10027,oprawa-drogowa-led-master-street-35w-4000k-ip66-mb-kobi-pro?currency=PLN</v>
      </c>
      <c r="Q371" s="12" t="str">
        <f>HYPERLINK("https://eprel.ec.europa.eu/qr/1852383")</f>
        <v>https://eprel.ec.europa.eu/qr/1852383</v>
      </c>
      <c r="R371" t="s">
        <v>1945</v>
      </c>
      <c r="S371" t="s">
        <v>2573</v>
      </c>
      <c r="T371">
        <v>2.75</v>
      </c>
      <c r="U371">
        <v>3.25</v>
      </c>
      <c r="V371">
        <v>3.72</v>
      </c>
      <c r="W371">
        <v>25</v>
      </c>
      <c r="X371">
        <v>29</v>
      </c>
      <c r="Y371">
        <v>16</v>
      </c>
    </row>
    <row r="372" spans="1:25" ht="60" customHeight="1" x14ac:dyDescent="0.25">
      <c r="A372"/>
      <c r="B372" t="s">
        <v>3</v>
      </c>
      <c r="C372" t="s">
        <v>3810</v>
      </c>
      <c r="D372" t="s">
        <v>575</v>
      </c>
      <c r="E372" t="s">
        <v>1050</v>
      </c>
      <c r="F372" t="s">
        <v>1051</v>
      </c>
      <c r="G372" t="s">
        <v>926</v>
      </c>
      <c r="H372" s="11">
        <v>677.78</v>
      </c>
      <c r="I372" s="10">
        <f>H372*(1-IFERROR(VLOOKUP(G372,Rabat!$C$9:$D$43,2,0),0))</f>
        <v>677.78</v>
      </c>
      <c r="J372" t="s">
        <v>1821</v>
      </c>
      <c r="K372" t="s">
        <v>226</v>
      </c>
      <c r="L372" t="s">
        <v>1813</v>
      </c>
      <c r="M372"/>
      <c r="N372"/>
      <c r="O372" t="s">
        <v>1814</v>
      </c>
      <c r="P372" s="12" t="str">
        <f>HYPERLINK("https://b2b.kobi.pl/pl/product/10028,oprawa-drogowa-led-master-street-35w-4000k-ip66-wb-kobi-pro?currency=PLN")</f>
        <v>https://b2b.kobi.pl/pl/product/10028,oprawa-drogowa-led-master-street-35w-4000k-ip66-wb-kobi-pro?currency=PLN</v>
      </c>
      <c r="Q372" s="12" t="str">
        <f>HYPERLINK("https://eprel.ec.europa.eu/qr/1852383")</f>
        <v>https://eprel.ec.europa.eu/qr/1852383</v>
      </c>
      <c r="R372" t="s">
        <v>1945</v>
      </c>
      <c r="S372" t="s">
        <v>2573</v>
      </c>
      <c r="T372">
        <v>2.75</v>
      </c>
      <c r="U372">
        <v>3.25</v>
      </c>
      <c r="V372">
        <v>3.72</v>
      </c>
      <c r="W372">
        <v>25</v>
      </c>
      <c r="X372">
        <v>29</v>
      </c>
      <c r="Y372">
        <v>16</v>
      </c>
    </row>
    <row r="373" spans="1:25" ht="60" customHeight="1" x14ac:dyDescent="0.25">
      <c r="A373"/>
      <c r="B373" t="s">
        <v>3</v>
      </c>
      <c r="C373" t="s">
        <v>3810</v>
      </c>
      <c r="D373" t="s">
        <v>575</v>
      </c>
      <c r="E373" t="s">
        <v>1145</v>
      </c>
      <c r="F373" t="s">
        <v>1146</v>
      </c>
      <c r="G373" t="s">
        <v>926</v>
      </c>
      <c r="H373" s="11">
        <v>235.74</v>
      </c>
      <c r="I373" s="10">
        <f>H373*(1-IFERROR(VLOOKUP(G373,Rabat!$C$9:$D$43,2,0),0))</f>
        <v>235.74</v>
      </c>
      <c r="J373" t="s">
        <v>1823</v>
      </c>
      <c r="K373" t="s">
        <v>227</v>
      </c>
      <c r="L373" t="s">
        <v>1813</v>
      </c>
      <c r="M373">
        <v>6</v>
      </c>
      <c r="N373">
        <v>96</v>
      </c>
      <c r="O373" t="s">
        <v>1814</v>
      </c>
      <c r="P373" s="12" t="str">
        <f>HYPERLINK("https://b2b.kobi.pl/pl/product/10218,oprawa-drogowa-led-vespa-pro-40w-4000k-ip66-kobi-pro?currency=PLN")</f>
        <v>https://b2b.kobi.pl/pl/product/10218,oprawa-drogowa-led-vespa-pro-40w-4000k-ip66-kobi-pro?currency=PLN</v>
      </c>
      <c r="Q373" s="12" t="str">
        <f>HYPERLINK("https://eprel.ec.europa.eu/qr/1410066")</f>
        <v>https://eprel.ec.europa.eu/qr/1410066</v>
      </c>
      <c r="R373"/>
      <c r="S373" t="s">
        <v>2573</v>
      </c>
      <c r="T373">
        <v>1.35</v>
      </c>
      <c r="U373">
        <v>1.6</v>
      </c>
      <c r="V373">
        <v>1.84</v>
      </c>
      <c r="W373">
        <v>16.7</v>
      </c>
      <c r="X373">
        <v>12</v>
      </c>
      <c r="Y373">
        <v>5.4</v>
      </c>
    </row>
    <row r="374" spans="1:25" ht="60" customHeight="1" x14ac:dyDescent="0.25">
      <c r="A374"/>
      <c r="B374" t="s">
        <v>3</v>
      </c>
      <c r="C374" t="s">
        <v>3810</v>
      </c>
      <c r="D374" t="s">
        <v>575</v>
      </c>
      <c r="E374" t="s">
        <v>1147</v>
      </c>
      <c r="F374" t="s">
        <v>1148</v>
      </c>
      <c r="G374" t="s">
        <v>926</v>
      </c>
      <c r="H374" s="11">
        <v>281.95</v>
      </c>
      <c r="I374" s="10">
        <f>H374*(1-IFERROR(VLOOKUP(G374,Rabat!$C$9:$D$43,2,0),0))</f>
        <v>281.95</v>
      </c>
      <c r="J374" t="s">
        <v>1823</v>
      </c>
      <c r="K374" t="s">
        <v>228</v>
      </c>
      <c r="L374" t="s">
        <v>1813</v>
      </c>
      <c r="M374">
        <v>6</v>
      </c>
      <c r="N374">
        <v>96</v>
      </c>
      <c r="O374" t="s">
        <v>1814</v>
      </c>
      <c r="P374" s="12" t="str">
        <f>HYPERLINK("https://b2b.kobi.pl/pl/product/10219,oprawa-drogowa-led-vespa-pro-60w-4000k-ip66-kobi-pro?currency=PLN")</f>
        <v>https://b2b.kobi.pl/pl/product/10219,oprawa-drogowa-led-vespa-pro-60w-4000k-ip66-kobi-pro?currency=PLN</v>
      </c>
      <c r="Q374" s="12" t="str">
        <f>HYPERLINK("https://eprel.ec.europa.eu/qr/1410067")</f>
        <v>https://eprel.ec.europa.eu/qr/1410067</v>
      </c>
      <c r="R374"/>
      <c r="S374" t="s">
        <v>2573</v>
      </c>
      <c r="T374">
        <v>1.61</v>
      </c>
      <c r="U374">
        <v>1.9</v>
      </c>
      <c r="V374">
        <v>2.1869999999999998</v>
      </c>
      <c r="W374">
        <v>18.7</v>
      </c>
      <c r="X374">
        <v>12</v>
      </c>
      <c r="Y374">
        <v>5.85</v>
      </c>
    </row>
    <row r="375" spans="1:25" ht="60" customHeight="1" x14ac:dyDescent="0.25">
      <c r="A375"/>
      <c r="B375" t="s">
        <v>3</v>
      </c>
      <c r="C375" t="s">
        <v>3810</v>
      </c>
      <c r="D375" t="s">
        <v>575</v>
      </c>
      <c r="E375" t="s">
        <v>1139</v>
      </c>
      <c r="F375" t="s">
        <v>1140</v>
      </c>
      <c r="G375" t="s">
        <v>926</v>
      </c>
      <c r="H375" s="11">
        <v>420.62</v>
      </c>
      <c r="I375" s="10">
        <f>H375*(1-IFERROR(VLOOKUP(G375,Rabat!$C$9:$D$43,2,0),0))</f>
        <v>420.62</v>
      </c>
      <c r="J375" t="s">
        <v>1823</v>
      </c>
      <c r="K375" t="s">
        <v>229</v>
      </c>
      <c r="L375" t="s">
        <v>1813</v>
      </c>
      <c r="M375">
        <v>6</v>
      </c>
      <c r="N375">
        <v>54</v>
      </c>
      <c r="O375" t="s">
        <v>1814</v>
      </c>
      <c r="P375" s="12" t="str">
        <f>HYPERLINK("https://b2b.kobi.pl/pl/product/10213,oprawa-drogowa-led-vespa-pro-100w-4000k-ip66-kobi-pro?currency=PLN")</f>
        <v>https://b2b.kobi.pl/pl/product/10213,oprawa-drogowa-led-vespa-pro-100w-4000k-ip66-kobi-pro?currency=PLN</v>
      </c>
      <c r="Q375" s="12" t="str">
        <f>HYPERLINK("https://eprel.ec.europa.eu/qr/1410068")</f>
        <v>https://eprel.ec.europa.eu/qr/1410068</v>
      </c>
      <c r="R375"/>
      <c r="S375" t="s">
        <v>2573</v>
      </c>
      <c r="T375">
        <v>2.0699999999999998</v>
      </c>
      <c r="U375">
        <v>2.4500000000000002</v>
      </c>
      <c r="V375">
        <v>2.79</v>
      </c>
      <c r="W375">
        <v>22.8</v>
      </c>
      <c r="X375">
        <v>12</v>
      </c>
      <c r="Y375">
        <v>6.4</v>
      </c>
    </row>
    <row r="376" spans="1:25" ht="60" customHeight="1" x14ac:dyDescent="0.25">
      <c r="A376"/>
      <c r="B376" t="s">
        <v>3</v>
      </c>
      <c r="C376" t="s">
        <v>3810</v>
      </c>
      <c r="D376" t="s">
        <v>575</v>
      </c>
      <c r="E376" t="s">
        <v>1141</v>
      </c>
      <c r="F376" t="s">
        <v>1142</v>
      </c>
      <c r="G376" t="s">
        <v>926</v>
      </c>
      <c r="H376" s="11">
        <v>485.34</v>
      </c>
      <c r="I376" s="10">
        <f>H376*(1-IFERROR(VLOOKUP(G376,Rabat!$C$9:$D$43,2,0),0))</f>
        <v>485.34</v>
      </c>
      <c r="J376" t="s">
        <v>1823</v>
      </c>
      <c r="K376" t="s">
        <v>230</v>
      </c>
      <c r="L376" t="s">
        <v>1813</v>
      </c>
      <c r="M376">
        <v>4</v>
      </c>
      <c r="N376">
        <v>48</v>
      </c>
      <c r="O376" t="s">
        <v>1814</v>
      </c>
      <c r="P376" s="12" t="str">
        <f>HYPERLINK("https://b2b.kobi.pl/pl/product/10214,oprawa-drogowa-led-vespa-pro-150w-4000k-ip66-kobi-pro?currency=PLN")</f>
        <v>https://b2b.kobi.pl/pl/product/10214,oprawa-drogowa-led-vespa-pro-150w-4000k-ip66-kobi-pro?currency=PLN</v>
      </c>
      <c r="Q376" s="12" t="str">
        <f>HYPERLINK("https://eprel.ec.europa.eu/qr/1410069")</f>
        <v>https://eprel.ec.europa.eu/qr/1410069</v>
      </c>
      <c r="R376"/>
      <c r="S376" t="s">
        <v>2573</v>
      </c>
      <c r="T376">
        <v>2.37</v>
      </c>
      <c r="U376">
        <v>2.8</v>
      </c>
      <c r="V376">
        <v>3.1920000000000002</v>
      </c>
      <c r="W376">
        <v>25.5</v>
      </c>
      <c r="X376">
        <v>12</v>
      </c>
      <c r="Y376">
        <v>6.9</v>
      </c>
    </row>
    <row r="377" spans="1:25" ht="60" customHeight="1" x14ac:dyDescent="0.25">
      <c r="A377"/>
      <c r="B377" t="s">
        <v>3</v>
      </c>
      <c r="C377" t="s">
        <v>3810</v>
      </c>
      <c r="D377" t="s">
        <v>575</v>
      </c>
      <c r="E377" t="s">
        <v>1143</v>
      </c>
      <c r="F377" t="s">
        <v>1144</v>
      </c>
      <c r="G377" t="s">
        <v>926</v>
      </c>
      <c r="H377" s="11">
        <v>621.69000000000005</v>
      </c>
      <c r="I377" s="10">
        <f>H377*(1-IFERROR(VLOOKUP(G377,Rabat!$C$9:$D$43,2,0),0))</f>
        <v>621.69000000000005</v>
      </c>
      <c r="J377" t="s">
        <v>1823</v>
      </c>
      <c r="K377" t="s">
        <v>231</v>
      </c>
      <c r="L377" t="s">
        <v>1813</v>
      </c>
      <c r="M377">
        <v>4</v>
      </c>
      <c r="N377">
        <v>36</v>
      </c>
      <c r="O377" t="s">
        <v>1814</v>
      </c>
      <c r="P377" s="12" t="str">
        <f>HYPERLINK("https://b2b.kobi.pl/pl/product/10215,oprawa-drogowa-led-vespa-pro-200w-4000k-ip66-kobi-pro?currency=PLN")</f>
        <v>https://b2b.kobi.pl/pl/product/10215,oprawa-drogowa-led-vespa-pro-200w-4000k-ip66-kobi-pro?currency=PLN</v>
      </c>
      <c r="Q377" s="12" t="str">
        <f>HYPERLINK("https://eprel.ec.europa.eu/qr/1410070")</f>
        <v>https://eprel.ec.europa.eu/qr/1410070</v>
      </c>
      <c r="R377"/>
      <c r="S377" t="s">
        <v>2573</v>
      </c>
      <c r="T377">
        <v>3.25</v>
      </c>
      <c r="U377">
        <v>3.85</v>
      </c>
      <c r="V377">
        <v>4.3449999999999998</v>
      </c>
      <c r="W377">
        <v>30.7</v>
      </c>
      <c r="X377">
        <v>12</v>
      </c>
      <c r="Y377">
        <v>7.9</v>
      </c>
    </row>
    <row r="378" spans="1:25" ht="60" customHeight="1" x14ac:dyDescent="0.25">
      <c r="A378"/>
      <c r="B378" t="s">
        <v>3</v>
      </c>
      <c r="C378" t="s">
        <v>3810</v>
      </c>
      <c r="D378" t="s">
        <v>606</v>
      </c>
      <c r="E378" t="s">
        <v>2545</v>
      </c>
      <c r="F378" t="s">
        <v>2546</v>
      </c>
      <c r="G378" t="s">
        <v>926</v>
      </c>
      <c r="H378" s="11">
        <v>85.49</v>
      </c>
      <c r="I378" s="10">
        <f>H378*(1-IFERROR(VLOOKUP(G378,Rabat!$C$9:$D$43,2,0),0))</f>
        <v>85.49</v>
      </c>
      <c r="J378" t="s">
        <v>1815</v>
      </c>
      <c r="K378" t="s">
        <v>2598</v>
      </c>
      <c r="L378" t="s">
        <v>1813</v>
      </c>
      <c r="M378">
        <v>10</v>
      </c>
      <c r="N378"/>
      <c r="O378" t="s">
        <v>1819</v>
      </c>
      <c r="P378" s="12" t="str">
        <f>HYPERLINK("https://b2b.kobi.pl/pl/product/12767,oprawa-drogowa-led-breluxo-50w-4000k-ip65-kobi-premium?currency=PLN")</f>
        <v>https://b2b.kobi.pl/pl/product/12767,oprawa-drogowa-led-breluxo-50w-4000k-ip65-kobi-premium?currency=PLN</v>
      </c>
      <c r="Q378" t="s">
        <v>14</v>
      </c>
      <c r="R378"/>
      <c r="S378" t="s">
        <v>2573</v>
      </c>
      <c r="T378">
        <v>0.72</v>
      </c>
      <c r="U378">
        <v>0.85</v>
      </c>
      <c r="V378">
        <v>1.02</v>
      </c>
      <c r="W378">
        <v>11.5</v>
      </c>
      <c r="X378">
        <v>8</v>
      </c>
      <c r="Y378">
        <v>43.8</v>
      </c>
    </row>
    <row r="379" spans="1:25" ht="60" customHeight="1" x14ac:dyDescent="0.25">
      <c r="A379"/>
      <c r="B379" t="s">
        <v>3</v>
      </c>
      <c r="C379" t="s">
        <v>3810</v>
      </c>
      <c r="D379" t="s">
        <v>606</v>
      </c>
      <c r="E379" t="s">
        <v>2547</v>
      </c>
      <c r="F379" t="s">
        <v>2548</v>
      </c>
      <c r="G379" t="s">
        <v>926</v>
      </c>
      <c r="H379" s="11">
        <v>101.67</v>
      </c>
      <c r="I379" s="10">
        <f>H379*(1-IFERROR(VLOOKUP(G379,Rabat!$C$9:$D$43,2,0),0))</f>
        <v>101.67</v>
      </c>
      <c r="J379" t="s">
        <v>1815</v>
      </c>
      <c r="K379" t="s">
        <v>2599</v>
      </c>
      <c r="L379" t="s">
        <v>1813</v>
      </c>
      <c r="M379">
        <v>5</v>
      </c>
      <c r="N379"/>
      <c r="O379" t="s">
        <v>1819</v>
      </c>
      <c r="P379" s="12" t="str">
        <f>HYPERLINK("https://b2b.kobi.pl/pl/product/12768,oprawa-drogowa-led-breluxo-100w-4000k-ip65-kobi-premium?currency=PLN")</f>
        <v>https://b2b.kobi.pl/pl/product/12768,oprawa-drogowa-led-breluxo-100w-4000k-ip65-kobi-premium?currency=PLN</v>
      </c>
      <c r="Q379" t="s">
        <v>14</v>
      </c>
      <c r="R379"/>
      <c r="S379" t="s">
        <v>2573</v>
      </c>
      <c r="T379">
        <v>0.85</v>
      </c>
      <c r="U379">
        <v>1.01</v>
      </c>
      <c r="V379">
        <v>1.2</v>
      </c>
      <c r="W379">
        <v>16</v>
      </c>
      <c r="X379">
        <v>8</v>
      </c>
      <c r="Y379">
        <v>48.8</v>
      </c>
    </row>
    <row r="380" spans="1:25" ht="60" customHeight="1" x14ac:dyDescent="0.25">
      <c r="A380"/>
      <c r="B380" t="s">
        <v>3</v>
      </c>
      <c r="C380" t="s">
        <v>3810</v>
      </c>
      <c r="D380" t="s">
        <v>606</v>
      </c>
      <c r="E380" t="s">
        <v>2549</v>
      </c>
      <c r="F380" t="s">
        <v>2550</v>
      </c>
      <c r="G380" t="s">
        <v>926</v>
      </c>
      <c r="H380" s="11">
        <v>143.27000000000001</v>
      </c>
      <c r="I380" s="10">
        <f>H380*(1-IFERROR(VLOOKUP(G380,Rabat!$C$9:$D$43,2,0),0))</f>
        <v>143.27000000000001</v>
      </c>
      <c r="J380" t="s">
        <v>1815</v>
      </c>
      <c r="K380" t="s">
        <v>2600</v>
      </c>
      <c r="L380" t="s">
        <v>1813</v>
      </c>
      <c r="M380">
        <v>5</v>
      </c>
      <c r="N380"/>
      <c r="O380" t="s">
        <v>1819</v>
      </c>
      <c r="P380" s="12" t="str">
        <f>HYPERLINK("https://b2b.kobi.pl/pl/product/12769,oprawa-drogowa-led-breluxo-150w-4000k-ip65-kobi-premium?currency=PLN")</f>
        <v>https://b2b.kobi.pl/pl/product/12769,oprawa-drogowa-led-breluxo-150w-4000k-ip65-kobi-premium?currency=PLN</v>
      </c>
      <c r="Q380" t="s">
        <v>14</v>
      </c>
      <c r="R380"/>
      <c r="S380" t="s">
        <v>2573</v>
      </c>
      <c r="T380">
        <v>0.94</v>
      </c>
      <c r="U380">
        <v>1.1100000000000001</v>
      </c>
      <c r="V380">
        <v>1.32</v>
      </c>
      <c r="W380">
        <v>17</v>
      </c>
      <c r="X380">
        <v>8</v>
      </c>
      <c r="Y380">
        <v>54.3</v>
      </c>
    </row>
    <row r="381" spans="1:25" ht="60" customHeight="1" x14ac:dyDescent="0.25">
      <c r="A381"/>
      <c r="B381" t="s">
        <v>3</v>
      </c>
      <c r="C381" t="s">
        <v>3810</v>
      </c>
      <c r="D381" t="s">
        <v>606</v>
      </c>
      <c r="E381" t="s">
        <v>2551</v>
      </c>
      <c r="F381" t="s">
        <v>2552</v>
      </c>
      <c r="G381" t="s">
        <v>926</v>
      </c>
      <c r="H381" s="11">
        <v>191.8</v>
      </c>
      <c r="I381" s="10">
        <f>H381*(1-IFERROR(VLOOKUP(G381,Rabat!$C$9:$D$43,2,0),0))</f>
        <v>191.8</v>
      </c>
      <c r="J381" t="s">
        <v>1815</v>
      </c>
      <c r="K381" t="s">
        <v>2601</v>
      </c>
      <c r="L381" t="s">
        <v>1813</v>
      </c>
      <c r="M381">
        <v>5</v>
      </c>
      <c r="N381"/>
      <c r="O381" t="s">
        <v>1819</v>
      </c>
      <c r="P381" s="12" t="str">
        <f>HYPERLINK("https://b2b.kobi.pl/pl/product/12770,oprawa-drogowa-led-breluxo-200w-4000k-ip65-kobi-premium?currency=PLN")</f>
        <v>https://b2b.kobi.pl/pl/product/12770,oprawa-drogowa-led-breluxo-200w-4000k-ip65-kobi-premium?currency=PLN</v>
      </c>
      <c r="Q381" t="s">
        <v>14</v>
      </c>
      <c r="R381"/>
      <c r="S381" t="s">
        <v>2573</v>
      </c>
      <c r="T381">
        <v>1.39</v>
      </c>
      <c r="U381">
        <v>1.64</v>
      </c>
      <c r="V381">
        <v>1.9</v>
      </c>
      <c r="W381">
        <v>21</v>
      </c>
      <c r="X381">
        <v>8</v>
      </c>
      <c r="Y381">
        <v>60.3</v>
      </c>
    </row>
    <row r="382" spans="1:25" ht="60" customHeight="1" x14ac:dyDescent="0.25">
      <c r="A382"/>
      <c r="B382" t="s">
        <v>3</v>
      </c>
      <c r="C382" t="s">
        <v>3810</v>
      </c>
      <c r="D382" t="s">
        <v>575</v>
      </c>
      <c r="E382" t="s">
        <v>2747</v>
      </c>
      <c r="F382" t="s">
        <v>2748</v>
      </c>
      <c r="G382" t="s">
        <v>926</v>
      </c>
      <c r="H382" s="11">
        <v>622.22</v>
      </c>
      <c r="I382" s="10">
        <f>H382*(1-IFERROR(VLOOKUP(G382,Rabat!$C$9:$D$43,2,0),0))</f>
        <v>622.22</v>
      </c>
      <c r="J382" t="s">
        <v>1815</v>
      </c>
      <c r="K382" t="s">
        <v>2769</v>
      </c>
      <c r="L382" t="s">
        <v>1813</v>
      </c>
      <c r="M382">
        <v>1</v>
      </c>
      <c r="N382">
        <v>70</v>
      </c>
      <c r="O382" t="s">
        <v>1814</v>
      </c>
      <c r="P382" s="12" t="str">
        <f>HYPERLINK("https://b2b.kobi.pl/pl/product/12852,oprawa-drogowa-led-ultimate-street-50w-4000k-ip66-kobi-pro?currency=PLN")</f>
        <v>https://b2b.kobi.pl/pl/product/12852,oprawa-drogowa-led-ultimate-street-50w-4000k-ip66-kobi-pro?currency=PLN</v>
      </c>
      <c r="Q382" s="12" t="str">
        <f>HYPERLINK("https://eprel.ec.europa.eu/qr/2480011")</f>
        <v>https://eprel.ec.europa.eu/qr/2480011</v>
      </c>
      <c r="R382"/>
      <c r="S382" t="s">
        <v>2573</v>
      </c>
      <c r="T382">
        <v>1.94</v>
      </c>
      <c r="U382">
        <v>2.2999999999999998</v>
      </c>
      <c r="V382">
        <v>2.6</v>
      </c>
      <c r="W382">
        <v>47.5</v>
      </c>
      <c r="X382">
        <v>16</v>
      </c>
      <c r="Y382">
        <v>20</v>
      </c>
    </row>
    <row r="383" spans="1:25" ht="60" customHeight="1" x14ac:dyDescent="0.25">
      <c r="A383"/>
      <c r="B383" t="s">
        <v>3</v>
      </c>
      <c r="C383" t="s">
        <v>3810</v>
      </c>
      <c r="D383" t="s">
        <v>575</v>
      </c>
      <c r="E383" t="s">
        <v>2749</v>
      </c>
      <c r="F383" t="s">
        <v>2750</v>
      </c>
      <c r="G383" t="s">
        <v>926</v>
      </c>
      <c r="H383" s="11">
        <v>711.11</v>
      </c>
      <c r="I383" s="10">
        <f>H383*(1-IFERROR(VLOOKUP(G383,Rabat!$C$9:$D$43,2,0),0))</f>
        <v>711.11</v>
      </c>
      <c r="J383" t="s">
        <v>1815</v>
      </c>
      <c r="K383" t="s">
        <v>2770</v>
      </c>
      <c r="L383" t="s">
        <v>1813</v>
      </c>
      <c r="M383">
        <v>1</v>
      </c>
      <c r="N383">
        <v>63</v>
      </c>
      <c r="O383" t="s">
        <v>1814</v>
      </c>
      <c r="P383" s="12" t="str">
        <f>HYPERLINK("https://b2b.kobi.pl/pl/product/12853,oprawa-drogowa-led-ultimate-street-100w-4000k-ip66-kobi-pro?currency=PLN")</f>
        <v>https://b2b.kobi.pl/pl/product/12853,oprawa-drogowa-led-ultimate-street-100w-4000k-ip66-kobi-pro?currency=PLN</v>
      </c>
      <c r="Q383" s="12" t="str">
        <f>HYPERLINK("https://eprel.ec.europa.eu/qr/2480021")</f>
        <v>https://eprel.ec.europa.eu/qr/2480021</v>
      </c>
      <c r="R383"/>
      <c r="S383" t="s">
        <v>2573</v>
      </c>
      <c r="T383">
        <v>2.66</v>
      </c>
      <c r="U383">
        <v>3.15</v>
      </c>
      <c r="V383">
        <v>3.55</v>
      </c>
      <c r="W383">
        <v>56</v>
      </c>
      <c r="X383">
        <v>15</v>
      </c>
      <c r="Y383">
        <v>23</v>
      </c>
    </row>
    <row r="384" spans="1:25" ht="60" customHeight="1" x14ac:dyDescent="0.25">
      <c r="A384"/>
      <c r="B384" t="s">
        <v>3</v>
      </c>
      <c r="C384" t="s">
        <v>3810</v>
      </c>
      <c r="D384" t="s">
        <v>575</v>
      </c>
      <c r="E384" t="s">
        <v>2751</v>
      </c>
      <c r="F384" t="s">
        <v>2752</v>
      </c>
      <c r="G384" t="s">
        <v>926</v>
      </c>
      <c r="H384" s="11">
        <v>886.67</v>
      </c>
      <c r="I384" s="10">
        <f>H384*(1-IFERROR(VLOOKUP(G384,Rabat!$C$9:$D$43,2,0),0))</f>
        <v>886.67</v>
      </c>
      <c r="J384" t="s">
        <v>1815</v>
      </c>
      <c r="K384" t="s">
        <v>2771</v>
      </c>
      <c r="L384" t="s">
        <v>1813</v>
      </c>
      <c r="M384">
        <v>1</v>
      </c>
      <c r="N384">
        <v>38</v>
      </c>
      <c r="O384" t="s">
        <v>1814</v>
      </c>
      <c r="P384" s="12" t="str">
        <f>HYPERLINK("https://b2b.kobi.pl/pl/product/12854,oprawa-drogowa-led-ultimate-street-150w-4000k-ip66-kobi-pro?currency=PLN")</f>
        <v>https://b2b.kobi.pl/pl/product/12854,oprawa-drogowa-led-ultimate-street-150w-4000k-ip66-kobi-pro?currency=PLN</v>
      </c>
      <c r="Q384" s="12" t="str">
        <f>HYPERLINK("https://eprel.ec.europa.eu/qr/2480083")</f>
        <v>https://eprel.ec.europa.eu/qr/2480083</v>
      </c>
      <c r="R384"/>
      <c r="S384" t="s">
        <v>2573</v>
      </c>
      <c r="T384">
        <v>4.01</v>
      </c>
      <c r="U384">
        <v>4.75</v>
      </c>
      <c r="V384">
        <v>5.25</v>
      </c>
      <c r="W384">
        <v>66</v>
      </c>
      <c r="X384">
        <v>16</v>
      </c>
      <c r="Y384">
        <v>30</v>
      </c>
    </row>
    <row r="385" spans="1:25" ht="60" customHeight="1" x14ac:dyDescent="0.25">
      <c r="A385"/>
      <c r="B385" t="s">
        <v>3</v>
      </c>
      <c r="C385" t="s">
        <v>3810</v>
      </c>
      <c r="D385" t="s">
        <v>575</v>
      </c>
      <c r="E385" t="s">
        <v>3385</v>
      </c>
      <c r="F385" t="s">
        <v>3386</v>
      </c>
      <c r="G385" t="s">
        <v>926</v>
      </c>
      <c r="H385" s="11">
        <v>404.45</v>
      </c>
      <c r="I385" s="10">
        <f>H385*(1-IFERROR(VLOOKUP(G385,Rabat!$C$9:$D$43,2,0),0))</f>
        <v>404.45</v>
      </c>
      <c r="J385" t="s">
        <v>1815</v>
      </c>
      <c r="K385" t="s">
        <v>3387</v>
      </c>
      <c r="L385" t="s">
        <v>1813</v>
      </c>
      <c r="M385">
        <v>4</v>
      </c>
      <c r="N385">
        <v>64</v>
      </c>
      <c r="O385" t="s">
        <v>1814</v>
      </c>
      <c r="P385" s="12" t="str">
        <f>HYPERLINK("https://b2b.kobi.pl/pl/product/12987,oprawa-parkowa-led-nexpark-g2-30w-40w-60w-3cct-ip66-kobi-pro?currency=PLN")</f>
        <v>https://b2b.kobi.pl/pl/product/12987,oprawa-parkowa-led-nexpark-g2-30w-40w-60w-3cct-ip66-kobi-pro?currency=PLN</v>
      </c>
      <c r="Q385" s="12" t="str">
        <f>HYPERLINK("https://eprel.ec.europa.eu/qr/2444652")</f>
        <v>https://eprel.ec.europa.eu/qr/2444652</v>
      </c>
      <c r="R385"/>
      <c r="S385" t="s">
        <v>2573</v>
      </c>
      <c r="T385">
        <v>2.0299999999999998</v>
      </c>
      <c r="U385">
        <v>2.4</v>
      </c>
      <c r="V385">
        <v>3.05</v>
      </c>
      <c r="W385">
        <v>41</v>
      </c>
      <c r="X385">
        <v>38.6</v>
      </c>
      <c r="Y385">
        <v>12</v>
      </c>
    </row>
    <row r="386" spans="1:25" ht="60" customHeight="1" x14ac:dyDescent="0.25">
      <c r="A386"/>
      <c r="B386" t="s">
        <v>3</v>
      </c>
      <c r="C386" t="s">
        <v>18</v>
      </c>
      <c r="D386" t="s">
        <v>575</v>
      </c>
      <c r="E386" t="s">
        <v>666</v>
      </c>
      <c r="F386" t="s">
        <v>667</v>
      </c>
      <c r="G386" t="s">
        <v>577</v>
      </c>
      <c r="H386" s="11">
        <v>531.11</v>
      </c>
      <c r="I386" s="10">
        <f>H386*(1-IFERROR(VLOOKUP(G386,Rabat!$C$9:$D$43,2,0),0))</f>
        <v>531.11</v>
      </c>
      <c r="J386" t="s">
        <v>1815</v>
      </c>
      <c r="K386" t="s">
        <v>204</v>
      </c>
      <c r="L386" t="s">
        <v>1813</v>
      </c>
      <c r="M386">
        <v>1</v>
      </c>
      <c r="N386">
        <v>62</v>
      </c>
      <c r="O386" t="s">
        <v>1822</v>
      </c>
      <c r="P386" s="12" t="str">
        <f>HYPERLINK("https://b2b.kobi.pl/pl/product/9889,high-bay-led-anica-100w-4000k-ip65-120-kobi-pro?currency=PLN")</f>
        <v>https://b2b.kobi.pl/pl/product/9889,high-bay-led-anica-100w-4000k-ip65-120-kobi-pro?currency=PLN</v>
      </c>
      <c r="Q386" s="12" t="str">
        <f>HYPERLINK("https://eprel.ec.europa.eu/qr/1899009")</f>
        <v>https://eprel.ec.europa.eu/qr/1899009</v>
      </c>
      <c r="R386"/>
      <c r="S386" t="s">
        <v>2573</v>
      </c>
      <c r="T386">
        <v>1.56</v>
      </c>
      <c r="U386">
        <v>1.85</v>
      </c>
      <c r="V386">
        <v>2.9</v>
      </c>
      <c r="W386">
        <v>32.5</v>
      </c>
      <c r="X386">
        <v>32.5</v>
      </c>
      <c r="Y386">
        <v>16</v>
      </c>
    </row>
    <row r="387" spans="1:25" ht="60" customHeight="1" x14ac:dyDescent="0.25">
      <c r="A387"/>
      <c r="B387" t="s">
        <v>3</v>
      </c>
      <c r="C387" t="s">
        <v>18</v>
      </c>
      <c r="D387" t="s">
        <v>575</v>
      </c>
      <c r="E387" t="s">
        <v>664</v>
      </c>
      <c r="F387" t="s">
        <v>665</v>
      </c>
      <c r="G387" t="s">
        <v>577</v>
      </c>
      <c r="H387" s="11">
        <v>531.11</v>
      </c>
      <c r="I387" s="10">
        <f>H387*(1-IFERROR(VLOOKUP(G387,Rabat!$C$9:$D$43,2,0),0))</f>
        <v>531.11</v>
      </c>
      <c r="J387" t="s">
        <v>1815</v>
      </c>
      <c r="K387" t="s">
        <v>205</v>
      </c>
      <c r="L387" t="s">
        <v>1813</v>
      </c>
      <c r="M387">
        <v>1</v>
      </c>
      <c r="N387">
        <v>62</v>
      </c>
      <c r="O387" t="s">
        <v>1822</v>
      </c>
      <c r="P387" s="12" t="str">
        <f>HYPERLINK("https://b2b.kobi.pl/pl/product/9890,high-bay-led-anica-100w-4000k-ip65-90-kobi-pro?currency=PLN")</f>
        <v>https://b2b.kobi.pl/pl/product/9890,high-bay-led-anica-100w-4000k-ip65-90-kobi-pro?currency=PLN</v>
      </c>
      <c r="Q387" s="12" t="str">
        <f>HYPERLINK("https://eprel.ec.europa.eu/qr/1899009")</f>
        <v>https://eprel.ec.europa.eu/qr/1899009</v>
      </c>
      <c r="R387"/>
      <c r="S387" t="s">
        <v>2573</v>
      </c>
      <c r="T387">
        <v>1.56</v>
      </c>
      <c r="U387">
        <v>1.85</v>
      </c>
      <c r="V387">
        <v>2.9</v>
      </c>
      <c r="W387">
        <v>32.5</v>
      </c>
      <c r="X387">
        <v>32.5</v>
      </c>
      <c r="Y387">
        <v>16</v>
      </c>
    </row>
    <row r="388" spans="1:25" ht="60" customHeight="1" x14ac:dyDescent="0.25">
      <c r="A388"/>
      <c r="B388" t="s">
        <v>3</v>
      </c>
      <c r="C388" t="s">
        <v>18</v>
      </c>
      <c r="D388" t="s">
        <v>575</v>
      </c>
      <c r="E388" t="s">
        <v>2472</v>
      </c>
      <c r="F388" t="s">
        <v>2473</v>
      </c>
      <c r="G388" t="s">
        <v>577</v>
      </c>
      <c r="H388" s="11">
        <v>711.11</v>
      </c>
      <c r="I388" s="10">
        <f>H388*(1-IFERROR(VLOOKUP(G388,Rabat!$C$9:$D$43,2,0),0))</f>
        <v>711.11</v>
      </c>
      <c r="J388" t="s">
        <v>1815</v>
      </c>
      <c r="K388" t="s">
        <v>2483</v>
      </c>
      <c r="L388" t="s">
        <v>1813</v>
      </c>
      <c r="M388">
        <v>1</v>
      </c>
      <c r="N388">
        <v>62</v>
      </c>
      <c r="O388" t="s">
        <v>1822</v>
      </c>
      <c r="P388" s="12" t="str">
        <f>HYPERLINK("https://b2b.kobi.pl/pl/product/12694,high-bay-led-anica-100w-4000k-ip65-90-dali-kobi-pro?currency=PLN")</f>
        <v>https://b2b.kobi.pl/pl/product/12694,high-bay-led-anica-100w-4000k-ip65-90-dali-kobi-pro?currency=PLN</v>
      </c>
      <c r="Q388" s="12" t="str">
        <f>HYPERLINK("https://eprel.ec.europa.eu/qr/1899009")</f>
        <v>https://eprel.ec.europa.eu/qr/1899009</v>
      </c>
      <c r="R388"/>
      <c r="S388" t="s">
        <v>2573</v>
      </c>
      <c r="T388">
        <v>1.65</v>
      </c>
      <c r="U388">
        <v>1.95</v>
      </c>
      <c r="V388">
        <v>2.58</v>
      </c>
      <c r="W388">
        <v>32.5</v>
      </c>
      <c r="X388">
        <v>32.5</v>
      </c>
      <c r="Y388">
        <v>16</v>
      </c>
    </row>
    <row r="389" spans="1:25" ht="60" customHeight="1" x14ac:dyDescent="0.25">
      <c r="A389"/>
      <c r="B389" t="s">
        <v>3</v>
      </c>
      <c r="C389" t="s">
        <v>18</v>
      </c>
      <c r="D389" t="s">
        <v>575</v>
      </c>
      <c r="E389" t="s">
        <v>1953</v>
      </c>
      <c r="F389" t="s">
        <v>1954</v>
      </c>
      <c r="G389" t="s">
        <v>577</v>
      </c>
      <c r="H389" s="11">
        <v>688.89</v>
      </c>
      <c r="I389" s="10">
        <f>H389*(1-IFERROR(VLOOKUP(G389,Rabat!$C$9:$D$43,2,0),0))</f>
        <v>688.89</v>
      </c>
      <c r="J389" t="s">
        <v>1815</v>
      </c>
      <c r="K389" t="s">
        <v>1960</v>
      </c>
      <c r="L389" t="s">
        <v>1813</v>
      </c>
      <c r="M389">
        <v>1</v>
      </c>
      <c r="N389">
        <v>54</v>
      </c>
      <c r="O389" t="s">
        <v>1822</v>
      </c>
      <c r="P389" s="12" t="str">
        <f>HYPERLINK("https://b2b.kobi.pl/pl/product/9892,high-bay-led-anica-150w-4000k-ip65-90-kobi-pro?currency=PLN")</f>
        <v>https://b2b.kobi.pl/pl/product/9892,high-bay-led-anica-150w-4000k-ip65-90-kobi-pro?currency=PLN</v>
      </c>
      <c r="Q389" s="12" t="str">
        <f>HYPERLINK("https://eprel.ec.europa.eu/qr/2132169")</f>
        <v>https://eprel.ec.europa.eu/qr/2132169</v>
      </c>
      <c r="R389"/>
      <c r="S389" t="s">
        <v>2573</v>
      </c>
      <c r="T389">
        <v>1.99</v>
      </c>
      <c r="U389">
        <v>2.35</v>
      </c>
      <c r="V389">
        <v>3.3</v>
      </c>
      <c r="W389">
        <v>36.5</v>
      </c>
      <c r="X389">
        <v>36.5</v>
      </c>
      <c r="Y389">
        <v>16</v>
      </c>
    </row>
    <row r="390" spans="1:25" ht="60" customHeight="1" x14ac:dyDescent="0.25">
      <c r="A390"/>
      <c r="B390" t="s">
        <v>3</v>
      </c>
      <c r="C390" t="s">
        <v>18</v>
      </c>
      <c r="D390" t="s">
        <v>575</v>
      </c>
      <c r="E390" t="s">
        <v>1955</v>
      </c>
      <c r="F390" t="s">
        <v>1956</v>
      </c>
      <c r="G390" t="s">
        <v>577</v>
      </c>
      <c r="H390" s="11">
        <v>688.89</v>
      </c>
      <c r="I390" s="10">
        <f>H390*(1-IFERROR(VLOOKUP(G390,Rabat!$C$9:$D$43,2,0),0))</f>
        <v>688.89</v>
      </c>
      <c r="J390" t="s">
        <v>1815</v>
      </c>
      <c r="K390" t="s">
        <v>1961</v>
      </c>
      <c r="L390" t="s">
        <v>1813</v>
      </c>
      <c r="M390">
        <v>1</v>
      </c>
      <c r="N390">
        <v>54</v>
      </c>
      <c r="O390" t="s">
        <v>1822</v>
      </c>
      <c r="P390" s="12" t="str">
        <f>HYPERLINK("https://b2b.kobi.pl/pl/product/9891,high-bay-led-anica-150w-4000k-ip65-120-kobi-pro?currency=PLN")</f>
        <v>https://b2b.kobi.pl/pl/product/9891,high-bay-led-anica-150w-4000k-ip65-120-kobi-pro?currency=PLN</v>
      </c>
      <c r="Q390" s="12" t="str">
        <f>HYPERLINK("https://eprel.ec.europa.eu/qr/2132169")</f>
        <v>https://eprel.ec.europa.eu/qr/2132169</v>
      </c>
      <c r="R390"/>
      <c r="S390" t="s">
        <v>2573</v>
      </c>
      <c r="T390">
        <v>1.99</v>
      </c>
      <c r="U390">
        <v>2.35</v>
      </c>
      <c r="V390">
        <v>3.3</v>
      </c>
      <c r="W390">
        <v>36.5</v>
      </c>
      <c r="X390">
        <v>36.5</v>
      </c>
      <c r="Y390">
        <v>16</v>
      </c>
    </row>
    <row r="391" spans="1:25" ht="60" customHeight="1" x14ac:dyDescent="0.25">
      <c r="A391"/>
      <c r="B391" t="s">
        <v>3</v>
      </c>
      <c r="C391" t="s">
        <v>18</v>
      </c>
      <c r="D391" t="s">
        <v>575</v>
      </c>
      <c r="E391" t="s">
        <v>2474</v>
      </c>
      <c r="F391" t="s">
        <v>2475</v>
      </c>
      <c r="G391" t="s">
        <v>577</v>
      </c>
      <c r="H391" s="11">
        <v>822.22</v>
      </c>
      <c r="I391" s="10">
        <f>H391*(1-IFERROR(VLOOKUP(G391,Rabat!$C$9:$D$43,2,0),0))</f>
        <v>822.22</v>
      </c>
      <c r="J391" t="s">
        <v>1815</v>
      </c>
      <c r="K391" t="s">
        <v>2484</v>
      </c>
      <c r="L391" t="s">
        <v>1813</v>
      </c>
      <c r="M391">
        <v>1</v>
      </c>
      <c r="N391">
        <v>60</v>
      </c>
      <c r="O391" t="s">
        <v>1822</v>
      </c>
      <c r="P391" s="12" t="str">
        <f>HYPERLINK("https://b2b.kobi.pl/pl/product/12695,high-bay-led-anica-150w-4000k-ip65-90-dali-kobi-pro?currency=PLN")</f>
        <v>https://b2b.kobi.pl/pl/product/12695,high-bay-led-anica-150w-4000k-ip65-90-dali-kobi-pro?currency=PLN</v>
      </c>
      <c r="Q391" s="12" t="str">
        <f>HYPERLINK("https://eprel.ec.europa.eu/qr/2132169")</f>
        <v>https://eprel.ec.europa.eu/qr/2132169</v>
      </c>
      <c r="R391"/>
      <c r="S391" t="s">
        <v>2573</v>
      </c>
      <c r="T391">
        <v>2.0099999999999998</v>
      </c>
      <c r="U391">
        <v>2.38</v>
      </c>
      <c r="V391">
        <v>3.17</v>
      </c>
      <c r="W391">
        <v>36.5</v>
      </c>
      <c r="X391">
        <v>36.5</v>
      </c>
      <c r="Y391">
        <v>16</v>
      </c>
    </row>
    <row r="392" spans="1:25" ht="60" customHeight="1" x14ac:dyDescent="0.25">
      <c r="A392"/>
      <c r="B392" t="s">
        <v>3</v>
      </c>
      <c r="C392" t="s">
        <v>18</v>
      </c>
      <c r="D392" t="s">
        <v>575</v>
      </c>
      <c r="E392" t="s">
        <v>670</v>
      </c>
      <c r="F392" t="s">
        <v>671</v>
      </c>
      <c r="G392" t="s">
        <v>577</v>
      </c>
      <c r="H392" s="11">
        <v>797.78</v>
      </c>
      <c r="I392" s="10">
        <f>H392*(1-IFERROR(VLOOKUP(G392,Rabat!$C$9:$D$43,2,0),0))</f>
        <v>797.78</v>
      </c>
      <c r="J392" t="s">
        <v>1815</v>
      </c>
      <c r="K392" t="s">
        <v>535</v>
      </c>
      <c r="L392" t="s">
        <v>1813</v>
      </c>
      <c r="M392">
        <v>1</v>
      </c>
      <c r="N392">
        <v>54</v>
      </c>
      <c r="O392" t="s">
        <v>1822</v>
      </c>
      <c r="P392" s="12" t="str">
        <f>HYPERLINK("https://b2b.kobi.pl/pl/product/9893,high-bay-led-anica-200w-4000k-ip65-120-kobi-pro?currency=PLN")</f>
        <v>https://b2b.kobi.pl/pl/product/9893,high-bay-led-anica-200w-4000k-ip65-120-kobi-pro?currency=PLN</v>
      </c>
      <c r="Q392" s="12" t="str">
        <f>HYPERLINK("https://eprel.ec.europa.eu/qr/2132245")</f>
        <v>https://eprel.ec.europa.eu/qr/2132245</v>
      </c>
      <c r="R392"/>
      <c r="S392" t="s">
        <v>2573</v>
      </c>
      <c r="T392">
        <v>2.39</v>
      </c>
      <c r="U392">
        <v>2.83</v>
      </c>
      <c r="V392">
        <v>3.75</v>
      </c>
      <c r="W392">
        <v>40.5</v>
      </c>
      <c r="X392">
        <v>40.5</v>
      </c>
      <c r="Y392">
        <v>16</v>
      </c>
    </row>
    <row r="393" spans="1:25" ht="60" customHeight="1" x14ac:dyDescent="0.25">
      <c r="A393"/>
      <c r="B393" t="s">
        <v>3</v>
      </c>
      <c r="C393" t="s">
        <v>18</v>
      </c>
      <c r="D393" t="s">
        <v>575</v>
      </c>
      <c r="E393" t="s">
        <v>668</v>
      </c>
      <c r="F393" t="s">
        <v>669</v>
      </c>
      <c r="G393" t="s">
        <v>577</v>
      </c>
      <c r="H393" s="11">
        <v>797.78</v>
      </c>
      <c r="I393" s="10">
        <f>H393*(1-IFERROR(VLOOKUP(G393,Rabat!$C$9:$D$43,2,0),0))</f>
        <v>797.78</v>
      </c>
      <c r="J393" t="s">
        <v>1815</v>
      </c>
      <c r="K393" t="s">
        <v>536</v>
      </c>
      <c r="L393" t="s">
        <v>1813</v>
      </c>
      <c r="M393">
        <v>1</v>
      </c>
      <c r="N393"/>
      <c r="O393" t="s">
        <v>1822</v>
      </c>
      <c r="P393" s="12" t="str">
        <f>HYPERLINK("https://b2b.kobi.pl/pl/product/9894,high-bay-led-anica-200w-4000k-ip65-90-kobi-pro?currency=PLN")</f>
        <v>https://b2b.kobi.pl/pl/product/9894,high-bay-led-anica-200w-4000k-ip65-90-kobi-pro?currency=PLN</v>
      </c>
      <c r="Q393" s="12" t="str">
        <f>HYPERLINK("https://eprel.ec.europa.eu/qr/2132245")</f>
        <v>https://eprel.ec.europa.eu/qr/2132245</v>
      </c>
      <c r="R393"/>
      <c r="S393" t="s">
        <v>2573</v>
      </c>
      <c r="T393">
        <v>2.39</v>
      </c>
      <c r="U393">
        <v>2.83</v>
      </c>
      <c r="V393">
        <v>3.75</v>
      </c>
      <c r="W393">
        <v>40.5</v>
      </c>
      <c r="X393">
        <v>40.5</v>
      </c>
      <c r="Y393">
        <v>16</v>
      </c>
    </row>
    <row r="394" spans="1:25" ht="60" customHeight="1" x14ac:dyDescent="0.25">
      <c r="A394"/>
      <c r="B394" t="s">
        <v>3</v>
      </c>
      <c r="C394" t="s">
        <v>18</v>
      </c>
      <c r="D394" t="s">
        <v>575</v>
      </c>
      <c r="E394" t="s">
        <v>2476</v>
      </c>
      <c r="F394" t="s">
        <v>2477</v>
      </c>
      <c r="G394" t="s">
        <v>577</v>
      </c>
      <c r="H394" s="11">
        <v>977.78</v>
      </c>
      <c r="I394" s="10">
        <f>H394*(1-IFERROR(VLOOKUP(G394,Rabat!$C$9:$D$43,2,0),0))</f>
        <v>977.78</v>
      </c>
      <c r="J394" t="s">
        <v>1815</v>
      </c>
      <c r="K394" t="s">
        <v>2485</v>
      </c>
      <c r="L394" t="s">
        <v>1813</v>
      </c>
      <c r="M394">
        <v>1</v>
      </c>
      <c r="N394">
        <v>60</v>
      </c>
      <c r="O394" t="s">
        <v>1822</v>
      </c>
      <c r="P394" s="12" t="str">
        <f>HYPERLINK("https://b2b.kobi.pl/pl/product/12696,high-bay-led-anica-200w-4000k-ip65-90-dali-kobi-pro?currency=PLN")</f>
        <v>https://b2b.kobi.pl/pl/product/12696,high-bay-led-anica-200w-4000k-ip65-90-dali-kobi-pro?currency=PLN</v>
      </c>
      <c r="Q394" s="12" t="str">
        <f>HYPERLINK("https://eprel.ec.europa.eu/qr/2132245")</f>
        <v>https://eprel.ec.europa.eu/qr/2132245</v>
      </c>
      <c r="R394"/>
      <c r="S394" t="s">
        <v>2573</v>
      </c>
      <c r="T394">
        <v>2.44</v>
      </c>
      <c r="U394">
        <v>2.89</v>
      </c>
      <c r="V394">
        <v>3.78</v>
      </c>
      <c r="W394">
        <v>40.5</v>
      </c>
      <c r="X394">
        <v>40.5</v>
      </c>
      <c r="Y394">
        <v>16</v>
      </c>
    </row>
    <row r="395" spans="1:25" ht="60" customHeight="1" x14ac:dyDescent="0.25">
      <c r="A395"/>
      <c r="B395" t="s">
        <v>3</v>
      </c>
      <c r="C395" t="s">
        <v>18</v>
      </c>
      <c r="D395" t="s">
        <v>575</v>
      </c>
      <c r="E395" t="s">
        <v>3532</v>
      </c>
      <c r="F395" t="s">
        <v>2724</v>
      </c>
      <c r="G395" t="s">
        <v>577</v>
      </c>
      <c r="H395" s="11">
        <v>577.78</v>
      </c>
      <c r="I395" s="10">
        <f>H395*(1-IFERROR(VLOOKUP(G395,Rabat!$C$9:$D$43,2,0),0))</f>
        <v>577.78</v>
      </c>
      <c r="J395" t="s">
        <v>1815</v>
      </c>
      <c r="K395" t="s">
        <v>2726</v>
      </c>
      <c r="L395" t="s">
        <v>1813</v>
      </c>
      <c r="M395">
        <v>1</v>
      </c>
      <c r="N395">
        <v>72</v>
      </c>
      <c r="O395" t="s">
        <v>1814</v>
      </c>
      <c r="P395" s="12" t="str">
        <f>HYPERLINK("https://b2b.kobi.pl/pl/product/12863,high-bay-led-nico-72w-95w-120w-3cct-ip65-60-x90-kobi-pro?currency=PLN")</f>
        <v>https://b2b.kobi.pl/pl/product/12863,high-bay-led-nico-72w-95w-120w-3cct-ip65-60-x90-kobi-pro?currency=PLN</v>
      </c>
      <c r="Q395" s="12" t="str">
        <f>HYPERLINK("https://eprel.ec.europa.eu/qr/2390667")</f>
        <v>https://eprel.ec.europa.eu/qr/2390667</v>
      </c>
      <c r="R395"/>
      <c r="S395" t="s">
        <v>2573</v>
      </c>
      <c r="T395">
        <v>2.1</v>
      </c>
      <c r="U395">
        <v>2.4900000000000002</v>
      </c>
      <c r="V395">
        <v>2.89</v>
      </c>
      <c r="W395">
        <v>46</v>
      </c>
      <c r="X395">
        <v>19</v>
      </c>
      <c r="Y395">
        <v>17.5</v>
      </c>
    </row>
    <row r="396" spans="1:25" ht="60" customHeight="1" x14ac:dyDescent="0.25">
      <c r="A396"/>
      <c r="B396" t="s">
        <v>3</v>
      </c>
      <c r="C396" t="s">
        <v>18</v>
      </c>
      <c r="D396" t="s">
        <v>575</v>
      </c>
      <c r="E396" t="s">
        <v>672</v>
      </c>
      <c r="F396" t="s">
        <v>673</v>
      </c>
      <c r="G396" t="s">
        <v>577</v>
      </c>
      <c r="H396" s="11">
        <v>533.33000000000004</v>
      </c>
      <c r="I396" s="10">
        <f>H396*(1-IFERROR(VLOOKUP(G396,Rabat!$C$9:$D$43,2,0),0))</f>
        <v>533.33000000000004</v>
      </c>
      <c r="J396" t="s">
        <v>1815</v>
      </c>
      <c r="K396" t="s">
        <v>206</v>
      </c>
      <c r="L396" t="s">
        <v>1813</v>
      </c>
      <c r="M396">
        <v>1</v>
      </c>
      <c r="N396">
        <v>72</v>
      </c>
      <c r="O396" t="s">
        <v>1814</v>
      </c>
      <c r="P396" s="12" t="str">
        <f>HYPERLINK("https://b2b.kobi.pl/pl/product/10107,high-bay-led-nico-120w-4000k-ip65-60x90-kobi-pro?currency=PLN")</f>
        <v>https://b2b.kobi.pl/pl/product/10107,high-bay-led-nico-120w-4000k-ip65-60x90-kobi-pro?currency=PLN</v>
      </c>
      <c r="Q396" s="12" t="str">
        <f>HYPERLINK("https://eprel.ec.europa.eu/qr/1960269")</f>
        <v>https://eprel.ec.europa.eu/qr/1960269</v>
      </c>
      <c r="R396" t="s">
        <v>1945</v>
      </c>
      <c r="S396" t="s">
        <v>2573</v>
      </c>
      <c r="T396">
        <v>2.74</v>
      </c>
      <c r="U396">
        <v>3.2450000000000001</v>
      </c>
      <c r="V396">
        <v>3.6749999999999998</v>
      </c>
      <c r="W396">
        <v>57.5</v>
      </c>
      <c r="X396">
        <v>19.5</v>
      </c>
      <c r="Y396">
        <v>16.5</v>
      </c>
    </row>
    <row r="397" spans="1:25" ht="60" customHeight="1" x14ac:dyDescent="0.25">
      <c r="A397"/>
      <c r="B397" t="s">
        <v>3</v>
      </c>
      <c r="C397" t="s">
        <v>18</v>
      </c>
      <c r="D397" t="s">
        <v>575</v>
      </c>
      <c r="E397" t="s">
        <v>3533</v>
      </c>
      <c r="F397" t="s">
        <v>2725</v>
      </c>
      <c r="G397" t="s">
        <v>577</v>
      </c>
      <c r="H397" s="11">
        <v>833.33</v>
      </c>
      <c r="I397" s="10">
        <f>H397*(1-IFERROR(VLOOKUP(G397,Rabat!$C$9:$D$43,2,0),0))</f>
        <v>833.33</v>
      </c>
      <c r="J397" t="s">
        <v>1815</v>
      </c>
      <c r="K397" t="s">
        <v>2727</v>
      </c>
      <c r="L397" t="s">
        <v>1813</v>
      </c>
      <c r="M397">
        <v>1</v>
      </c>
      <c r="N397">
        <v>54</v>
      </c>
      <c r="O397" t="s">
        <v>1814</v>
      </c>
      <c r="P397" s="12" t="str">
        <f>HYPERLINK("https://b2b.kobi.pl/pl/product/12864,high-bay-led-nico-144w-192w-240w-3cct-ip65-60-x90-kobi-pro?currency=PLN")</f>
        <v>https://b2b.kobi.pl/pl/product/12864,high-bay-led-nico-144w-192w-240w-3cct-ip65-60-x90-kobi-pro?currency=PLN</v>
      </c>
      <c r="Q397" s="12" t="str">
        <f>HYPERLINK("https://eprel.ec.europa.eu/qr/2390668")</f>
        <v>https://eprel.ec.europa.eu/qr/2390668</v>
      </c>
      <c r="R397"/>
      <c r="S397" t="s">
        <v>2573</v>
      </c>
      <c r="T397">
        <v>3.22</v>
      </c>
      <c r="U397">
        <v>3.81</v>
      </c>
      <c r="V397">
        <v>4.3499999999999996</v>
      </c>
      <c r="W397">
        <v>81.5</v>
      </c>
      <c r="X397">
        <v>19</v>
      </c>
      <c r="Y397">
        <v>17.5</v>
      </c>
    </row>
    <row r="398" spans="1:25" ht="60" customHeight="1" x14ac:dyDescent="0.25">
      <c r="A398"/>
      <c r="B398" t="s">
        <v>3</v>
      </c>
      <c r="C398" t="s">
        <v>18</v>
      </c>
      <c r="D398" t="s">
        <v>575</v>
      </c>
      <c r="E398" t="s">
        <v>674</v>
      </c>
      <c r="F398" t="s">
        <v>675</v>
      </c>
      <c r="G398" t="s">
        <v>577</v>
      </c>
      <c r="H398" s="11">
        <v>553.33000000000004</v>
      </c>
      <c r="I398" s="10">
        <f>H398*(1-IFERROR(VLOOKUP(G398,Rabat!$C$9:$D$43,2,0),0))</f>
        <v>553.33000000000004</v>
      </c>
      <c r="J398" t="s">
        <v>1815</v>
      </c>
      <c r="K398" t="s">
        <v>547</v>
      </c>
      <c r="L398" t="s">
        <v>1813</v>
      </c>
      <c r="M398">
        <v>1</v>
      </c>
      <c r="N398">
        <v>60</v>
      </c>
      <c r="O398" t="s">
        <v>1814</v>
      </c>
      <c r="P398" s="12" t="str">
        <f>HYPERLINK("https://b2b.kobi.pl/pl/product/10179,high-bay-led-rio-pro-200w-2cct-kobi-pro?currency=PLN")</f>
        <v>https://b2b.kobi.pl/pl/product/10179,high-bay-led-rio-pro-200w-2cct-kobi-pro?currency=PLN</v>
      </c>
      <c r="Q398" s="12" t="str">
        <f>HYPERLINK("https://eprel.ec.europa.eu/qr/2166664")</f>
        <v>https://eprel.ec.europa.eu/qr/2166664</v>
      </c>
      <c r="R398" t="s">
        <v>1945</v>
      </c>
      <c r="S398" t="s">
        <v>2573</v>
      </c>
      <c r="T398">
        <v>1.86</v>
      </c>
      <c r="U398">
        <v>2.2000000000000002</v>
      </c>
      <c r="V398">
        <v>3.4</v>
      </c>
      <c r="W398">
        <v>38</v>
      </c>
      <c r="X398">
        <v>38</v>
      </c>
      <c r="Y398">
        <v>16</v>
      </c>
    </row>
    <row r="399" spans="1:25" ht="60" customHeight="1" x14ac:dyDescent="0.25">
      <c r="A399"/>
      <c r="B399" t="s">
        <v>3</v>
      </c>
      <c r="C399" t="s">
        <v>18</v>
      </c>
      <c r="D399" t="s">
        <v>575</v>
      </c>
      <c r="E399" t="s">
        <v>3811</v>
      </c>
      <c r="F399" t="s">
        <v>3812</v>
      </c>
      <c r="G399" t="s">
        <v>577</v>
      </c>
      <c r="H399" s="11">
        <v>330</v>
      </c>
      <c r="I399" s="10">
        <f>H399*(1-IFERROR(VLOOKUP(G399,Rabat!$C$9:$D$43,2,0),0))</f>
        <v>330</v>
      </c>
      <c r="J399" t="s">
        <v>1815</v>
      </c>
      <c r="K399" t="s">
        <v>4133</v>
      </c>
      <c r="L399" t="s">
        <v>1813</v>
      </c>
      <c r="M399">
        <v>1</v>
      </c>
      <c r="N399">
        <v>162</v>
      </c>
      <c r="O399" t="s">
        <v>1814</v>
      </c>
      <c r="P399" s="12" t="str">
        <f>HYPERLINK("https://b2b.kobi.pl/pl/product/13482,high-bay-led-rio-pro-60-80-100w-3cct-ip66-kobi-pro?currency=PLN")</f>
        <v>https://b2b.kobi.pl/pl/product/13482,high-bay-led-rio-pro-60-80-100w-3cct-ip66-kobi-pro?currency=PLN</v>
      </c>
      <c r="Q399" s="12" t="str">
        <f>HYPERLINK("https://eprel.ec.europa.eu/qr/2721856")</f>
        <v>https://eprel.ec.europa.eu/qr/2721856</v>
      </c>
      <c r="R399" t="s">
        <v>4101</v>
      </c>
      <c r="S399" t="s">
        <v>2573</v>
      </c>
      <c r="T399">
        <v>0.97</v>
      </c>
      <c r="U399">
        <v>1.1499999999999999</v>
      </c>
      <c r="V399">
        <v>1.45</v>
      </c>
      <c r="W399">
        <v>25</v>
      </c>
      <c r="X399">
        <v>25</v>
      </c>
      <c r="Y399">
        <v>14</v>
      </c>
    </row>
    <row r="400" spans="1:25" ht="60" customHeight="1" x14ac:dyDescent="0.25">
      <c r="A400"/>
      <c r="B400" t="s">
        <v>3</v>
      </c>
      <c r="C400" t="s">
        <v>18</v>
      </c>
      <c r="D400" t="s">
        <v>575</v>
      </c>
      <c r="E400" t="s">
        <v>3813</v>
      </c>
      <c r="F400" t="s">
        <v>3814</v>
      </c>
      <c r="G400" t="s">
        <v>577</v>
      </c>
      <c r="H400" s="11">
        <v>430</v>
      </c>
      <c r="I400" s="10">
        <f>H400*(1-IFERROR(VLOOKUP(G400,Rabat!$C$9:$D$43,2,0),0))</f>
        <v>430</v>
      </c>
      <c r="J400" t="s">
        <v>1815</v>
      </c>
      <c r="K400" t="s">
        <v>4134</v>
      </c>
      <c r="L400" t="s">
        <v>1813</v>
      </c>
      <c r="M400">
        <v>1</v>
      </c>
      <c r="N400">
        <v>66</v>
      </c>
      <c r="O400" t="s">
        <v>1814</v>
      </c>
      <c r="P400" s="12" t="str">
        <f>HYPERLINK("https://b2b.kobi.pl/pl/product/13483,high-bay-led-rio-pro-120-160w-3cct-ip66-kobi-pro?currency=PLN")</f>
        <v>https://b2b.kobi.pl/pl/product/13483,high-bay-led-rio-pro-120-160w-3cct-ip66-kobi-pro?currency=PLN</v>
      </c>
      <c r="Q400" s="12" t="str">
        <f>HYPERLINK("https://eprel.ec.europa.eu/qr/2722189")</f>
        <v>https://eprel.ec.europa.eu/qr/2722189</v>
      </c>
      <c r="R400" t="s">
        <v>4101</v>
      </c>
      <c r="S400" t="s">
        <v>2573</v>
      </c>
      <c r="T400">
        <v>1.65</v>
      </c>
      <c r="U400">
        <v>1.95</v>
      </c>
      <c r="V400">
        <v>2.5</v>
      </c>
      <c r="W400">
        <v>34</v>
      </c>
      <c r="X400">
        <v>34</v>
      </c>
      <c r="Y400">
        <v>14.5</v>
      </c>
    </row>
    <row r="401" spans="1:25" ht="60" customHeight="1" x14ac:dyDescent="0.25">
      <c r="A401"/>
      <c r="B401" t="s">
        <v>3</v>
      </c>
      <c r="C401" t="s">
        <v>18</v>
      </c>
      <c r="D401" t="s">
        <v>575</v>
      </c>
      <c r="E401" t="s">
        <v>1086</v>
      </c>
      <c r="F401" t="s">
        <v>1087</v>
      </c>
      <c r="G401" t="s">
        <v>577</v>
      </c>
      <c r="H401" s="11">
        <v>87.32</v>
      </c>
      <c r="I401" s="10">
        <f>H401*(1-IFERROR(VLOOKUP(G401,Rabat!$C$9:$D$43,2,0),0))</f>
        <v>87.32</v>
      </c>
      <c r="J401" t="s">
        <v>1815</v>
      </c>
      <c r="K401" t="s">
        <v>179</v>
      </c>
      <c r="L401" t="s">
        <v>1813</v>
      </c>
      <c r="M401">
        <v>20</v>
      </c>
      <c r="N401"/>
      <c r="O401" t="s">
        <v>1818</v>
      </c>
      <c r="P401" s="12" t="str">
        <f>HYPERLINK("https://b2b.kobi.pl/pl/product/10053,oslona-do-led-nina-hb-200w-kobi?currency=PLN")</f>
        <v>https://b2b.kobi.pl/pl/product/10053,oslona-do-led-nina-hb-200w-kobi?currency=PLN</v>
      </c>
      <c r="Q401" t="s">
        <v>14</v>
      </c>
      <c r="R401" t="s">
        <v>1945</v>
      </c>
      <c r="S401" t="s">
        <v>2574</v>
      </c>
      <c r="T401">
        <v>0</v>
      </c>
      <c r="U401">
        <v>0.18</v>
      </c>
      <c r="V401">
        <v>0.19800000000000001</v>
      </c>
      <c r="W401">
        <v>0</v>
      </c>
      <c r="X401">
        <v>0</v>
      </c>
      <c r="Y401">
        <v>0</v>
      </c>
    </row>
    <row r="402" spans="1:25" ht="60" customHeight="1" x14ac:dyDescent="0.25">
      <c r="A402"/>
      <c r="B402" t="s">
        <v>3</v>
      </c>
      <c r="C402" t="s">
        <v>18</v>
      </c>
      <c r="D402" t="s">
        <v>575</v>
      </c>
      <c r="E402" t="s">
        <v>1304</v>
      </c>
      <c r="F402" t="s">
        <v>1305</v>
      </c>
      <c r="G402" t="s">
        <v>577</v>
      </c>
      <c r="H402" s="11">
        <v>45</v>
      </c>
      <c r="I402" s="10">
        <f>H402*(1-IFERROR(VLOOKUP(G402,Rabat!$C$9:$D$43,2,0),0))</f>
        <v>45</v>
      </c>
      <c r="J402" t="s">
        <v>1815</v>
      </c>
      <c r="K402" t="s">
        <v>178</v>
      </c>
      <c r="L402" t="s">
        <v>1813</v>
      </c>
      <c r="M402"/>
      <c r="N402"/>
      <c r="O402" t="s">
        <v>1818</v>
      </c>
      <c r="P402" s="12" t="str">
        <f>HYPERLINK("https://b2b.kobi.pl/pl/product/11109,oslona-do-neo-150w-200w-kobi-pro?currency=PLN")</f>
        <v>https://b2b.kobi.pl/pl/product/11109,oslona-do-neo-150w-200w-kobi-pro?currency=PLN</v>
      </c>
      <c r="Q402" t="s">
        <v>14</v>
      </c>
      <c r="R402" t="s">
        <v>1945</v>
      </c>
      <c r="S402" t="s">
        <v>2574</v>
      </c>
      <c r="T402">
        <v>0</v>
      </c>
      <c r="U402">
        <v>0.13</v>
      </c>
      <c r="V402">
        <v>0.14299999999999999</v>
      </c>
      <c r="W402">
        <v>0</v>
      </c>
      <c r="X402">
        <v>0</v>
      </c>
      <c r="Y402">
        <v>0</v>
      </c>
    </row>
    <row r="403" spans="1:25" ht="60" customHeight="1" x14ac:dyDescent="0.25">
      <c r="A403"/>
      <c r="B403" t="s">
        <v>3</v>
      </c>
      <c r="C403" t="s">
        <v>18</v>
      </c>
      <c r="D403" t="s">
        <v>575</v>
      </c>
      <c r="E403" t="s">
        <v>1432</v>
      </c>
      <c r="F403" t="s">
        <v>1433</v>
      </c>
      <c r="G403" t="s">
        <v>577</v>
      </c>
      <c r="H403" s="11">
        <v>63</v>
      </c>
      <c r="I403" s="10">
        <f>H403*(1-IFERROR(VLOOKUP(G403,Rabat!$C$9:$D$43,2,0),0))</f>
        <v>63</v>
      </c>
      <c r="J403" t="s">
        <v>1815</v>
      </c>
      <c r="K403" t="s">
        <v>407</v>
      </c>
      <c r="L403" t="s">
        <v>1813</v>
      </c>
      <c r="M403">
        <v>20</v>
      </c>
      <c r="N403"/>
      <c r="O403" t="s">
        <v>1818</v>
      </c>
      <c r="P403" s="12" t="str">
        <f>HYPERLINK("https://b2b.kobi.pl/pl/product/9895,uniwersalny-uchwyt-do-high-bay-m10-kobi-pro?currency=PLN")</f>
        <v>https://b2b.kobi.pl/pl/product/9895,uniwersalny-uchwyt-do-high-bay-m10-kobi-pro?currency=PLN</v>
      </c>
      <c r="Q403" t="s">
        <v>14</v>
      </c>
      <c r="R403"/>
      <c r="S403" t="s">
        <v>2574</v>
      </c>
      <c r="T403">
        <v>0</v>
      </c>
      <c r="U403">
        <v>0.46</v>
      </c>
      <c r="V403">
        <v>0.5</v>
      </c>
      <c r="W403">
        <v>14</v>
      </c>
      <c r="X403">
        <v>9.8000000000000007</v>
      </c>
      <c r="Y403">
        <v>4.5999999999999996</v>
      </c>
    </row>
    <row r="404" spans="1:25" ht="60" customHeight="1" x14ac:dyDescent="0.25">
      <c r="A404"/>
      <c r="B404" t="s">
        <v>3</v>
      </c>
      <c r="C404" t="s">
        <v>18</v>
      </c>
      <c r="D404" t="s">
        <v>618</v>
      </c>
      <c r="E404" t="s">
        <v>2174</v>
      </c>
      <c r="F404" t="s">
        <v>2175</v>
      </c>
      <c r="G404" t="s">
        <v>577</v>
      </c>
      <c r="H404" s="11">
        <v>128.88999999999999</v>
      </c>
      <c r="I404" s="10">
        <f>H404*(1-IFERROR(VLOOKUP(G404,Rabat!$C$9:$D$43,2,0),0))</f>
        <v>128.88999999999999</v>
      </c>
      <c r="J404" t="s">
        <v>1815</v>
      </c>
      <c r="K404" t="s">
        <v>2178</v>
      </c>
      <c r="L404" t="s">
        <v>1813</v>
      </c>
      <c r="M404">
        <v>5</v>
      </c>
      <c r="N404">
        <v>420</v>
      </c>
      <c r="O404" t="s">
        <v>1818</v>
      </c>
      <c r="P404" s="12" t="str">
        <f>HYPERLINK("https://b2b.kobi.pl/pl/product/12159,high-bay-led-graza-100w-4000k-ip65-90-kobi?currency=PLN")</f>
        <v>https://b2b.kobi.pl/pl/product/12159,high-bay-led-graza-100w-4000k-ip65-90-kobi?currency=PLN</v>
      </c>
      <c r="Q404" s="12" t="str">
        <f>HYPERLINK("https://eprel.ec.europa.eu/qr/2219595")</f>
        <v>https://eprel.ec.europa.eu/qr/2219595</v>
      </c>
      <c r="R404"/>
      <c r="S404" t="s">
        <v>2573</v>
      </c>
      <c r="T404">
        <v>0.54</v>
      </c>
      <c r="U404">
        <v>0.64400000000000002</v>
      </c>
      <c r="V404">
        <v>0.70899999999999996</v>
      </c>
      <c r="W404">
        <v>24</v>
      </c>
      <c r="X404">
        <v>24</v>
      </c>
      <c r="Y404">
        <v>3.6</v>
      </c>
    </row>
    <row r="405" spans="1:25" ht="60" customHeight="1" x14ac:dyDescent="0.25">
      <c r="A405"/>
      <c r="B405" t="s">
        <v>3</v>
      </c>
      <c r="C405" t="s">
        <v>18</v>
      </c>
      <c r="D405" t="s">
        <v>618</v>
      </c>
      <c r="E405" t="s">
        <v>2176</v>
      </c>
      <c r="F405" t="s">
        <v>2177</v>
      </c>
      <c r="G405" t="s">
        <v>577</v>
      </c>
      <c r="H405" s="11">
        <v>217.78</v>
      </c>
      <c r="I405" s="10">
        <f>H405*(1-IFERROR(VLOOKUP(G405,Rabat!$C$9:$D$43,2,0),0))</f>
        <v>217.78</v>
      </c>
      <c r="J405" t="s">
        <v>1815</v>
      </c>
      <c r="K405" t="s">
        <v>2179</v>
      </c>
      <c r="L405" t="s">
        <v>1813</v>
      </c>
      <c r="M405">
        <v>5</v>
      </c>
      <c r="N405">
        <v>220</v>
      </c>
      <c r="O405" t="s">
        <v>1818</v>
      </c>
      <c r="P405" s="12" t="str">
        <f>HYPERLINK("https://b2b.kobi.pl/pl/product/12160,high-bay-led-graza-200w-4000k-ip65-90-kobi?currency=PLN")</f>
        <v>https://b2b.kobi.pl/pl/product/12160,high-bay-led-graza-200w-4000k-ip65-90-kobi?currency=PLN</v>
      </c>
      <c r="Q405" s="12" t="str">
        <f>HYPERLINK("https://eprel.ec.europa.eu/qr/2219594")</f>
        <v>https://eprel.ec.europa.eu/qr/2219594</v>
      </c>
      <c r="R405"/>
      <c r="S405" t="s">
        <v>2573</v>
      </c>
      <c r="T405">
        <v>1.08</v>
      </c>
      <c r="U405">
        <v>1.2749999999999999</v>
      </c>
      <c r="V405">
        <v>1.371</v>
      </c>
      <c r="W405">
        <v>33.5</v>
      </c>
      <c r="X405">
        <v>33.5</v>
      </c>
      <c r="Y405">
        <v>3.8</v>
      </c>
    </row>
    <row r="406" spans="1:25" ht="60" customHeight="1" x14ac:dyDescent="0.25">
      <c r="A406"/>
      <c r="B406" t="s">
        <v>4</v>
      </c>
      <c r="C406" t="s">
        <v>3815</v>
      </c>
      <c r="D406" t="s">
        <v>618</v>
      </c>
      <c r="E406" t="s">
        <v>3816</v>
      </c>
      <c r="F406" t="s">
        <v>1107</v>
      </c>
      <c r="G406" t="s">
        <v>1102</v>
      </c>
      <c r="H406" s="11">
        <v>53.33</v>
      </c>
      <c r="I406" s="10">
        <f>H406*(1-IFERROR(VLOOKUP(G406,Rabat!$C$9:$D$43,2,0),0))</f>
        <v>53.33</v>
      </c>
      <c r="J406" t="s">
        <v>1815</v>
      </c>
      <c r="K406" t="s">
        <v>288</v>
      </c>
      <c r="L406" t="s">
        <v>1813</v>
      </c>
      <c r="M406">
        <v>20</v>
      </c>
      <c r="N406">
        <v>1120</v>
      </c>
      <c r="O406" t="s">
        <v>1818</v>
      </c>
      <c r="P406" s="12" t="str">
        <f>HYPERLINK("https://b2b.kobi.pl/pl/product/10339,oprawa-do-nabudowania-aquarius-1xgu10-okragly-ip44-bialy-kobi?currency=PLN")</f>
        <v>https://b2b.kobi.pl/pl/product/10339,oprawa-do-nabudowania-aquarius-1xgu10-okragly-ip44-bialy-kobi?currency=PLN</v>
      </c>
      <c r="Q406" t="s">
        <v>14</v>
      </c>
      <c r="R406"/>
      <c r="S406" t="s">
        <v>2602</v>
      </c>
      <c r="T406">
        <v>0.11</v>
      </c>
      <c r="U406">
        <v>0.27700000000000002</v>
      </c>
      <c r="V406">
        <v>0.42699999999999999</v>
      </c>
      <c r="W406">
        <v>9</v>
      </c>
      <c r="X406">
        <v>9</v>
      </c>
      <c r="Y406">
        <v>11</v>
      </c>
    </row>
    <row r="407" spans="1:25" ht="60" customHeight="1" x14ac:dyDescent="0.25">
      <c r="A407"/>
      <c r="B407" t="s">
        <v>4</v>
      </c>
      <c r="C407" t="s">
        <v>3815</v>
      </c>
      <c r="D407" t="s">
        <v>618</v>
      </c>
      <c r="E407" t="s">
        <v>3817</v>
      </c>
      <c r="F407" t="s">
        <v>1110</v>
      </c>
      <c r="G407" t="s">
        <v>1102</v>
      </c>
      <c r="H407" s="11">
        <v>53.33</v>
      </c>
      <c r="I407" s="10">
        <f>H407*(1-IFERROR(VLOOKUP(G407,Rabat!$C$9:$D$43,2,0),0))</f>
        <v>53.33</v>
      </c>
      <c r="J407" t="s">
        <v>1815</v>
      </c>
      <c r="K407" t="s">
        <v>287</v>
      </c>
      <c r="L407" t="s">
        <v>1813</v>
      </c>
      <c r="M407">
        <v>20</v>
      </c>
      <c r="N407">
        <v>1120</v>
      </c>
      <c r="O407" t="s">
        <v>1818</v>
      </c>
      <c r="P407" s="12" t="str">
        <f>HYPERLINK("https://b2b.kobi.pl/pl/product/10341,oprawa-do-nabudowania-aquarius-1xgu10-okragly-ip44-czarny-kobi?currency=PLN")</f>
        <v>https://b2b.kobi.pl/pl/product/10341,oprawa-do-nabudowania-aquarius-1xgu10-okragly-ip44-czarny-kobi?currency=PLN</v>
      </c>
      <c r="Q407" t="s">
        <v>14</v>
      </c>
      <c r="R407"/>
      <c r="S407" t="s">
        <v>2602</v>
      </c>
      <c r="T407">
        <v>0.11</v>
      </c>
      <c r="U407">
        <v>0.27700000000000002</v>
      </c>
      <c r="V407">
        <v>0.42699999999999999</v>
      </c>
      <c r="W407">
        <v>9</v>
      </c>
      <c r="X407">
        <v>9</v>
      </c>
      <c r="Y407">
        <v>11</v>
      </c>
    </row>
    <row r="408" spans="1:25" ht="60" customHeight="1" x14ac:dyDescent="0.25">
      <c r="A408"/>
      <c r="B408" t="s">
        <v>4</v>
      </c>
      <c r="C408" t="s">
        <v>3815</v>
      </c>
      <c r="D408" t="s">
        <v>618</v>
      </c>
      <c r="E408" t="s">
        <v>3818</v>
      </c>
      <c r="F408" t="s">
        <v>1101</v>
      </c>
      <c r="G408" t="s">
        <v>1102</v>
      </c>
      <c r="H408" s="11">
        <v>54.71</v>
      </c>
      <c r="I408" s="10">
        <f>H408*(1-IFERROR(VLOOKUP(G408,Rabat!$C$9:$D$43,2,0),0))</f>
        <v>54.71</v>
      </c>
      <c r="J408" t="s">
        <v>1815</v>
      </c>
      <c r="K408" t="s">
        <v>289</v>
      </c>
      <c r="L408" t="s">
        <v>1813</v>
      </c>
      <c r="M408">
        <v>20</v>
      </c>
      <c r="N408"/>
      <c r="O408" t="s">
        <v>1818</v>
      </c>
      <c r="P408" s="12" t="str">
        <f>HYPERLINK("https://b2b.kobi.pl/pl/product/10342,oprawa-do-nabudowania-aquarius-1xgu10-kwadrat-ip44-bialy-kobi?currency=PLN")</f>
        <v>https://b2b.kobi.pl/pl/product/10342,oprawa-do-nabudowania-aquarius-1xgu10-kwadrat-ip44-bialy-kobi?currency=PLN</v>
      </c>
      <c r="Q408" t="s">
        <v>14</v>
      </c>
      <c r="R408" t="s">
        <v>1945</v>
      </c>
      <c r="S408" t="s">
        <v>2602</v>
      </c>
      <c r="T408">
        <v>0.25</v>
      </c>
      <c r="U408">
        <v>0.64800000000000002</v>
      </c>
      <c r="V408">
        <v>0.79800000000000004</v>
      </c>
      <c r="W408">
        <v>9</v>
      </c>
      <c r="X408">
        <v>9</v>
      </c>
      <c r="Y408">
        <v>11</v>
      </c>
    </row>
    <row r="409" spans="1:25" ht="60" customHeight="1" x14ac:dyDescent="0.25">
      <c r="A409"/>
      <c r="B409" t="s">
        <v>4</v>
      </c>
      <c r="C409" t="s">
        <v>3815</v>
      </c>
      <c r="D409" t="s">
        <v>618</v>
      </c>
      <c r="E409" t="s">
        <v>1113</v>
      </c>
      <c r="F409" t="s">
        <v>1114</v>
      </c>
      <c r="G409" t="s">
        <v>1102</v>
      </c>
      <c r="H409" s="11">
        <v>34.5</v>
      </c>
      <c r="I409" s="10">
        <f>H409*(1-IFERROR(VLOOKUP(G409,Rabat!$C$9:$D$43,2,0),0))</f>
        <v>34.5</v>
      </c>
      <c r="J409" t="s">
        <v>1815</v>
      </c>
      <c r="K409" t="s">
        <v>278</v>
      </c>
      <c r="L409" t="s">
        <v>1813</v>
      </c>
      <c r="M409">
        <v>20</v>
      </c>
      <c r="N409">
        <v>1120</v>
      </c>
      <c r="O409" t="s">
        <v>1818</v>
      </c>
      <c r="P409" s="12" t="str">
        <f>HYPERLINK("https://b2b.kobi.pl/pl/product/10426,oprawa-do-nadbudowania-oh36-biala-kobi?currency=PLN")</f>
        <v>https://b2b.kobi.pl/pl/product/10426,oprawa-do-nadbudowania-oh36-biala-kobi?currency=PLN</v>
      </c>
      <c r="Q409" t="s">
        <v>14</v>
      </c>
      <c r="R409"/>
      <c r="S409" t="s">
        <v>2602</v>
      </c>
      <c r="T409">
        <v>0.09</v>
      </c>
      <c r="U409">
        <v>0.24299999999999999</v>
      </c>
      <c r="V409">
        <v>0.25</v>
      </c>
      <c r="W409">
        <v>8.6999999999999993</v>
      </c>
      <c r="X409">
        <v>8.6999999999999993</v>
      </c>
      <c r="Y409">
        <v>9.1999999999999993</v>
      </c>
    </row>
    <row r="410" spans="1:25" ht="60" customHeight="1" x14ac:dyDescent="0.25">
      <c r="A410"/>
      <c r="B410" t="s">
        <v>4</v>
      </c>
      <c r="C410" t="s">
        <v>3815</v>
      </c>
      <c r="D410" t="s">
        <v>618</v>
      </c>
      <c r="E410" t="s">
        <v>1115</v>
      </c>
      <c r="F410" t="s">
        <v>1116</v>
      </c>
      <c r="G410" t="s">
        <v>1102</v>
      </c>
      <c r="H410" s="11">
        <v>34.5</v>
      </c>
      <c r="I410" s="10">
        <f>H410*(1-IFERROR(VLOOKUP(G410,Rabat!$C$9:$D$43,2,0),0))</f>
        <v>34.5</v>
      </c>
      <c r="J410" t="s">
        <v>1815</v>
      </c>
      <c r="K410" t="s">
        <v>279</v>
      </c>
      <c r="L410" t="s">
        <v>1813</v>
      </c>
      <c r="M410">
        <v>20</v>
      </c>
      <c r="N410">
        <v>1120</v>
      </c>
      <c r="O410" t="s">
        <v>1818</v>
      </c>
      <c r="P410" s="12" t="str">
        <f>HYPERLINK("https://b2b.kobi.pl/pl/product/10428,oprawa-do-nadbudowania-oh36-czarna-kobi?currency=PLN")</f>
        <v>https://b2b.kobi.pl/pl/product/10428,oprawa-do-nadbudowania-oh36-czarna-kobi?currency=PLN</v>
      </c>
      <c r="Q410" t="s">
        <v>14</v>
      </c>
      <c r="R410"/>
      <c r="S410" t="s">
        <v>2602</v>
      </c>
      <c r="T410">
        <v>0.09</v>
      </c>
      <c r="U410">
        <v>0.24299999999999999</v>
      </c>
      <c r="V410">
        <v>0.25</v>
      </c>
      <c r="W410">
        <v>8.6999999999999993</v>
      </c>
      <c r="X410">
        <v>8.6999999999999993</v>
      </c>
      <c r="Y410">
        <v>9.1999999999999993</v>
      </c>
    </row>
    <row r="411" spans="1:25" ht="60" customHeight="1" x14ac:dyDescent="0.25">
      <c r="A411"/>
      <c r="B411" t="s">
        <v>4</v>
      </c>
      <c r="C411" t="s">
        <v>3815</v>
      </c>
      <c r="D411" t="s">
        <v>618</v>
      </c>
      <c r="E411" t="s">
        <v>1117</v>
      </c>
      <c r="F411" t="s">
        <v>1118</v>
      </c>
      <c r="G411" t="s">
        <v>1102</v>
      </c>
      <c r="H411" s="11">
        <v>47.38</v>
      </c>
      <c r="I411" s="10">
        <f>H411*(1-IFERROR(VLOOKUP(G411,Rabat!$C$9:$D$43,2,0),0))</f>
        <v>47.38</v>
      </c>
      <c r="J411" t="s">
        <v>1815</v>
      </c>
      <c r="K411" t="s">
        <v>280</v>
      </c>
      <c r="L411" t="s">
        <v>1813</v>
      </c>
      <c r="M411">
        <v>20</v>
      </c>
      <c r="N411">
        <v>760</v>
      </c>
      <c r="O411" t="s">
        <v>1818</v>
      </c>
      <c r="P411" s="12" t="str">
        <f>HYPERLINK("https://b2b.kobi.pl/pl/product/10429,oprawa-do-nadbudowania-oh36-l-biala-kobi?currency=PLN")</f>
        <v>https://b2b.kobi.pl/pl/product/10429,oprawa-do-nadbudowania-oh36-l-biala-kobi?currency=PLN</v>
      </c>
      <c r="Q411" t="s">
        <v>14</v>
      </c>
      <c r="R411"/>
      <c r="S411" t="s">
        <v>2602</v>
      </c>
      <c r="T411">
        <v>0.11</v>
      </c>
      <c r="U411">
        <v>0.27500000000000002</v>
      </c>
      <c r="V411">
        <v>0.42499999999999999</v>
      </c>
      <c r="W411">
        <v>9</v>
      </c>
      <c r="X411">
        <v>9</v>
      </c>
      <c r="Y411">
        <v>13</v>
      </c>
    </row>
    <row r="412" spans="1:25" ht="60" customHeight="1" x14ac:dyDescent="0.25">
      <c r="A412"/>
      <c r="B412" t="s">
        <v>4</v>
      </c>
      <c r="C412" t="s">
        <v>3815</v>
      </c>
      <c r="D412" t="s">
        <v>618</v>
      </c>
      <c r="E412" t="s">
        <v>1121</v>
      </c>
      <c r="F412" t="s">
        <v>1122</v>
      </c>
      <c r="G412" t="s">
        <v>1102</v>
      </c>
      <c r="H412" s="11">
        <v>47.38</v>
      </c>
      <c r="I412" s="10">
        <f>H412*(1-IFERROR(VLOOKUP(G412,Rabat!$C$9:$D$43,2,0),0))</f>
        <v>47.38</v>
      </c>
      <c r="J412" t="s">
        <v>1815</v>
      </c>
      <c r="K412" t="s">
        <v>281</v>
      </c>
      <c r="L412" t="s">
        <v>1813</v>
      </c>
      <c r="M412">
        <v>20</v>
      </c>
      <c r="N412">
        <v>760</v>
      </c>
      <c r="O412" t="s">
        <v>1818</v>
      </c>
      <c r="P412" s="12" t="str">
        <f>HYPERLINK("https://b2b.kobi.pl/pl/product/10431,oprawa-do-nadbudowania-oh36-l-czarna-kobi?currency=PLN")</f>
        <v>https://b2b.kobi.pl/pl/product/10431,oprawa-do-nadbudowania-oh36-l-czarna-kobi?currency=PLN</v>
      </c>
      <c r="Q412" t="s">
        <v>14</v>
      </c>
      <c r="R412"/>
      <c r="S412" t="s">
        <v>2602</v>
      </c>
      <c r="T412">
        <v>0.11</v>
      </c>
      <c r="U412">
        <v>0.27500000000000002</v>
      </c>
      <c r="V412">
        <v>0.42499999999999999</v>
      </c>
      <c r="W412">
        <v>9</v>
      </c>
      <c r="X412">
        <v>9</v>
      </c>
      <c r="Y412">
        <v>13</v>
      </c>
    </row>
    <row r="413" spans="1:25" ht="60" customHeight="1" x14ac:dyDescent="0.25">
      <c r="A413"/>
      <c r="B413" t="s">
        <v>4</v>
      </c>
      <c r="C413" t="s">
        <v>3815</v>
      </c>
      <c r="D413" t="s">
        <v>618</v>
      </c>
      <c r="E413" t="s">
        <v>1123</v>
      </c>
      <c r="F413" t="s">
        <v>1124</v>
      </c>
      <c r="G413" t="s">
        <v>1102</v>
      </c>
      <c r="H413" s="11">
        <v>29.74</v>
      </c>
      <c r="I413" s="10">
        <f>H413*(1-IFERROR(VLOOKUP(G413,Rabat!$C$9:$D$43,2,0),0))</f>
        <v>29.74</v>
      </c>
      <c r="J413" t="s">
        <v>1815</v>
      </c>
      <c r="K413" t="s">
        <v>282</v>
      </c>
      <c r="L413" t="s">
        <v>1813</v>
      </c>
      <c r="M413">
        <v>20</v>
      </c>
      <c r="N413">
        <v>1600</v>
      </c>
      <c r="O413" t="s">
        <v>1818</v>
      </c>
      <c r="P413" s="12" t="str">
        <f>HYPERLINK("https://b2b.kobi.pl/pl/product/10432,oprawa-do-nadbudowania-oh36-s-biala-kobi?currency=PLN")</f>
        <v>https://b2b.kobi.pl/pl/product/10432,oprawa-do-nadbudowania-oh36-s-biala-kobi?currency=PLN</v>
      </c>
      <c r="Q413" t="s">
        <v>14</v>
      </c>
      <c r="R413"/>
      <c r="S413" t="s">
        <v>2603</v>
      </c>
      <c r="T413">
        <v>0.08</v>
      </c>
      <c r="U413">
        <v>0.20300000000000001</v>
      </c>
      <c r="V413">
        <v>0.25</v>
      </c>
      <c r="W413">
        <v>10.6</v>
      </c>
      <c r="X413">
        <v>10.6</v>
      </c>
      <c r="Y413">
        <v>8</v>
      </c>
    </row>
    <row r="414" spans="1:25" ht="60" customHeight="1" x14ac:dyDescent="0.25">
      <c r="A414"/>
      <c r="B414" t="s">
        <v>4</v>
      </c>
      <c r="C414" t="s">
        <v>3815</v>
      </c>
      <c r="D414" t="s">
        <v>618</v>
      </c>
      <c r="E414" t="s">
        <v>1125</v>
      </c>
      <c r="F414" t="s">
        <v>1126</v>
      </c>
      <c r="G414" t="s">
        <v>1102</v>
      </c>
      <c r="H414" s="11">
        <v>29.74</v>
      </c>
      <c r="I414" s="10">
        <f>H414*(1-IFERROR(VLOOKUP(G414,Rabat!$C$9:$D$43,2,0),0))</f>
        <v>29.74</v>
      </c>
      <c r="J414" t="s">
        <v>1815</v>
      </c>
      <c r="K414" t="s">
        <v>283</v>
      </c>
      <c r="L414" t="s">
        <v>1813</v>
      </c>
      <c r="M414">
        <v>20</v>
      </c>
      <c r="N414">
        <v>1600</v>
      </c>
      <c r="O414" t="s">
        <v>1818</v>
      </c>
      <c r="P414" s="12" t="str">
        <f>HYPERLINK("https://b2b.kobi.pl/pl/product/10434,oprawa-do-nadbudowania-oh36-s-czarna-kobi?currency=PLN")</f>
        <v>https://b2b.kobi.pl/pl/product/10434,oprawa-do-nadbudowania-oh36-s-czarna-kobi?currency=PLN</v>
      </c>
      <c r="Q414" t="s">
        <v>14</v>
      </c>
      <c r="R414"/>
      <c r="S414" t="s">
        <v>2603</v>
      </c>
      <c r="T414">
        <v>0.08</v>
      </c>
      <c r="U414">
        <v>0.20300000000000001</v>
      </c>
      <c r="V414">
        <v>0.25</v>
      </c>
      <c r="W414">
        <v>10.6</v>
      </c>
      <c r="X414">
        <v>10.6</v>
      </c>
      <c r="Y414">
        <v>8</v>
      </c>
    </row>
    <row r="415" spans="1:25" ht="60" customHeight="1" x14ac:dyDescent="0.25">
      <c r="A415"/>
      <c r="B415" t="s">
        <v>4</v>
      </c>
      <c r="C415" t="s">
        <v>3815</v>
      </c>
      <c r="D415" t="s">
        <v>618</v>
      </c>
      <c r="E415" t="s">
        <v>1127</v>
      </c>
      <c r="F415" t="s">
        <v>1128</v>
      </c>
      <c r="G415" t="s">
        <v>1102</v>
      </c>
      <c r="H415" s="11">
        <v>43.84</v>
      </c>
      <c r="I415" s="10">
        <f>H415*(1-IFERROR(VLOOKUP(G415,Rabat!$C$9:$D$43,2,0),0))</f>
        <v>43.84</v>
      </c>
      <c r="J415" t="s">
        <v>1815</v>
      </c>
      <c r="K415" t="s">
        <v>284</v>
      </c>
      <c r="L415" t="s">
        <v>1813</v>
      </c>
      <c r="M415">
        <v>20</v>
      </c>
      <c r="N415">
        <v>980</v>
      </c>
      <c r="O415" t="s">
        <v>1818</v>
      </c>
      <c r="P415" s="12" t="str">
        <f>HYPERLINK("https://b2b.kobi.pl/pl/product/10436,oprawa-do-nadbudowania-oh37-chrom-kobi?currency=PLN")</f>
        <v>https://b2b.kobi.pl/pl/product/10436,oprawa-do-nadbudowania-oh37-chrom-kobi?currency=PLN</v>
      </c>
      <c r="Q415" t="s">
        <v>14</v>
      </c>
      <c r="R415" t="s">
        <v>1945</v>
      </c>
      <c r="S415" t="s">
        <v>2602</v>
      </c>
      <c r="T415">
        <v>0.21</v>
      </c>
      <c r="U415">
        <v>0.53600000000000003</v>
      </c>
      <c r="V415">
        <v>0.68600000000000005</v>
      </c>
      <c r="W415">
        <v>10.6</v>
      </c>
      <c r="X415">
        <v>10.6</v>
      </c>
      <c r="Y415">
        <v>11</v>
      </c>
    </row>
    <row r="416" spans="1:25" ht="60" customHeight="1" x14ac:dyDescent="0.25">
      <c r="A416"/>
      <c r="B416" t="s">
        <v>4</v>
      </c>
      <c r="C416" t="s">
        <v>3815</v>
      </c>
      <c r="D416" t="s">
        <v>618</v>
      </c>
      <c r="E416" t="s">
        <v>1129</v>
      </c>
      <c r="F416" t="s">
        <v>1130</v>
      </c>
      <c r="G416" t="s">
        <v>1102</v>
      </c>
      <c r="H416" s="11">
        <v>52.22</v>
      </c>
      <c r="I416" s="10">
        <f>H416*(1-IFERROR(VLOOKUP(G416,Rabat!$C$9:$D$43,2,0),0))</f>
        <v>52.22</v>
      </c>
      <c r="J416" t="s">
        <v>1815</v>
      </c>
      <c r="K416" t="s">
        <v>285</v>
      </c>
      <c r="L416" t="s">
        <v>1813</v>
      </c>
      <c r="M416">
        <v>20</v>
      </c>
      <c r="N416">
        <v>980</v>
      </c>
      <c r="O416" t="s">
        <v>1818</v>
      </c>
      <c r="P416" s="12" t="str">
        <f>HYPERLINK("https://b2b.kobi.pl/pl/product/10437,oprawa-do-nadbudowania-oh37-czarna-kobi?currency=PLN")</f>
        <v>https://b2b.kobi.pl/pl/product/10437,oprawa-do-nadbudowania-oh37-czarna-kobi?currency=PLN</v>
      </c>
      <c r="Q416" t="s">
        <v>14</v>
      </c>
      <c r="R416" t="s">
        <v>1945</v>
      </c>
      <c r="S416" t="s">
        <v>2602</v>
      </c>
      <c r="T416">
        <v>0.21</v>
      </c>
      <c r="U416">
        <v>0.53600000000000003</v>
      </c>
      <c r="V416">
        <v>0.68600000000000005</v>
      </c>
      <c r="W416">
        <v>10.6</v>
      </c>
      <c r="X416">
        <v>10.6</v>
      </c>
      <c r="Y416">
        <v>11</v>
      </c>
    </row>
    <row r="417" spans="1:25" ht="60" customHeight="1" x14ac:dyDescent="0.25">
      <c r="A417"/>
      <c r="B417" t="s">
        <v>4</v>
      </c>
      <c r="C417" t="s">
        <v>3815</v>
      </c>
      <c r="D417" t="s">
        <v>618</v>
      </c>
      <c r="E417" t="s">
        <v>1135</v>
      </c>
      <c r="F417" t="s">
        <v>1136</v>
      </c>
      <c r="G417" t="s">
        <v>1102</v>
      </c>
      <c r="H417" s="11">
        <v>46.22</v>
      </c>
      <c r="I417" s="10">
        <f>H417*(1-IFERROR(VLOOKUP(G417,Rabat!$C$9:$D$43,2,0),0))</f>
        <v>46.22</v>
      </c>
      <c r="J417" t="s">
        <v>1815</v>
      </c>
      <c r="K417" t="s">
        <v>286</v>
      </c>
      <c r="L417" t="s">
        <v>1813</v>
      </c>
      <c r="M417">
        <v>20</v>
      </c>
      <c r="N417">
        <v>1900</v>
      </c>
      <c r="O417" t="s">
        <v>1818</v>
      </c>
      <c r="P417" s="12" t="str">
        <f>HYPERLINK("https://b2b.kobi.pl/pl/product/10443,oprawa-do-nadbudowania-oh37-s-czarna-kobi?currency=PLN")</f>
        <v>https://b2b.kobi.pl/pl/product/10443,oprawa-do-nadbudowania-oh37-s-czarna-kobi?currency=PLN</v>
      </c>
      <c r="Q417" t="s">
        <v>14</v>
      </c>
      <c r="R417" t="s">
        <v>1945</v>
      </c>
      <c r="S417" t="s">
        <v>2603</v>
      </c>
      <c r="T417">
        <v>0.15</v>
      </c>
      <c r="U417">
        <v>0.38300000000000001</v>
      </c>
      <c r="V417">
        <v>0.53300000000000003</v>
      </c>
      <c r="W417">
        <v>9</v>
      </c>
      <c r="X417">
        <v>9</v>
      </c>
      <c r="Y417">
        <v>6.4</v>
      </c>
    </row>
    <row r="418" spans="1:25" ht="60" customHeight="1" x14ac:dyDescent="0.25">
      <c r="A418"/>
      <c r="B418" t="s">
        <v>4</v>
      </c>
      <c r="C418" t="s">
        <v>3815</v>
      </c>
      <c r="D418" t="s">
        <v>618</v>
      </c>
      <c r="E418" t="s">
        <v>3388</v>
      </c>
      <c r="F418" t="s">
        <v>3389</v>
      </c>
      <c r="G418" t="s">
        <v>1102</v>
      </c>
      <c r="H418" s="11">
        <v>18.75</v>
      </c>
      <c r="I418" s="10">
        <f>H418*(1-IFERROR(VLOOKUP(G418,Rabat!$C$9:$D$43,2,0),0))</f>
        <v>18.75</v>
      </c>
      <c r="J418" t="s">
        <v>1815</v>
      </c>
      <c r="K418" t="s">
        <v>3433</v>
      </c>
      <c r="L418" t="s">
        <v>1813</v>
      </c>
      <c r="M418">
        <v>50</v>
      </c>
      <c r="N418">
        <v>2000</v>
      </c>
      <c r="O418" t="s">
        <v>1818</v>
      </c>
      <c r="P418" s="12" t="str">
        <f>HYPERLINK("https://b2b.kobi.pl/pl/product/13137,oprawa-do-nadbudowania-oh12-s-1xgx53-biala-kobi?currency=PLN")</f>
        <v>https://b2b.kobi.pl/pl/product/13137,oprawa-do-nadbudowania-oh12-s-1xgx53-biala-kobi?currency=PLN</v>
      </c>
      <c r="Q418" t="s">
        <v>14</v>
      </c>
      <c r="R418"/>
      <c r="S418" t="s">
        <v>2602</v>
      </c>
      <c r="T418">
        <v>0.04</v>
      </c>
      <c r="U418">
        <v>0.1</v>
      </c>
      <c r="V418">
        <v>0.13700000000000001</v>
      </c>
      <c r="W418">
        <v>9</v>
      </c>
      <c r="X418">
        <v>9</v>
      </c>
      <c r="Y418">
        <v>6</v>
      </c>
    </row>
    <row r="419" spans="1:25" ht="60" customHeight="1" x14ac:dyDescent="0.25">
      <c r="A419"/>
      <c r="B419" t="s">
        <v>4</v>
      </c>
      <c r="C419" t="s">
        <v>3815</v>
      </c>
      <c r="D419" t="s">
        <v>618</v>
      </c>
      <c r="E419" t="s">
        <v>3390</v>
      </c>
      <c r="F419" t="s">
        <v>3391</v>
      </c>
      <c r="G419" t="s">
        <v>1102</v>
      </c>
      <c r="H419" s="11">
        <v>18.75</v>
      </c>
      <c r="I419" s="10">
        <f>H419*(1-IFERROR(VLOOKUP(G419,Rabat!$C$9:$D$43,2,0),0))</f>
        <v>18.75</v>
      </c>
      <c r="J419" t="s">
        <v>1815</v>
      </c>
      <c r="K419" t="s">
        <v>3434</v>
      </c>
      <c r="L419" t="s">
        <v>1813</v>
      </c>
      <c r="M419">
        <v>50</v>
      </c>
      <c r="N419">
        <v>2000</v>
      </c>
      <c r="O419" t="s">
        <v>1818</v>
      </c>
      <c r="P419" s="12" t="str">
        <f>HYPERLINK("https://b2b.kobi.pl/pl/product/13138,oprawa-do-nadbudowania-oh12-s-1xgx53-czarna-kobi?currency=PLN")</f>
        <v>https://b2b.kobi.pl/pl/product/13138,oprawa-do-nadbudowania-oh12-s-1xgx53-czarna-kobi?currency=PLN</v>
      </c>
      <c r="Q419" t="s">
        <v>14</v>
      </c>
      <c r="R419"/>
      <c r="S419" t="s">
        <v>2602</v>
      </c>
      <c r="T419">
        <v>0.04</v>
      </c>
      <c r="U419">
        <v>0.1</v>
      </c>
      <c r="V419">
        <v>0.13700000000000001</v>
      </c>
      <c r="W419">
        <v>9</v>
      </c>
      <c r="X419">
        <v>9</v>
      </c>
      <c r="Y419">
        <v>6</v>
      </c>
    </row>
    <row r="420" spans="1:25" ht="60" customHeight="1" x14ac:dyDescent="0.25">
      <c r="A420"/>
      <c r="B420" t="s">
        <v>4</v>
      </c>
      <c r="C420" t="s">
        <v>3815</v>
      </c>
      <c r="D420" t="s">
        <v>618</v>
      </c>
      <c r="E420" t="s">
        <v>3392</v>
      </c>
      <c r="F420" t="s">
        <v>3393</v>
      </c>
      <c r="G420" t="s">
        <v>1102</v>
      </c>
      <c r="H420" s="11">
        <v>22.13</v>
      </c>
      <c r="I420" s="10">
        <f>H420*(1-IFERROR(VLOOKUP(G420,Rabat!$C$9:$D$43,2,0),0))</f>
        <v>22.13</v>
      </c>
      <c r="J420" t="s">
        <v>1815</v>
      </c>
      <c r="K420" t="s">
        <v>3435</v>
      </c>
      <c r="L420" t="s">
        <v>1813</v>
      </c>
      <c r="M420">
        <v>40</v>
      </c>
      <c r="N420">
        <v>1120</v>
      </c>
      <c r="O420" t="s">
        <v>1818</v>
      </c>
      <c r="P420" s="12" t="str">
        <f>HYPERLINK("https://b2b.kobi.pl/pl/product/13139,oprawa-do-nadbudowania-oh12-1xgx53-biala-kobi?currency=PLN")</f>
        <v>https://b2b.kobi.pl/pl/product/13139,oprawa-do-nadbudowania-oh12-1xgx53-biala-kobi?currency=PLN</v>
      </c>
      <c r="Q420" t="s">
        <v>14</v>
      </c>
      <c r="R420"/>
      <c r="S420" t="s">
        <v>2602</v>
      </c>
      <c r="T420">
        <v>7.0000000000000007E-2</v>
      </c>
      <c r="U420">
        <v>0.17</v>
      </c>
      <c r="V420">
        <v>0.20899999999999999</v>
      </c>
      <c r="W420">
        <v>9</v>
      </c>
      <c r="X420">
        <v>9</v>
      </c>
      <c r="Y420">
        <v>10.5</v>
      </c>
    </row>
    <row r="421" spans="1:25" ht="60" customHeight="1" x14ac:dyDescent="0.25">
      <c r="A421"/>
      <c r="B421" t="s">
        <v>4</v>
      </c>
      <c r="C421" t="s">
        <v>3815</v>
      </c>
      <c r="D421" t="s">
        <v>618</v>
      </c>
      <c r="E421" t="s">
        <v>3394</v>
      </c>
      <c r="F421" t="s">
        <v>3395</v>
      </c>
      <c r="G421" t="s">
        <v>1102</v>
      </c>
      <c r="H421" s="11">
        <v>22.13</v>
      </c>
      <c r="I421" s="10">
        <f>H421*(1-IFERROR(VLOOKUP(G421,Rabat!$C$9:$D$43,2,0),0))</f>
        <v>22.13</v>
      </c>
      <c r="J421" t="s">
        <v>1815</v>
      </c>
      <c r="K421" t="s">
        <v>3436</v>
      </c>
      <c r="L421" t="s">
        <v>1813</v>
      </c>
      <c r="M421">
        <v>40</v>
      </c>
      <c r="N421">
        <v>1120</v>
      </c>
      <c r="O421" t="s">
        <v>1818</v>
      </c>
      <c r="P421" s="12" t="str">
        <f>HYPERLINK("https://b2b.kobi.pl/pl/product/13140,oprawa-do-nadbudowania-oh12-1xgx53-czarna-kobi?currency=PLN")</f>
        <v>https://b2b.kobi.pl/pl/product/13140,oprawa-do-nadbudowania-oh12-1xgx53-czarna-kobi?currency=PLN</v>
      </c>
      <c r="Q421" t="s">
        <v>14</v>
      </c>
      <c r="R421"/>
      <c r="S421" t="s">
        <v>2602</v>
      </c>
      <c r="T421">
        <v>7.0000000000000007E-2</v>
      </c>
      <c r="U421">
        <v>0.17</v>
      </c>
      <c r="V421">
        <v>0.20899999999999999</v>
      </c>
      <c r="W421">
        <v>9</v>
      </c>
      <c r="X421">
        <v>9</v>
      </c>
      <c r="Y421">
        <v>10.5</v>
      </c>
    </row>
    <row r="422" spans="1:25" ht="60" customHeight="1" x14ac:dyDescent="0.25">
      <c r="A422"/>
      <c r="B422" t="s">
        <v>4</v>
      </c>
      <c r="C422" t="s">
        <v>3815</v>
      </c>
      <c r="D422" t="s">
        <v>618</v>
      </c>
      <c r="E422" t="s">
        <v>3396</v>
      </c>
      <c r="F422" t="s">
        <v>3397</v>
      </c>
      <c r="G422" t="s">
        <v>1102</v>
      </c>
      <c r="H422" s="11">
        <v>32.479999999999997</v>
      </c>
      <c r="I422" s="10">
        <f>H422*(1-IFERROR(VLOOKUP(G422,Rabat!$C$9:$D$43,2,0),0))</f>
        <v>32.479999999999997</v>
      </c>
      <c r="J422" t="s">
        <v>1815</v>
      </c>
      <c r="K422" t="s">
        <v>3437</v>
      </c>
      <c r="L422" t="s">
        <v>1813</v>
      </c>
      <c r="M422">
        <v>50</v>
      </c>
      <c r="N422">
        <v>1150</v>
      </c>
      <c r="O422" t="s">
        <v>1818</v>
      </c>
      <c r="P422" s="12" t="str">
        <f>HYPERLINK("https://b2b.kobi.pl/pl/product/13141,oprawa-do-nadbudowania-oh12-f-1xgx53-biala-kobi?currency=PLN")</f>
        <v>https://b2b.kobi.pl/pl/product/13141,oprawa-do-nadbudowania-oh12-f-1xgx53-biala-kobi?currency=PLN</v>
      </c>
      <c r="Q422" t="s">
        <v>14</v>
      </c>
      <c r="R422"/>
      <c r="S422" t="s">
        <v>2602</v>
      </c>
      <c r="T422">
        <v>0.09</v>
      </c>
      <c r="U422">
        <v>0.24</v>
      </c>
      <c r="V422">
        <v>0.28100000000000003</v>
      </c>
      <c r="W422">
        <v>9</v>
      </c>
      <c r="X422">
        <v>9</v>
      </c>
      <c r="Y422">
        <v>9</v>
      </c>
    </row>
    <row r="423" spans="1:25" ht="60" customHeight="1" x14ac:dyDescent="0.25">
      <c r="A423"/>
      <c r="B423" t="s">
        <v>4</v>
      </c>
      <c r="C423" t="s">
        <v>3815</v>
      </c>
      <c r="D423" t="s">
        <v>618</v>
      </c>
      <c r="E423" t="s">
        <v>3398</v>
      </c>
      <c r="F423" t="s">
        <v>3399</v>
      </c>
      <c r="G423" t="s">
        <v>1102</v>
      </c>
      <c r="H423" s="11">
        <v>32.479999999999997</v>
      </c>
      <c r="I423" s="10">
        <f>H423*(1-IFERROR(VLOOKUP(G423,Rabat!$C$9:$D$43,2,0),0))</f>
        <v>32.479999999999997</v>
      </c>
      <c r="J423" t="s">
        <v>1815</v>
      </c>
      <c r="K423" t="s">
        <v>3438</v>
      </c>
      <c r="L423" t="s">
        <v>1813</v>
      </c>
      <c r="M423">
        <v>50</v>
      </c>
      <c r="N423">
        <v>1150</v>
      </c>
      <c r="O423" t="s">
        <v>1818</v>
      </c>
      <c r="P423" s="12" t="str">
        <f>HYPERLINK("https://b2b.kobi.pl/pl/product/13142,oprawa-do-nadbudowania-oh12-f-1xgx53-czarna-kobi?currency=PLN")</f>
        <v>https://b2b.kobi.pl/pl/product/13142,oprawa-do-nadbudowania-oh12-f-1xgx53-czarna-kobi?currency=PLN</v>
      </c>
      <c r="Q423" t="s">
        <v>14</v>
      </c>
      <c r="R423"/>
      <c r="S423" t="s">
        <v>2602</v>
      </c>
      <c r="T423">
        <v>0.09</v>
      </c>
      <c r="U423">
        <v>0.24</v>
      </c>
      <c r="V423">
        <v>0.28100000000000003</v>
      </c>
      <c r="W423">
        <v>9</v>
      </c>
      <c r="X423">
        <v>9</v>
      </c>
      <c r="Y423">
        <v>9</v>
      </c>
    </row>
    <row r="424" spans="1:25" ht="60" customHeight="1" x14ac:dyDescent="0.25">
      <c r="A424"/>
      <c r="B424" t="s">
        <v>4</v>
      </c>
      <c r="C424" t="s">
        <v>3815</v>
      </c>
      <c r="D424" t="s">
        <v>618</v>
      </c>
      <c r="E424" t="s">
        <v>3400</v>
      </c>
      <c r="F424" t="s">
        <v>3401</v>
      </c>
      <c r="G424" t="s">
        <v>1102</v>
      </c>
      <c r="H424" s="11">
        <v>107.48</v>
      </c>
      <c r="I424" s="10">
        <f>H424*(1-IFERROR(VLOOKUP(G424,Rabat!$C$9:$D$43,2,0),0))</f>
        <v>107.48</v>
      </c>
      <c r="J424" t="s">
        <v>1815</v>
      </c>
      <c r="K424" t="s">
        <v>3439</v>
      </c>
      <c r="L424" t="s">
        <v>1813</v>
      </c>
      <c r="M424">
        <v>10</v>
      </c>
      <c r="N424">
        <v>170</v>
      </c>
      <c r="O424" t="s">
        <v>1818</v>
      </c>
      <c r="P424" s="12" t="str">
        <f>HYPERLINK("https://b2b.kobi.pl/pl/product/13135,oprawa-sufitowa-lunvigo-4xgx53-czarna-kobi?currency=PLN")</f>
        <v>https://b2b.kobi.pl/pl/product/13135,oprawa-sufitowa-lunvigo-4xgx53-czarna-kobi?currency=PLN</v>
      </c>
      <c r="Q424" t="s">
        <v>14</v>
      </c>
      <c r="R424"/>
      <c r="S424" t="s">
        <v>2602</v>
      </c>
      <c r="T424">
        <v>0.41</v>
      </c>
      <c r="U424">
        <v>1</v>
      </c>
      <c r="V424">
        <v>1.1859999999999999</v>
      </c>
      <c r="W424">
        <v>62</v>
      </c>
      <c r="X424">
        <v>12</v>
      </c>
      <c r="Y424">
        <v>9</v>
      </c>
    </row>
    <row r="425" spans="1:25" ht="60" customHeight="1" x14ac:dyDescent="0.25">
      <c r="A425"/>
      <c r="B425" t="s">
        <v>4</v>
      </c>
      <c r="C425" t="s">
        <v>3815</v>
      </c>
      <c r="D425" t="s">
        <v>618</v>
      </c>
      <c r="E425" t="s">
        <v>3402</v>
      </c>
      <c r="F425" t="s">
        <v>3403</v>
      </c>
      <c r="G425" t="s">
        <v>1102</v>
      </c>
      <c r="H425" s="11">
        <v>146.25</v>
      </c>
      <c r="I425" s="10">
        <f>H425*(1-IFERROR(VLOOKUP(G425,Rabat!$C$9:$D$43,2,0),0))</f>
        <v>146.25</v>
      </c>
      <c r="J425" t="s">
        <v>1815</v>
      </c>
      <c r="K425" t="s">
        <v>3440</v>
      </c>
      <c r="L425" t="s">
        <v>1813</v>
      </c>
      <c r="M425">
        <v>6</v>
      </c>
      <c r="N425">
        <v>102</v>
      </c>
      <c r="O425" t="s">
        <v>1818</v>
      </c>
      <c r="P425" s="12" t="str">
        <f>HYPERLINK("https://b2b.kobi.pl/pl/product/13136,oprawa-sufitowa-lunvigo-6xgx53-czarna-kobi?currency=PLN")</f>
        <v>https://b2b.kobi.pl/pl/product/13136,oprawa-sufitowa-lunvigo-6xgx53-czarna-kobi?currency=PLN</v>
      </c>
      <c r="Q425" t="s">
        <v>14</v>
      </c>
      <c r="R425"/>
      <c r="S425" t="s">
        <v>2602</v>
      </c>
      <c r="T425">
        <v>0.74</v>
      </c>
      <c r="U425">
        <v>1.8</v>
      </c>
      <c r="V425">
        <v>2.0699999999999998</v>
      </c>
      <c r="W425">
        <v>121</v>
      </c>
      <c r="X425">
        <v>12</v>
      </c>
      <c r="Y425">
        <v>9</v>
      </c>
    </row>
    <row r="426" spans="1:25" ht="60" customHeight="1" x14ac:dyDescent="0.25">
      <c r="A426"/>
      <c r="B426" t="s">
        <v>4</v>
      </c>
      <c r="C426" t="s">
        <v>3819</v>
      </c>
      <c r="D426" t="s">
        <v>618</v>
      </c>
      <c r="E426" t="s">
        <v>767</v>
      </c>
      <c r="F426" t="s">
        <v>768</v>
      </c>
      <c r="G426" t="s">
        <v>692</v>
      </c>
      <c r="H426" s="11">
        <v>122.5</v>
      </c>
      <c r="I426" s="10">
        <f>H426*(1-IFERROR(VLOOKUP(G426,Rabat!$C$9:$D$43,2,0),0))</f>
        <v>122.5</v>
      </c>
      <c r="J426" t="s">
        <v>1815</v>
      </c>
      <c r="K426" t="s">
        <v>320</v>
      </c>
      <c r="L426" t="s">
        <v>1813</v>
      </c>
      <c r="M426">
        <v>4</v>
      </c>
      <c r="N426">
        <v>60</v>
      </c>
      <c r="O426" t="s">
        <v>1818</v>
      </c>
      <c r="P426" s="12" t="str">
        <f>HYPERLINK("https://b2b.kobi.pl/pl/product/10564,lampa-ogrodowa-garden-ball-s-1xe27-ip65-kobi?currency=PLN")</f>
        <v>https://b2b.kobi.pl/pl/product/10564,lampa-ogrodowa-garden-ball-s-1xe27-ip65-kobi?currency=PLN</v>
      </c>
      <c r="Q426" t="s">
        <v>14</v>
      </c>
      <c r="R426"/>
      <c r="S426" t="s">
        <v>2604</v>
      </c>
      <c r="T426">
        <v>0.31</v>
      </c>
      <c r="U426">
        <v>0.78900000000000003</v>
      </c>
      <c r="V426">
        <v>2.25</v>
      </c>
      <c r="W426">
        <v>25.5</v>
      </c>
      <c r="X426">
        <v>25.5</v>
      </c>
      <c r="Y426">
        <v>24</v>
      </c>
    </row>
    <row r="427" spans="1:25" ht="60" customHeight="1" x14ac:dyDescent="0.25">
      <c r="A427"/>
      <c r="B427" t="s">
        <v>4</v>
      </c>
      <c r="C427" t="s">
        <v>3819</v>
      </c>
      <c r="D427" t="s">
        <v>618</v>
      </c>
      <c r="E427" t="s">
        <v>765</v>
      </c>
      <c r="F427" t="s">
        <v>766</v>
      </c>
      <c r="G427" t="s">
        <v>692</v>
      </c>
      <c r="H427" s="11">
        <v>147.5</v>
      </c>
      <c r="I427" s="10">
        <f>H427*(1-IFERROR(VLOOKUP(G427,Rabat!$C$9:$D$43,2,0),0))</f>
        <v>147.5</v>
      </c>
      <c r="J427" t="s">
        <v>1815</v>
      </c>
      <c r="K427" t="s">
        <v>319</v>
      </c>
      <c r="L427" t="s">
        <v>1813</v>
      </c>
      <c r="M427">
        <v>4</v>
      </c>
      <c r="N427">
        <v>40</v>
      </c>
      <c r="O427" t="s">
        <v>1818</v>
      </c>
      <c r="P427" s="12" t="str">
        <f>HYPERLINK("https://b2b.kobi.pl/pl/product/10563,lampa-ogrodowa-garden-ball-m-1xe27-ip65-kobi?currency=PLN")</f>
        <v>https://b2b.kobi.pl/pl/product/10563,lampa-ogrodowa-garden-ball-m-1xe27-ip65-kobi?currency=PLN</v>
      </c>
      <c r="Q427" t="s">
        <v>14</v>
      </c>
      <c r="R427"/>
      <c r="S427" t="s">
        <v>2604</v>
      </c>
      <c r="T427">
        <v>0.39</v>
      </c>
      <c r="U427">
        <v>0.99199999999999999</v>
      </c>
      <c r="V427">
        <v>1.35</v>
      </c>
      <c r="W427">
        <v>28.5</v>
      </c>
      <c r="X427">
        <v>28.5</v>
      </c>
      <c r="Y427">
        <v>28.5</v>
      </c>
    </row>
    <row r="428" spans="1:25" ht="60" customHeight="1" x14ac:dyDescent="0.25">
      <c r="A428"/>
      <c r="B428" t="s">
        <v>4</v>
      </c>
      <c r="C428" t="s">
        <v>3819</v>
      </c>
      <c r="D428" t="s">
        <v>618</v>
      </c>
      <c r="E428" t="s">
        <v>763</v>
      </c>
      <c r="F428" t="s">
        <v>764</v>
      </c>
      <c r="G428" t="s">
        <v>692</v>
      </c>
      <c r="H428" s="11">
        <v>197.5</v>
      </c>
      <c r="I428" s="10">
        <f>H428*(1-IFERROR(VLOOKUP(G428,Rabat!$C$9:$D$43,2,0),0))</f>
        <v>197.5</v>
      </c>
      <c r="J428" t="s">
        <v>1815</v>
      </c>
      <c r="K428" t="s">
        <v>318</v>
      </c>
      <c r="L428" t="s">
        <v>1813</v>
      </c>
      <c r="M428">
        <v>1</v>
      </c>
      <c r="N428">
        <v>24</v>
      </c>
      <c r="O428" t="s">
        <v>1818</v>
      </c>
      <c r="P428" s="12" t="str">
        <f>HYPERLINK("https://b2b.kobi.pl/pl/product/10562,lampa-ogrodowa-garden-ball-l-1xe27-ip65-kobi?currency=PLN")</f>
        <v>https://b2b.kobi.pl/pl/product/10562,lampa-ogrodowa-garden-ball-l-1xe27-ip65-kobi?currency=PLN</v>
      </c>
      <c r="Q428" t="s">
        <v>14</v>
      </c>
      <c r="R428"/>
      <c r="S428" t="s">
        <v>2604</v>
      </c>
      <c r="T428">
        <v>0.68</v>
      </c>
      <c r="U428">
        <v>1.7549999999999999</v>
      </c>
      <c r="V428">
        <v>2.75</v>
      </c>
      <c r="W428">
        <v>39</v>
      </c>
      <c r="X428">
        <v>39</v>
      </c>
      <c r="Y428">
        <v>39</v>
      </c>
    </row>
    <row r="429" spans="1:25" ht="60" customHeight="1" x14ac:dyDescent="0.25">
      <c r="A429"/>
      <c r="B429" t="s">
        <v>4</v>
      </c>
      <c r="C429" t="s">
        <v>3819</v>
      </c>
      <c r="D429" t="s">
        <v>618</v>
      </c>
      <c r="E429" t="s">
        <v>694</v>
      </c>
      <c r="F429" t="s">
        <v>695</v>
      </c>
      <c r="G429" t="s">
        <v>692</v>
      </c>
      <c r="H429" s="11">
        <v>49.75</v>
      </c>
      <c r="I429" s="10">
        <f>H429*(1-IFERROR(VLOOKUP(G429,Rabat!$C$9:$D$43,2,0),0))</f>
        <v>49.75</v>
      </c>
      <c r="J429" t="s">
        <v>1815</v>
      </c>
      <c r="K429" t="s">
        <v>1826</v>
      </c>
      <c r="L429" t="s">
        <v>1813</v>
      </c>
      <c r="M429">
        <v>10</v>
      </c>
      <c r="N429">
        <v>160</v>
      </c>
      <c r="O429" t="s">
        <v>1818</v>
      </c>
      <c r="P429" s="12" t="str">
        <f>HYPERLINK("https://b2b.kobi.pl/pl/product/10584,kinkiet-ogrodowy-lo4101-1xe27-ip54-bialy-kobi?currency=PLN")</f>
        <v>https://b2b.kobi.pl/pl/product/10584,kinkiet-ogrodowy-lo4101-1xe27-ip54-bialy-kobi?currency=PLN</v>
      </c>
      <c r="Q429" t="s">
        <v>14</v>
      </c>
      <c r="R429"/>
      <c r="S429" t="s">
        <v>2605</v>
      </c>
      <c r="T429">
        <v>0.27</v>
      </c>
      <c r="U429">
        <v>0.68</v>
      </c>
      <c r="V429">
        <v>0.92600000000000005</v>
      </c>
      <c r="W429">
        <v>15.5</v>
      </c>
      <c r="X429">
        <v>10.7</v>
      </c>
      <c r="Y429">
        <v>26.1</v>
      </c>
    </row>
    <row r="430" spans="1:25" ht="60" customHeight="1" x14ac:dyDescent="0.25">
      <c r="A430"/>
      <c r="B430" t="s">
        <v>4</v>
      </c>
      <c r="C430" t="s">
        <v>3819</v>
      </c>
      <c r="D430" t="s">
        <v>618</v>
      </c>
      <c r="E430" t="s">
        <v>696</v>
      </c>
      <c r="F430" t="s">
        <v>697</v>
      </c>
      <c r="G430" t="s">
        <v>692</v>
      </c>
      <c r="H430" s="11">
        <v>49.75</v>
      </c>
      <c r="I430" s="10">
        <f>H430*(1-IFERROR(VLOOKUP(G430,Rabat!$C$9:$D$43,2,0),0))</f>
        <v>49.75</v>
      </c>
      <c r="J430" t="s">
        <v>1815</v>
      </c>
      <c r="K430" t="s">
        <v>312</v>
      </c>
      <c r="L430" t="s">
        <v>1813</v>
      </c>
      <c r="M430">
        <v>10</v>
      </c>
      <c r="N430">
        <v>160</v>
      </c>
      <c r="O430" t="s">
        <v>1818</v>
      </c>
      <c r="P430" s="12" t="str">
        <f>HYPERLINK("https://b2b.kobi.pl/pl/product/10585,kinkiet-ogrodowy-lo4101-1xe27-ip54-czarny-kobi?currency=PLN")</f>
        <v>https://b2b.kobi.pl/pl/product/10585,kinkiet-ogrodowy-lo4101-1xe27-ip54-czarny-kobi?currency=PLN</v>
      </c>
      <c r="Q430" t="s">
        <v>14</v>
      </c>
      <c r="R430"/>
      <c r="S430" t="s">
        <v>2605</v>
      </c>
      <c r="T430">
        <v>0.27</v>
      </c>
      <c r="U430">
        <v>0.68</v>
      </c>
      <c r="V430">
        <v>0.92600000000000005</v>
      </c>
      <c r="W430">
        <v>15.5</v>
      </c>
      <c r="X430">
        <v>10.7</v>
      </c>
      <c r="Y430">
        <v>26.1</v>
      </c>
    </row>
    <row r="431" spans="1:25" ht="60" customHeight="1" x14ac:dyDescent="0.25">
      <c r="A431"/>
      <c r="B431" t="s">
        <v>4</v>
      </c>
      <c r="C431" t="s">
        <v>3819</v>
      </c>
      <c r="D431" t="s">
        <v>618</v>
      </c>
      <c r="E431" t="s">
        <v>698</v>
      </c>
      <c r="F431" t="s">
        <v>699</v>
      </c>
      <c r="G431" t="s">
        <v>692</v>
      </c>
      <c r="H431" s="11">
        <v>49.75</v>
      </c>
      <c r="I431" s="10">
        <f>H431*(1-IFERROR(VLOOKUP(G431,Rabat!$C$9:$D$43,2,0),0))</f>
        <v>49.75</v>
      </c>
      <c r="J431" t="s">
        <v>1815</v>
      </c>
      <c r="K431" t="s">
        <v>313</v>
      </c>
      <c r="L431" t="s">
        <v>1813</v>
      </c>
      <c r="M431">
        <v>10</v>
      </c>
      <c r="N431">
        <v>160</v>
      </c>
      <c r="O431" t="s">
        <v>1818</v>
      </c>
      <c r="P431" s="12" t="str">
        <f>HYPERLINK("https://b2b.kobi.pl/pl/product/10587,kinkiet-ogrodowy-lo4101-1xe27-ip54-zloty-kobi?currency=PLN")</f>
        <v>https://b2b.kobi.pl/pl/product/10587,kinkiet-ogrodowy-lo4101-1xe27-ip54-zloty-kobi?currency=PLN</v>
      </c>
      <c r="Q431" t="s">
        <v>14</v>
      </c>
      <c r="R431"/>
      <c r="S431" t="s">
        <v>2605</v>
      </c>
      <c r="T431">
        <v>0.27</v>
      </c>
      <c r="U431">
        <v>0.68</v>
      </c>
      <c r="V431">
        <v>0.92600000000000005</v>
      </c>
      <c r="W431">
        <v>15.5</v>
      </c>
      <c r="X431">
        <v>20.7</v>
      </c>
      <c r="Y431">
        <v>26.1</v>
      </c>
    </row>
    <row r="432" spans="1:25" ht="60" customHeight="1" x14ac:dyDescent="0.25">
      <c r="A432"/>
      <c r="B432" t="s">
        <v>4</v>
      </c>
      <c r="C432" t="s">
        <v>3819</v>
      </c>
      <c r="D432" t="s">
        <v>618</v>
      </c>
      <c r="E432" t="s">
        <v>700</v>
      </c>
      <c r="F432" t="s">
        <v>701</v>
      </c>
      <c r="G432" t="s">
        <v>692</v>
      </c>
      <c r="H432" s="11">
        <v>49.75</v>
      </c>
      <c r="I432" s="10">
        <f>H432*(1-IFERROR(VLOOKUP(G432,Rabat!$C$9:$D$43,2,0),0))</f>
        <v>49.75</v>
      </c>
      <c r="J432" t="s">
        <v>1815</v>
      </c>
      <c r="K432" t="s">
        <v>1827</v>
      </c>
      <c r="L432" t="s">
        <v>1813</v>
      </c>
      <c r="M432">
        <v>10</v>
      </c>
      <c r="N432">
        <v>160</v>
      </c>
      <c r="O432" t="s">
        <v>1818</v>
      </c>
      <c r="P432" s="12" t="str">
        <f>HYPERLINK("https://b2b.kobi.pl/pl/product/10588,kinkiet-ogrodowy-lo4102-1xe27-ip54-bialy-kobi?currency=PLN")</f>
        <v>https://b2b.kobi.pl/pl/product/10588,kinkiet-ogrodowy-lo4102-1xe27-ip54-bialy-kobi?currency=PLN</v>
      </c>
      <c r="Q432" t="s">
        <v>14</v>
      </c>
      <c r="R432"/>
      <c r="S432" t="s">
        <v>2605</v>
      </c>
      <c r="T432">
        <v>0.27</v>
      </c>
      <c r="U432">
        <v>0.68</v>
      </c>
      <c r="V432">
        <v>0.92600000000000005</v>
      </c>
      <c r="W432">
        <v>15.1</v>
      </c>
      <c r="X432">
        <v>21</v>
      </c>
      <c r="Y432">
        <v>31.3</v>
      </c>
    </row>
    <row r="433" spans="1:25" ht="60" customHeight="1" x14ac:dyDescent="0.25">
      <c r="A433"/>
      <c r="B433" t="s">
        <v>4</v>
      </c>
      <c r="C433" t="s">
        <v>3819</v>
      </c>
      <c r="D433" t="s">
        <v>618</v>
      </c>
      <c r="E433" t="s">
        <v>702</v>
      </c>
      <c r="F433" t="s">
        <v>703</v>
      </c>
      <c r="G433" t="s">
        <v>692</v>
      </c>
      <c r="H433" s="11">
        <v>49.75</v>
      </c>
      <c r="I433" s="10">
        <f>H433*(1-IFERROR(VLOOKUP(G433,Rabat!$C$9:$D$43,2,0),0))</f>
        <v>49.75</v>
      </c>
      <c r="J433" t="s">
        <v>1815</v>
      </c>
      <c r="K433" t="s">
        <v>304</v>
      </c>
      <c r="L433" t="s">
        <v>1813</v>
      </c>
      <c r="M433">
        <v>10</v>
      </c>
      <c r="N433">
        <v>160</v>
      </c>
      <c r="O433" t="s">
        <v>1818</v>
      </c>
      <c r="P433" s="12" t="str">
        <f>HYPERLINK("https://b2b.kobi.pl/pl/product/10589,kinkiet-ogrodowy-lo4102-1xe27-ip54-czarny-kobi?currency=PLN")</f>
        <v>https://b2b.kobi.pl/pl/product/10589,kinkiet-ogrodowy-lo4102-1xe27-ip54-czarny-kobi?currency=PLN</v>
      </c>
      <c r="Q433" t="s">
        <v>14</v>
      </c>
      <c r="R433"/>
      <c r="S433" t="s">
        <v>2605</v>
      </c>
      <c r="T433">
        <v>0.27</v>
      </c>
      <c r="U433">
        <v>0.68</v>
      </c>
      <c r="V433">
        <v>0.92600000000000005</v>
      </c>
      <c r="W433">
        <v>15.1</v>
      </c>
      <c r="X433">
        <v>21</v>
      </c>
      <c r="Y433">
        <v>31.3</v>
      </c>
    </row>
    <row r="434" spans="1:25" ht="60" customHeight="1" x14ac:dyDescent="0.25">
      <c r="A434"/>
      <c r="B434" t="s">
        <v>4</v>
      </c>
      <c r="C434" t="s">
        <v>3819</v>
      </c>
      <c r="D434" t="s">
        <v>618</v>
      </c>
      <c r="E434" t="s">
        <v>704</v>
      </c>
      <c r="F434" t="s">
        <v>705</v>
      </c>
      <c r="G434" t="s">
        <v>692</v>
      </c>
      <c r="H434" s="11">
        <v>49.75</v>
      </c>
      <c r="I434" s="10">
        <f>H434*(1-IFERROR(VLOOKUP(G434,Rabat!$C$9:$D$43,2,0),0))</f>
        <v>49.75</v>
      </c>
      <c r="J434" t="s">
        <v>1815</v>
      </c>
      <c r="K434" t="s">
        <v>305</v>
      </c>
      <c r="L434" t="s">
        <v>1813</v>
      </c>
      <c r="M434">
        <v>10</v>
      </c>
      <c r="N434">
        <v>160</v>
      </c>
      <c r="O434" t="s">
        <v>1818</v>
      </c>
      <c r="P434" s="12" t="str">
        <f>HYPERLINK("https://b2b.kobi.pl/pl/product/10591,kinkiet-ogrodowy-lo4102-1xe27-ip54-zloty-kobi?currency=PLN")</f>
        <v>https://b2b.kobi.pl/pl/product/10591,kinkiet-ogrodowy-lo4102-1xe27-ip54-zloty-kobi?currency=PLN</v>
      </c>
      <c r="Q434" t="s">
        <v>14</v>
      </c>
      <c r="R434"/>
      <c r="S434" t="s">
        <v>2605</v>
      </c>
      <c r="T434">
        <v>0.27</v>
      </c>
      <c r="U434">
        <v>0.68</v>
      </c>
      <c r="V434">
        <v>0.92600000000000005</v>
      </c>
      <c r="W434">
        <v>15.1</v>
      </c>
      <c r="X434">
        <v>21</v>
      </c>
      <c r="Y434">
        <v>31.3</v>
      </c>
    </row>
    <row r="435" spans="1:25" ht="60" customHeight="1" x14ac:dyDescent="0.25">
      <c r="A435"/>
      <c r="B435" t="s">
        <v>4</v>
      </c>
      <c r="C435" t="s">
        <v>3819</v>
      </c>
      <c r="D435" t="s">
        <v>618</v>
      </c>
      <c r="E435" t="s">
        <v>883</v>
      </c>
      <c r="F435" t="s">
        <v>884</v>
      </c>
      <c r="G435" t="s">
        <v>692</v>
      </c>
      <c r="H435" s="11">
        <v>49.75</v>
      </c>
      <c r="I435" s="10">
        <f>H435*(1-IFERROR(VLOOKUP(G435,Rabat!$C$9:$D$43,2,0),0))</f>
        <v>49.75</v>
      </c>
      <c r="J435" t="s">
        <v>1815</v>
      </c>
      <c r="K435" t="s">
        <v>1848</v>
      </c>
      <c r="L435" t="s">
        <v>1813</v>
      </c>
      <c r="M435">
        <v>10</v>
      </c>
      <c r="N435">
        <v>160</v>
      </c>
      <c r="O435" t="s">
        <v>1818</v>
      </c>
      <c r="P435" s="12" t="str">
        <f>HYPERLINK("https://b2b.kobi.pl/pl/product/10596,lampa-wiszaca-ogrodowa-lo4105-1xe27-ip54-biala-kobi?currency=PLN")</f>
        <v>https://b2b.kobi.pl/pl/product/10596,lampa-wiszaca-ogrodowa-lo4105-1xe27-ip54-biala-kobi?currency=PLN</v>
      </c>
      <c r="Q435" t="s">
        <v>14</v>
      </c>
      <c r="R435"/>
      <c r="S435" t="s">
        <v>2605</v>
      </c>
      <c r="T435">
        <v>0.27</v>
      </c>
      <c r="U435">
        <v>0.69</v>
      </c>
      <c r="V435">
        <v>0.96299999999999997</v>
      </c>
      <c r="W435">
        <v>15.5</v>
      </c>
      <c r="X435">
        <v>18.5</v>
      </c>
      <c r="Y435">
        <v>27</v>
      </c>
    </row>
    <row r="436" spans="1:25" ht="60" customHeight="1" x14ac:dyDescent="0.25">
      <c r="A436"/>
      <c r="B436" t="s">
        <v>4</v>
      </c>
      <c r="C436" t="s">
        <v>3819</v>
      </c>
      <c r="D436" t="s">
        <v>618</v>
      </c>
      <c r="E436" t="s">
        <v>885</v>
      </c>
      <c r="F436" t="s">
        <v>886</v>
      </c>
      <c r="G436" t="s">
        <v>692</v>
      </c>
      <c r="H436" s="11">
        <v>49.75</v>
      </c>
      <c r="I436" s="10">
        <f>H436*(1-IFERROR(VLOOKUP(G436,Rabat!$C$9:$D$43,2,0),0))</f>
        <v>49.75</v>
      </c>
      <c r="J436" t="s">
        <v>1815</v>
      </c>
      <c r="K436" t="s">
        <v>325</v>
      </c>
      <c r="L436" t="s">
        <v>1813</v>
      </c>
      <c r="M436">
        <v>10</v>
      </c>
      <c r="N436">
        <v>160</v>
      </c>
      <c r="O436" t="s">
        <v>1818</v>
      </c>
      <c r="P436" s="12" t="str">
        <f>HYPERLINK("https://b2b.kobi.pl/pl/product/10597,lampa-wiszaca-ogrodowa-lo4105-1xe27-ip54-czarna-kobi?currency=PLN")</f>
        <v>https://b2b.kobi.pl/pl/product/10597,lampa-wiszaca-ogrodowa-lo4105-1xe27-ip54-czarna-kobi?currency=PLN</v>
      </c>
      <c r="Q436" t="s">
        <v>14</v>
      </c>
      <c r="R436"/>
      <c r="S436" t="s">
        <v>2605</v>
      </c>
      <c r="T436">
        <v>0.28999999999999998</v>
      </c>
      <c r="U436">
        <v>0.745</v>
      </c>
      <c r="V436">
        <v>0.96299999999999997</v>
      </c>
      <c r="W436">
        <v>15.5</v>
      </c>
      <c r="X436">
        <v>18.5</v>
      </c>
      <c r="Y436">
        <v>27</v>
      </c>
    </row>
    <row r="437" spans="1:25" ht="60" customHeight="1" x14ac:dyDescent="0.25">
      <c r="A437"/>
      <c r="B437" t="s">
        <v>4</v>
      </c>
      <c r="C437" t="s">
        <v>3819</v>
      </c>
      <c r="D437" t="s">
        <v>618</v>
      </c>
      <c r="E437" t="s">
        <v>887</v>
      </c>
      <c r="F437" t="s">
        <v>888</v>
      </c>
      <c r="G437" t="s">
        <v>692</v>
      </c>
      <c r="H437" s="11">
        <v>49.75</v>
      </c>
      <c r="I437" s="10">
        <f>H437*(1-IFERROR(VLOOKUP(G437,Rabat!$C$9:$D$43,2,0),0))</f>
        <v>49.75</v>
      </c>
      <c r="J437" t="s">
        <v>1815</v>
      </c>
      <c r="K437" t="s">
        <v>326</v>
      </c>
      <c r="L437" t="s">
        <v>1813</v>
      </c>
      <c r="M437">
        <v>10</v>
      </c>
      <c r="N437">
        <v>160</v>
      </c>
      <c r="O437" t="s">
        <v>1818</v>
      </c>
      <c r="P437" s="12" t="str">
        <f>HYPERLINK("https://b2b.kobi.pl/pl/product/10599,lampa-wiszaca-ogrodowa-lo4105-1xe27-ip54-zlota-kobi?currency=PLN")</f>
        <v>https://b2b.kobi.pl/pl/product/10599,lampa-wiszaca-ogrodowa-lo4105-1xe27-ip54-zlota-kobi?currency=PLN</v>
      </c>
      <c r="Q437" t="s">
        <v>14</v>
      </c>
      <c r="R437"/>
      <c r="S437" t="s">
        <v>2605</v>
      </c>
      <c r="T437">
        <v>0.28999999999999998</v>
      </c>
      <c r="U437">
        <v>0.745</v>
      </c>
      <c r="V437">
        <v>0.96299999999999997</v>
      </c>
      <c r="W437">
        <v>15.5</v>
      </c>
      <c r="X437">
        <v>18.5</v>
      </c>
      <c r="Y437">
        <v>27</v>
      </c>
    </row>
    <row r="438" spans="1:25" ht="60" customHeight="1" x14ac:dyDescent="0.25">
      <c r="A438"/>
      <c r="B438" t="s">
        <v>4</v>
      </c>
      <c r="C438" t="s">
        <v>3819</v>
      </c>
      <c r="D438" t="s">
        <v>618</v>
      </c>
      <c r="E438" t="s">
        <v>706</v>
      </c>
      <c r="F438" t="s">
        <v>707</v>
      </c>
      <c r="G438" t="s">
        <v>692</v>
      </c>
      <c r="H438" s="11">
        <v>149.75</v>
      </c>
      <c r="I438" s="10">
        <f>H438*(1-IFERROR(VLOOKUP(G438,Rabat!$C$9:$D$43,2,0),0))</f>
        <v>149.75</v>
      </c>
      <c r="J438" t="s">
        <v>1815</v>
      </c>
      <c r="K438" t="s">
        <v>314</v>
      </c>
      <c r="L438" t="s">
        <v>1813</v>
      </c>
      <c r="M438">
        <v>12</v>
      </c>
      <c r="N438">
        <v>480</v>
      </c>
      <c r="O438" t="s">
        <v>1818</v>
      </c>
      <c r="P438" s="12" t="str">
        <f>HYPERLINK("https://b2b.kobi.pl/pl/product/10624,kinkiet-ogrodowy-quazar-7-2xgu10-ip44-czarny-kobi?currency=PLN")</f>
        <v>https://b2b.kobi.pl/pl/product/10624,kinkiet-ogrodowy-quazar-7-2xgu10-ip44-czarny-kobi?currency=PLN</v>
      </c>
      <c r="Q438" t="s">
        <v>14</v>
      </c>
      <c r="R438"/>
      <c r="S438" t="s">
        <v>2602</v>
      </c>
      <c r="T438">
        <v>0.32</v>
      </c>
      <c r="U438">
        <v>0.83099999999999996</v>
      </c>
      <c r="V438">
        <v>0.95099999999999996</v>
      </c>
      <c r="W438">
        <v>9.5</v>
      </c>
      <c r="X438">
        <v>39.799999999999997</v>
      </c>
      <c r="Y438">
        <v>26.1</v>
      </c>
    </row>
    <row r="439" spans="1:25" ht="60" customHeight="1" x14ac:dyDescent="0.25">
      <c r="A439"/>
      <c r="B439" t="s">
        <v>4</v>
      </c>
      <c r="C439" t="s">
        <v>3819</v>
      </c>
      <c r="D439" t="s">
        <v>618</v>
      </c>
      <c r="E439" t="s">
        <v>708</v>
      </c>
      <c r="F439" t="s">
        <v>709</v>
      </c>
      <c r="G439" t="s">
        <v>692</v>
      </c>
      <c r="H439" s="11">
        <v>149.75</v>
      </c>
      <c r="I439" s="10">
        <f>H439*(1-IFERROR(VLOOKUP(G439,Rabat!$C$9:$D$43,2,0),0))</f>
        <v>149.75</v>
      </c>
      <c r="J439" t="s">
        <v>1815</v>
      </c>
      <c r="K439" t="s">
        <v>315</v>
      </c>
      <c r="L439" t="s">
        <v>1813</v>
      </c>
      <c r="M439">
        <v>12</v>
      </c>
      <c r="N439">
        <v>384</v>
      </c>
      <c r="O439" t="s">
        <v>1818</v>
      </c>
      <c r="P439" s="12" t="str">
        <f>HYPERLINK("https://b2b.kobi.pl/pl/product/10625,kinkiet-ogrodowy-quazar-7-2xgu10-ip44-szary-kobi?currency=PLN")</f>
        <v>https://b2b.kobi.pl/pl/product/10625,kinkiet-ogrodowy-quazar-7-2xgu10-ip44-szary-kobi?currency=PLN</v>
      </c>
      <c r="Q439" t="s">
        <v>14</v>
      </c>
      <c r="R439"/>
      <c r="S439" t="s">
        <v>2602</v>
      </c>
      <c r="T439">
        <v>0.32</v>
      </c>
      <c r="U439">
        <v>0.83099999999999996</v>
      </c>
      <c r="V439">
        <v>0.95099999999999996</v>
      </c>
      <c r="W439">
        <v>9.5</v>
      </c>
      <c r="X439">
        <v>9.8000000000000007</v>
      </c>
      <c r="Y439">
        <v>26.1</v>
      </c>
    </row>
    <row r="440" spans="1:25" ht="60" customHeight="1" x14ac:dyDescent="0.25">
      <c r="A440"/>
      <c r="B440" t="s">
        <v>4</v>
      </c>
      <c r="C440" t="s">
        <v>3819</v>
      </c>
      <c r="D440" t="s">
        <v>618</v>
      </c>
      <c r="E440" t="s">
        <v>712</v>
      </c>
      <c r="F440" t="s">
        <v>713</v>
      </c>
      <c r="G440" t="s">
        <v>692</v>
      </c>
      <c r="H440" s="11">
        <v>104.75</v>
      </c>
      <c r="I440" s="10">
        <f>H440*(1-IFERROR(VLOOKUP(G440,Rabat!$C$9:$D$43,2,0),0))</f>
        <v>104.75</v>
      </c>
      <c r="J440" t="s">
        <v>1815</v>
      </c>
      <c r="K440" t="s">
        <v>308</v>
      </c>
      <c r="L440" t="s">
        <v>1813</v>
      </c>
      <c r="M440">
        <v>16</v>
      </c>
      <c r="N440">
        <v>672</v>
      </c>
      <c r="O440" t="s">
        <v>1818</v>
      </c>
      <c r="P440" s="12" t="str">
        <f>HYPERLINK("https://b2b.kobi.pl/pl/product/10602,kinkiet-ogrodowy-quazar-11-1xgu10-ip44-czarny-kobi?currency=PLN")</f>
        <v>https://b2b.kobi.pl/pl/product/10602,kinkiet-ogrodowy-quazar-11-1xgu10-ip44-czarny-kobi?currency=PLN</v>
      </c>
      <c r="Q440" t="s">
        <v>14</v>
      </c>
      <c r="R440"/>
      <c r="S440" t="s">
        <v>2602</v>
      </c>
      <c r="T440">
        <v>0.21</v>
      </c>
      <c r="U440">
        <v>0.55100000000000005</v>
      </c>
      <c r="V440">
        <v>0.64100000000000001</v>
      </c>
      <c r="W440">
        <v>9.5</v>
      </c>
      <c r="X440">
        <v>9.5</v>
      </c>
      <c r="Y440">
        <v>16</v>
      </c>
    </row>
    <row r="441" spans="1:25" ht="60" customHeight="1" x14ac:dyDescent="0.25">
      <c r="A441"/>
      <c r="B441" t="s">
        <v>4</v>
      </c>
      <c r="C441" t="s">
        <v>3819</v>
      </c>
      <c r="D441" t="s">
        <v>618</v>
      </c>
      <c r="E441" t="s">
        <v>714</v>
      </c>
      <c r="F441" t="s">
        <v>715</v>
      </c>
      <c r="G441" t="s">
        <v>692</v>
      </c>
      <c r="H441" s="11">
        <v>104.75</v>
      </c>
      <c r="I441" s="10">
        <f>H441*(1-IFERROR(VLOOKUP(G441,Rabat!$C$9:$D$43,2,0),0))</f>
        <v>104.75</v>
      </c>
      <c r="J441" t="s">
        <v>1815</v>
      </c>
      <c r="K441" t="s">
        <v>309</v>
      </c>
      <c r="L441" t="s">
        <v>1813</v>
      </c>
      <c r="M441">
        <v>16</v>
      </c>
      <c r="N441">
        <v>576</v>
      </c>
      <c r="O441" t="s">
        <v>1818</v>
      </c>
      <c r="P441" s="12" t="str">
        <f>HYPERLINK("https://b2b.kobi.pl/pl/product/10603,kinkiet-ogrodowy-quazar-11-1xgu10-ip44-szary-kobi?currency=PLN")</f>
        <v>https://b2b.kobi.pl/pl/product/10603,kinkiet-ogrodowy-quazar-11-1xgu10-ip44-szary-kobi?currency=PLN</v>
      </c>
      <c r="Q441" t="s">
        <v>14</v>
      </c>
      <c r="R441"/>
      <c r="S441" t="s">
        <v>2602</v>
      </c>
      <c r="T441">
        <v>0.21</v>
      </c>
      <c r="U441">
        <v>0.55100000000000005</v>
      </c>
      <c r="V441">
        <v>0.64100000000000001</v>
      </c>
      <c r="W441">
        <v>9.5</v>
      </c>
      <c r="X441">
        <v>9.5</v>
      </c>
      <c r="Y441">
        <v>16</v>
      </c>
    </row>
    <row r="442" spans="1:25" ht="60" customHeight="1" x14ac:dyDescent="0.25">
      <c r="A442"/>
      <c r="B442" t="s">
        <v>4</v>
      </c>
      <c r="C442" t="s">
        <v>3819</v>
      </c>
      <c r="D442" t="s">
        <v>618</v>
      </c>
      <c r="E442" t="s">
        <v>1353</v>
      </c>
      <c r="F442" t="s">
        <v>1354</v>
      </c>
      <c r="G442" t="s">
        <v>692</v>
      </c>
      <c r="H442" s="11">
        <v>264.75</v>
      </c>
      <c r="I442" s="10">
        <f>H442*(1-IFERROR(VLOOKUP(G442,Rabat!$C$9:$D$43,2,0),0))</f>
        <v>264.75</v>
      </c>
      <c r="J442" t="s">
        <v>1815</v>
      </c>
      <c r="K442" t="s">
        <v>323</v>
      </c>
      <c r="L442" t="s">
        <v>1813</v>
      </c>
      <c r="M442">
        <v>6</v>
      </c>
      <c r="N442">
        <v>48</v>
      </c>
      <c r="O442" t="s">
        <v>1818</v>
      </c>
      <c r="P442" s="12" t="str">
        <f>HYPERLINK("https://b2b.kobi.pl/pl/product/10604,slupek-ogrodowy-quazar-12-1xgu10-ip44-czarny-kobi?currency=PLN")</f>
        <v>https://b2b.kobi.pl/pl/product/10604,slupek-ogrodowy-quazar-12-1xgu10-ip44-czarny-kobi?currency=PLN</v>
      </c>
      <c r="Q442" t="s">
        <v>14</v>
      </c>
      <c r="R442"/>
      <c r="S442" t="s">
        <v>2602</v>
      </c>
      <c r="T442">
        <v>0.81</v>
      </c>
      <c r="U442">
        <v>1.978</v>
      </c>
      <c r="V442">
        <v>2.2999999999999998</v>
      </c>
      <c r="W442">
        <v>14</v>
      </c>
      <c r="X442">
        <v>14</v>
      </c>
      <c r="Y442">
        <v>10.1</v>
      </c>
    </row>
    <row r="443" spans="1:25" ht="60" customHeight="1" x14ac:dyDescent="0.25">
      <c r="A443"/>
      <c r="B443" t="s">
        <v>4</v>
      </c>
      <c r="C443" t="s">
        <v>3819</v>
      </c>
      <c r="D443" t="s">
        <v>618</v>
      </c>
      <c r="E443" t="s">
        <v>1355</v>
      </c>
      <c r="F443" t="s">
        <v>1356</v>
      </c>
      <c r="G443" t="s">
        <v>692</v>
      </c>
      <c r="H443" s="11">
        <v>264.75</v>
      </c>
      <c r="I443" s="10">
        <f>H443*(1-IFERROR(VLOOKUP(G443,Rabat!$C$9:$D$43,2,0),0))</f>
        <v>264.75</v>
      </c>
      <c r="J443" t="s">
        <v>1815</v>
      </c>
      <c r="K443" t="s">
        <v>324</v>
      </c>
      <c r="L443" t="s">
        <v>1813</v>
      </c>
      <c r="M443">
        <v>6</v>
      </c>
      <c r="N443">
        <v>48</v>
      </c>
      <c r="O443" t="s">
        <v>1818</v>
      </c>
      <c r="P443" s="12" t="str">
        <f>HYPERLINK("https://b2b.kobi.pl/pl/product/10605,slupek-ogrodowy-quazar-12-1xgu10-ip44-szary-kobi?currency=PLN")</f>
        <v>https://b2b.kobi.pl/pl/product/10605,slupek-ogrodowy-quazar-12-1xgu10-ip44-szary-kobi?currency=PLN</v>
      </c>
      <c r="Q443" t="s">
        <v>14</v>
      </c>
      <c r="R443"/>
      <c r="S443" t="s">
        <v>2602</v>
      </c>
      <c r="T443">
        <v>0.81</v>
      </c>
      <c r="U443">
        <v>1.978</v>
      </c>
      <c r="V443">
        <v>2.2999999999999998</v>
      </c>
      <c r="W443">
        <v>14</v>
      </c>
      <c r="X443">
        <v>14</v>
      </c>
      <c r="Y443">
        <v>10.1</v>
      </c>
    </row>
    <row r="444" spans="1:25" ht="60" customHeight="1" x14ac:dyDescent="0.25">
      <c r="A444"/>
      <c r="B444" t="s">
        <v>4</v>
      </c>
      <c r="C444" t="s">
        <v>3819</v>
      </c>
      <c r="D444" t="s">
        <v>618</v>
      </c>
      <c r="E444" t="s">
        <v>716</v>
      </c>
      <c r="F444" t="s">
        <v>717</v>
      </c>
      <c r="G444" t="s">
        <v>692</v>
      </c>
      <c r="H444" s="11">
        <v>79.75</v>
      </c>
      <c r="I444" s="10">
        <f>H444*(1-IFERROR(VLOOKUP(G444,Rabat!$C$9:$D$43,2,0),0))</f>
        <v>79.75</v>
      </c>
      <c r="J444" t="s">
        <v>1815</v>
      </c>
      <c r="K444" t="s">
        <v>306</v>
      </c>
      <c r="L444" t="s">
        <v>1813</v>
      </c>
      <c r="M444">
        <v>24</v>
      </c>
      <c r="N444">
        <v>864</v>
      </c>
      <c r="O444" t="s">
        <v>1818</v>
      </c>
      <c r="P444" s="12" t="str">
        <f>HYPERLINK("https://b2b.kobi.pl/pl/product/10610,kinkiet-ogrodowy-quazar-15-1xgu10-ip44-czarny-kobi?currency=PLN")</f>
        <v>https://b2b.kobi.pl/pl/product/10610,kinkiet-ogrodowy-quazar-15-1xgu10-ip44-czarny-kobi?currency=PLN</v>
      </c>
      <c r="Q444" t="s">
        <v>14</v>
      </c>
      <c r="R444"/>
      <c r="S444" t="s">
        <v>2602</v>
      </c>
      <c r="T444">
        <v>0.18</v>
      </c>
      <c r="U444">
        <v>0.47</v>
      </c>
      <c r="V444">
        <v>0.55500000000000005</v>
      </c>
      <c r="W444">
        <v>8.5</v>
      </c>
      <c r="X444">
        <v>11</v>
      </c>
      <c r="Y444">
        <v>10.8</v>
      </c>
    </row>
    <row r="445" spans="1:25" ht="60" customHeight="1" x14ac:dyDescent="0.25">
      <c r="A445"/>
      <c r="B445" t="s">
        <v>4</v>
      </c>
      <c r="C445" t="s">
        <v>3819</v>
      </c>
      <c r="D445" t="s">
        <v>618</v>
      </c>
      <c r="E445" t="s">
        <v>718</v>
      </c>
      <c r="F445" t="s">
        <v>719</v>
      </c>
      <c r="G445" t="s">
        <v>692</v>
      </c>
      <c r="H445" s="11">
        <v>79.75</v>
      </c>
      <c r="I445" s="10">
        <f>H445*(1-IFERROR(VLOOKUP(G445,Rabat!$C$9:$D$43,2,0),0))</f>
        <v>79.75</v>
      </c>
      <c r="J445" t="s">
        <v>1815</v>
      </c>
      <c r="K445" t="s">
        <v>307</v>
      </c>
      <c r="L445" t="s">
        <v>1813</v>
      </c>
      <c r="M445">
        <v>24</v>
      </c>
      <c r="N445">
        <v>864</v>
      </c>
      <c r="O445" t="s">
        <v>1818</v>
      </c>
      <c r="P445" s="12" t="str">
        <f>HYPERLINK("https://b2b.kobi.pl/pl/product/10615,kinkiet-ogrodowy-quazar-15-1xgu10-ip44-szary-kobi?currency=PLN")</f>
        <v>https://b2b.kobi.pl/pl/product/10615,kinkiet-ogrodowy-quazar-15-1xgu10-ip44-szary-kobi?currency=PLN</v>
      </c>
      <c r="Q445" t="s">
        <v>14</v>
      </c>
      <c r="R445"/>
      <c r="S445" t="s">
        <v>2602</v>
      </c>
      <c r="T445">
        <v>0.18</v>
      </c>
      <c r="U445">
        <v>0.47</v>
      </c>
      <c r="V445">
        <v>0.55500000000000005</v>
      </c>
      <c r="W445">
        <v>8.5</v>
      </c>
      <c r="X445">
        <v>11</v>
      </c>
      <c r="Y445">
        <v>10.8</v>
      </c>
    </row>
    <row r="446" spans="1:25" ht="60" customHeight="1" x14ac:dyDescent="0.25">
      <c r="A446"/>
      <c r="B446" t="s">
        <v>4</v>
      </c>
      <c r="C446" t="s">
        <v>3819</v>
      </c>
      <c r="D446" t="s">
        <v>618</v>
      </c>
      <c r="E446" t="s">
        <v>1962</v>
      </c>
      <c r="F446" t="s">
        <v>736</v>
      </c>
      <c r="G446" t="s">
        <v>692</v>
      </c>
      <c r="H446" s="11">
        <v>149.75</v>
      </c>
      <c r="I446" s="10">
        <f>H446*(1-IFERROR(VLOOKUP(G446,Rabat!$C$9:$D$43,2,0),0))</f>
        <v>149.75</v>
      </c>
      <c r="J446" t="s">
        <v>1815</v>
      </c>
      <c r="K446" t="s">
        <v>310</v>
      </c>
      <c r="L446" t="s">
        <v>1813</v>
      </c>
      <c r="M446">
        <v>16</v>
      </c>
      <c r="N446">
        <v>576</v>
      </c>
      <c r="O446" t="s">
        <v>1818</v>
      </c>
      <c r="P446" s="12" t="str">
        <f>HYPERLINK("https://b2b.kobi.pl/pl/product/10611,kinkiet-ogrodowy-z-czujnikiem-ruchu-quazar-15-1xu10-lx-ip44-czarny-kobi?currency=PLN")</f>
        <v>https://b2b.kobi.pl/pl/product/10611,kinkiet-ogrodowy-z-czujnikiem-ruchu-quazar-15-1xu10-lx-ip44-czarny-kobi?currency=PLN</v>
      </c>
      <c r="Q446" t="s">
        <v>14</v>
      </c>
      <c r="R446"/>
      <c r="S446" t="s">
        <v>2602</v>
      </c>
      <c r="T446">
        <v>0.23</v>
      </c>
      <c r="U446">
        <v>0.59099999999999997</v>
      </c>
      <c r="V446">
        <v>0.67700000000000005</v>
      </c>
      <c r="W446">
        <v>8.5</v>
      </c>
      <c r="X446">
        <v>17.5</v>
      </c>
      <c r="Y446">
        <v>11.5</v>
      </c>
    </row>
    <row r="447" spans="1:25" ht="60" customHeight="1" x14ac:dyDescent="0.25">
      <c r="A447"/>
      <c r="B447" t="s">
        <v>4</v>
      </c>
      <c r="C447" t="s">
        <v>3819</v>
      </c>
      <c r="D447" t="s">
        <v>618</v>
      </c>
      <c r="E447" t="s">
        <v>1963</v>
      </c>
      <c r="F447" t="s">
        <v>737</v>
      </c>
      <c r="G447" t="s">
        <v>692</v>
      </c>
      <c r="H447" s="11">
        <v>149.75</v>
      </c>
      <c r="I447" s="10">
        <f>H447*(1-IFERROR(VLOOKUP(G447,Rabat!$C$9:$D$43,2,0),0))</f>
        <v>149.75</v>
      </c>
      <c r="J447" t="s">
        <v>1815</v>
      </c>
      <c r="K447" t="s">
        <v>311</v>
      </c>
      <c r="L447" t="s">
        <v>1813</v>
      </c>
      <c r="M447">
        <v>16</v>
      </c>
      <c r="N447">
        <v>576</v>
      </c>
      <c r="O447" t="s">
        <v>1818</v>
      </c>
      <c r="P447" s="12" t="str">
        <f>HYPERLINK("https://b2b.kobi.pl/pl/product/10612,kinkiet-ogrodowy-z-czujnikiem-ruchu-quazar-15-1xu10-lx-ip44-szary-kobi?currency=PLN")</f>
        <v>https://b2b.kobi.pl/pl/product/10612,kinkiet-ogrodowy-z-czujnikiem-ruchu-quazar-15-1xu10-lx-ip44-szary-kobi?currency=PLN</v>
      </c>
      <c r="Q447" t="s">
        <v>14</v>
      </c>
      <c r="R447"/>
      <c r="S447" t="s">
        <v>2602</v>
      </c>
      <c r="T447">
        <v>0.23</v>
      </c>
      <c r="U447">
        <v>0.59099999999999997</v>
      </c>
      <c r="V447">
        <v>0.67700000000000005</v>
      </c>
      <c r="W447">
        <v>8.5</v>
      </c>
      <c r="X447">
        <v>17.5</v>
      </c>
      <c r="Y447">
        <v>11.5</v>
      </c>
    </row>
    <row r="448" spans="1:25" ht="60" customHeight="1" x14ac:dyDescent="0.25">
      <c r="A448"/>
      <c r="B448" t="s">
        <v>4</v>
      </c>
      <c r="C448" t="s">
        <v>3819</v>
      </c>
      <c r="D448" t="s">
        <v>618</v>
      </c>
      <c r="E448" t="s">
        <v>1357</v>
      </c>
      <c r="F448" t="s">
        <v>1358</v>
      </c>
      <c r="G448" t="s">
        <v>692</v>
      </c>
      <c r="H448" s="11">
        <v>174.75</v>
      </c>
      <c r="I448" s="10">
        <f>H448*(1-IFERROR(VLOOKUP(G448,Rabat!$C$9:$D$43,2,0),0))</f>
        <v>174.75</v>
      </c>
      <c r="J448" t="s">
        <v>1815</v>
      </c>
      <c r="K448" t="s">
        <v>321</v>
      </c>
      <c r="L448" t="s">
        <v>1813</v>
      </c>
      <c r="M448">
        <v>6</v>
      </c>
      <c r="N448">
        <v>72</v>
      </c>
      <c r="O448" t="s">
        <v>1818</v>
      </c>
      <c r="P448" s="12" t="str">
        <f>HYPERLINK("https://b2b.kobi.pl/pl/product/10613,slupek-ogrodowy-quazar-15s-1xgu10-ip44-czarny-kobi?currency=PLN")</f>
        <v>https://b2b.kobi.pl/pl/product/10613,slupek-ogrodowy-quazar-15s-1xgu10-ip44-czarny-kobi?currency=PLN</v>
      </c>
      <c r="Q448" t="s">
        <v>14</v>
      </c>
      <c r="R448"/>
      <c r="S448" t="s">
        <v>2602</v>
      </c>
      <c r="T448">
        <v>0.67</v>
      </c>
      <c r="U448">
        <v>1.645</v>
      </c>
      <c r="V448">
        <v>1.95</v>
      </c>
      <c r="W448">
        <v>13</v>
      </c>
      <c r="X448">
        <v>13</v>
      </c>
      <c r="Y448">
        <v>101.5</v>
      </c>
    </row>
    <row r="449" spans="1:25" ht="60" customHeight="1" x14ac:dyDescent="0.25">
      <c r="A449"/>
      <c r="B449" t="s">
        <v>4</v>
      </c>
      <c r="C449" t="s">
        <v>3819</v>
      </c>
      <c r="D449" t="s">
        <v>618</v>
      </c>
      <c r="E449" t="s">
        <v>1359</v>
      </c>
      <c r="F449" t="s">
        <v>1360</v>
      </c>
      <c r="G449" t="s">
        <v>692</v>
      </c>
      <c r="H449" s="11">
        <v>174.75</v>
      </c>
      <c r="I449" s="10">
        <f>H449*(1-IFERROR(VLOOKUP(G449,Rabat!$C$9:$D$43,2,0),0))</f>
        <v>174.75</v>
      </c>
      <c r="J449" t="s">
        <v>1815</v>
      </c>
      <c r="K449" t="s">
        <v>322</v>
      </c>
      <c r="L449" t="s">
        <v>1813</v>
      </c>
      <c r="M449">
        <v>6</v>
      </c>
      <c r="N449">
        <v>72</v>
      </c>
      <c r="O449" t="s">
        <v>1818</v>
      </c>
      <c r="P449" s="12" t="str">
        <f>HYPERLINK("https://b2b.kobi.pl/pl/product/10614,slupek-ogrodowy-quazar-15s-1xgu10-ip44-szary-kobi?currency=PLN")</f>
        <v>https://b2b.kobi.pl/pl/product/10614,slupek-ogrodowy-quazar-15s-1xgu10-ip44-szary-kobi?currency=PLN</v>
      </c>
      <c r="Q449" t="s">
        <v>14</v>
      </c>
      <c r="R449"/>
      <c r="S449" t="s">
        <v>2602</v>
      </c>
      <c r="T449">
        <v>0.67</v>
      </c>
      <c r="U449">
        <v>1.645</v>
      </c>
      <c r="V449">
        <v>1.95</v>
      </c>
      <c r="W449">
        <v>13</v>
      </c>
      <c r="X449">
        <v>13</v>
      </c>
      <c r="Y449">
        <v>101.5</v>
      </c>
    </row>
    <row r="450" spans="1:25" ht="60" customHeight="1" x14ac:dyDescent="0.25">
      <c r="A450"/>
      <c r="B450" t="s">
        <v>4</v>
      </c>
      <c r="C450" t="s">
        <v>3819</v>
      </c>
      <c r="D450" t="s">
        <v>16</v>
      </c>
      <c r="E450" t="s">
        <v>769</v>
      </c>
      <c r="F450" t="s">
        <v>770</v>
      </c>
      <c r="G450" t="s">
        <v>692</v>
      </c>
      <c r="H450" s="11">
        <v>56.25</v>
      </c>
      <c r="I450" s="10">
        <f>H450*(1-IFERROR(VLOOKUP(G450,Rabat!$C$9:$D$43,2,0),0))</f>
        <v>56.25</v>
      </c>
      <c r="J450" t="s">
        <v>1815</v>
      </c>
      <c r="K450" t="s">
        <v>359</v>
      </c>
      <c r="L450" t="s">
        <v>1813</v>
      </c>
      <c r="M450">
        <v>30</v>
      </c>
      <c r="N450">
        <v>840</v>
      </c>
      <c r="O450" t="s">
        <v>1818</v>
      </c>
      <c r="P450" s="12" t="str">
        <f>HYPERLINK("https://b2b.kobi.pl/pl/product/10642,lampa-ogrodowa-querk-1-1xgu10-ip54-czarna-led2b?currency=PLN")</f>
        <v>https://b2b.kobi.pl/pl/product/10642,lampa-ogrodowa-querk-1-1xgu10-ip54-czarna-led2b?currency=PLN</v>
      </c>
      <c r="Q450" t="s">
        <v>14</v>
      </c>
      <c r="R450"/>
      <c r="S450" t="s">
        <v>2602</v>
      </c>
      <c r="T450">
        <v>0.11</v>
      </c>
      <c r="U450">
        <v>0.28999999999999998</v>
      </c>
      <c r="V450">
        <v>0.31</v>
      </c>
      <c r="W450">
        <v>10</v>
      </c>
      <c r="X450">
        <v>10</v>
      </c>
      <c r="Y450">
        <v>10.5</v>
      </c>
    </row>
    <row r="451" spans="1:25" ht="60" customHeight="1" x14ac:dyDescent="0.25">
      <c r="A451"/>
      <c r="B451" t="s">
        <v>4</v>
      </c>
      <c r="C451" t="s">
        <v>3819</v>
      </c>
      <c r="D451" t="s">
        <v>16</v>
      </c>
      <c r="E451" t="s">
        <v>771</v>
      </c>
      <c r="F451" t="s">
        <v>772</v>
      </c>
      <c r="G451" t="s">
        <v>692</v>
      </c>
      <c r="H451" s="11">
        <v>47.5</v>
      </c>
      <c r="I451" s="10">
        <f>H451*(1-IFERROR(VLOOKUP(G451,Rabat!$C$9:$D$43,2,0),0))</f>
        <v>47.5</v>
      </c>
      <c r="J451" t="s">
        <v>1815</v>
      </c>
      <c r="K451" t="s">
        <v>360</v>
      </c>
      <c r="L451" t="s">
        <v>1813</v>
      </c>
      <c r="M451">
        <v>30</v>
      </c>
      <c r="N451">
        <v>840</v>
      </c>
      <c r="O451" t="s">
        <v>1818</v>
      </c>
      <c r="P451" s="12" t="str">
        <f>HYPERLINK("https://b2b.kobi.pl/pl/product/10643,lampa-ogrodowa-querk-2-1xgu10-ip54-czarna-led2b?currency=PLN")</f>
        <v>https://b2b.kobi.pl/pl/product/10643,lampa-ogrodowa-querk-2-1xgu10-ip54-czarna-led2b?currency=PLN</v>
      </c>
      <c r="Q451" t="s">
        <v>14</v>
      </c>
      <c r="R451"/>
      <c r="S451" t="s">
        <v>2602</v>
      </c>
      <c r="T451">
        <v>0.08</v>
      </c>
      <c r="U451">
        <v>0.20499999999999999</v>
      </c>
      <c r="V451">
        <v>0.23</v>
      </c>
      <c r="W451">
        <v>10</v>
      </c>
      <c r="X451">
        <v>10</v>
      </c>
      <c r="Y451">
        <v>10.5</v>
      </c>
    </row>
    <row r="452" spans="1:25" ht="60" customHeight="1" x14ac:dyDescent="0.25">
      <c r="A452"/>
      <c r="B452" t="s">
        <v>4</v>
      </c>
      <c r="C452" t="s">
        <v>3819</v>
      </c>
      <c r="D452" t="s">
        <v>16</v>
      </c>
      <c r="E452" t="s">
        <v>720</v>
      </c>
      <c r="F452" t="s">
        <v>721</v>
      </c>
      <c r="G452" t="s">
        <v>692</v>
      </c>
      <c r="H452" s="11">
        <v>59.75</v>
      </c>
      <c r="I452" s="10">
        <f>H452*(1-IFERROR(VLOOKUP(G452,Rabat!$C$9:$D$43,2,0),0))</f>
        <v>59.75</v>
      </c>
      <c r="J452" t="s">
        <v>1815</v>
      </c>
      <c r="K452" t="s">
        <v>361</v>
      </c>
      <c r="L452" t="s">
        <v>1813</v>
      </c>
      <c r="M452">
        <v>10</v>
      </c>
      <c r="N452">
        <v>500</v>
      </c>
      <c r="O452" t="s">
        <v>1818</v>
      </c>
      <c r="P452" s="12" t="str">
        <f>HYPERLINK("https://b2b.kobi.pl/pl/product/10644,kinkiet-ogrodowy-querk-3-2xgu10-ip54-czarna-led2b?currency=PLN")</f>
        <v>https://b2b.kobi.pl/pl/product/10644,kinkiet-ogrodowy-querk-3-2xgu10-ip54-czarna-led2b?currency=PLN</v>
      </c>
      <c r="Q452" t="s">
        <v>14</v>
      </c>
      <c r="R452"/>
      <c r="S452" t="s">
        <v>2602</v>
      </c>
      <c r="T452">
        <v>0.22</v>
      </c>
      <c r="U452">
        <v>0.56000000000000005</v>
      </c>
      <c r="V452">
        <v>0.57299999999999995</v>
      </c>
      <c r="W452">
        <v>12</v>
      </c>
      <c r="X452">
        <v>7.5</v>
      </c>
      <c r="Y452">
        <v>27</v>
      </c>
    </row>
    <row r="453" spans="1:25" ht="60" customHeight="1" x14ac:dyDescent="0.25">
      <c r="A453"/>
      <c r="B453" t="s">
        <v>4</v>
      </c>
      <c r="C453" t="s">
        <v>3819</v>
      </c>
      <c r="D453" t="s">
        <v>16</v>
      </c>
      <c r="E453" t="s">
        <v>722</v>
      </c>
      <c r="F453" t="s">
        <v>723</v>
      </c>
      <c r="G453" t="s">
        <v>692</v>
      </c>
      <c r="H453" s="11">
        <v>96.25</v>
      </c>
      <c r="I453" s="10">
        <f>H453*(1-IFERROR(VLOOKUP(G453,Rabat!$C$9:$D$43,2,0),0))</f>
        <v>96.25</v>
      </c>
      <c r="J453" t="s">
        <v>1815</v>
      </c>
      <c r="K453" t="s">
        <v>362</v>
      </c>
      <c r="L453" t="s">
        <v>1813</v>
      </c>
      <c r="M453">
        <v>10</v>
      </c>
      <c r="N453">
        <v>300</v>
      </c>
      <c r="O453" t="s">
        <v>1818</v>
      </c>
      <c r="P453" s="12" t="str">
        <f>HYPERLINK("https://b2b.kobi.pl/pl/product/10645,kinkiet-ogrodowy-querk-4-2xgu10-ip54-czarna-led2b?currency=PLN")</f>
        <v>https://b2b.kobi.pl/pl/product/10645,kinkiet-ogrodowy-querk-4-2xgu10-ip54-czarna-led2b?currency=PLN</v>
      </c>
      <c r="Q453" t="s">
        <v>14</v>
      </c>
      <c r="R453"/>
      <c r="S453" t="s">
        <v>2602</v>
      </c>
      <c r="T453">
        <v>0.31</v>
      </c>
      <c r="U453">
        <v>0.79</v>
      </c>
      <c r="V453">
        <v>0.92500000000000004</v>
      </c>
      <c r="W453">
        <v>14</v>
      </c>
      <c r="X453">
        <v>10</v>
      </c>
      <c r="Y453">
        <v>27</v>
      </c>
    </row>
    <row r="454" spans="1:25" ht="60" customHeight="1" x14ac:dyDescent="0.25">
      <c r="A454"/>
      <c r="B454" t="s">
        <v>4</v>
      </c>
      <c r="C454" t="s">
        <v>3819</v>
      </c>
      <c r="D454" t="s">
        <v>16</v>
      </c>
      <c r="E454" t="s">
        <v>724</v>
      </c>
      <c r="F454" t="s">
        <v>725</v>
      </c>
      <c r="G454" t="s">
        <v>692</v>
      </c>
      <c r="H454" s="11">
        <v>99.98</v>
      </c>
      <c r="I454" s="10">
        <f>H454*(1-IFERROR(VLOOKUP(G454,Rabat!$C$9:$D$43,2,0),0))</f>
        <v>99.98</v>
      </c>
      <c r="J454" t="s">
        <v>1815</v>
      </c>
      <c r="K454" t="s">
        <v>363</v>
      </c>
      <c r="L454" t="s">
        <v>1813</v>
      </c>
      <c r="M454">
        <v>10</v>
      </c>
      <c r="N454">
        <v>300</v>
      </c>
      <c r="O454" t="s">
        <v>1818</v>
      </c>
      <c r="P454" s="12" t="str">
        <f>HYPERLINK("https://b2b.kobi.pl/pl/product/10646,kinkiet-ogrodowy-querk-5-2xgu10-ip54-czarna-led2b?currency=PLN")</f>
        <v>https://b2b.kobi.pl/pl/product/10646,kinkiet-ogrodowy-querk-5-2xgu10-ip54-czarna-led2b?currency=PLN</v>
      </c>
      <c r="Q454" t="s">
        <v>14</v>
      </c>
      <c r="R454"/>
      <c r="S454" t="s">
        <v>2602</v>
      </c>
      <c r="T454">
        <v>0.23</v>
      </c>
      <c r="U454">
        <v>0.57999999999999996</v>
      </c>
      <c r="V454">
        <v>0.69799999999999995</v>
      </c>
      <c r="W454">
        <v>10</v>
      </c>
      <c r="X454">
        <v>14</v>
      </c>
      <c r="Y454">
        <v>27</v>
      </c>
    </row>
    <row r="455" spans="1:25" ht="60" customHeight="1" x14ac:dyDescent="0.25">
      <c r="A455"/>
      <c r="B455" t="s">
        <v>4</v>
      </c>
      <c r="C455" t="s">
        <v>3819</v>
      </c>
      <c r="D455" t="s">
        <v>16</v>
      </c>
      <c r="E455" t="s">
        <v>726</v>
      </c>
      <c r="F455" t="s">
        <v>727</v>
      </c>
      <c r="G455" t="s">
        <v>692</v>
      </c>
      <c r="H455" s="11">
        <v>55</v>
      </c>
      <c r="I455" s="10">
        <f>H455*(1-IFERROR(VLOOKUP(G455,Rabat!$C$9:$D$43,2,0),0))</f>
        <v>55</v>
      </c>
      <c r="J455" t="s">
        <v>1815</v>
      </c>
      <c r="K455" t="s">
        <v>1828</v>
      </c>
      <c r="L455" t="s">
        <v>1813</v>
      </c>
      <c r="M455">
        <v>30</v>
      </c>
      <c r="N455">
        <v>1350</v>
      </c>
      <c r="O455" t="s">
        <v>1818</v>
      </c>
      <c r="P455" s="12" t="str">
        <f>HYPERLINK("https://b2b.kobi.pl/pl/product/12143,kinkiet-ogrodowy-querk-6-1xgu10-ip54-czarny-led2b?currency=PLN")</f>
        <v>https://b2b.kobi.pl/pl/product/12143,kinkiet-ogrodowy-querk-6-1xgu10-ip54-czarny-led2b?currency=PLN</v>
      </c>
      <c r="Q455" t="s">
        <v>14</v>
      </c>
      <c r="R455"/>
      <c r="S455" t="s">
        <v>2602</v>
      </c>
      <c r="T455">
        <v>0.11</v>
      </c>
      <c r="U455">
        <v>0.28000000000000003</v>
      </c>
      <c r="V455">
        <v>0.32</v>
      </c>
      <c r="W455">
        <v>9</v>
      </c>
      <c r="X455">
        <v>7.5</v>
      </c>
      <c r="Y455">
        <v>10</v>
      </c>
    </row>
    <row r="456" spans="1:25" ht="60" customHeight="1" x14ac:dyDescent="0.25">
      <c r="A456"/>
      <c r="B456" t="s">
        <v>4</v>
      </c>
      <c r="C456" t="s">
        <v>3819</v>
      </c>
      <c r="D456" t="s">
        <v>16</v>
      </c>
      <c r="E456" t="s">
        <v>728</v>
      </c>
      <c r="F456" t="s">
        <v>729</v>
      </c>
      <c r="G456" t="s">
        <v>692</v>
      </c>
      <c r="H456" s="11">
        <v>72.5</v>
      </c>
      <c r="I456" s="10">
        <f>H456*(1-IFERROR(VLOOKUP(G456,Rabat!$C$9:$D$43,2,0),0))</f>
        <v>72.5</v>
      </c>
      <c r="J456" t="s">
        <v>1815</v>
      </c>
      <c r="K456" t="s">
        <v>1829</v>
      </c>
      <c r="L456" t="s">
        <v>1813</v>
      </c>
      <c r="M456">
        <v>20</v>
      </c>
      <c r="N456">
        <v>840</v>
      </c>
      <c r="O456" t="s">
        <v>1818</v>
      </c>
      <c r="P456" s="12" t="str">
        <f>HYPERLINK("https://b2b.kobi.pl/pl/product/12144,kinkiet-ogrodowy-querk-7-2xgu10-ip54-czarny-led2b?currency=PLN")</f>
        <v>https://b2b.kobi.pl/pl/product/12144,kinkiet-ogrodowy-querk-7-2xgu10-ip54-czarny-led2b?currency=PLN</v>
      </c>
      <c r="Q456" t="s">
        <v>14</v>
      </c>
      <c r="R456"/>
      <c r="S456" t="s">
        <v>2602</v>
      </c>
      <c r="T456">
        <v>0.17</v>
      </c>
      <c r="U456">
        <v>0.44</v>
      </c>
      <c r="V456">
        <v>0.5</v>
      </c>
      <c r="W456">
        <v>10</v>
      </c>
      <c r="X456">
        <v>7.5</v>
      </c>
      <c r="Y456">
        <v>16</v>
      </c>
    </row>
    <row r="457" spans="1:25" ht="60" customHeight="1" x14ac:dyDescent="0.25">
      <c r="A457"/>
      <c r="B457" t="s">
        <v>4</v>
      </c>
      <c r="C457" t="s">
        <v>3819</v>
      </c>
      <c r="D457" t="s">
        <v>16</v>
      </c>
      <c r="E457" t="s">
        <v>732</v>
      </c>
      <c r="F457" t="s">
        <v>733</v>
      </c>
      <c r="G457" t="s">
        <v>692</v>
      </c>
      <c r="H457" s="11">
        <v>84.75</v>
      </c>
      <c r="I457" s="10">
        <f>H457*(1-IFERROR(VLOOKUP(G457,Rabat!$C$9:$D$43,2,0),0))</f>
        <v>84.75</v>
      </c>
      <c r="J457" t="s">
        <v>1815</v>
      </c>
      <c r="K457" t="s">
        <v>1831</v>
      </c>
      <c r="L457" t="s">
        <v>1813</v>
      </c>
      <c r="M457">
        <v>12</v>
      </c>
      <c r="N457">
        <v>72</v>
      </c>
      <c r="O457" t="s">
        <v>1818</v>
      </c>
      <c r="P457" s="12" t="str">
        <f>HYPERLINK("https://b2b.kobi.pl/pl/product/12136,kinkiet-ogrodowy-tevio-kg-1xe27-ip54-czarny-led2b?currency=PLN")</f>
        <v>https://b2b.kobi.pl/pl/product/12136,kinkiet-ogrodowy-tevio-kg-1xe27-ip54-czarny-led2b?currency=PLN</v>
      </c>
      <c r="Q457" t="s">
        <v>14</v>
      </c>
      <c r="R457"/>
      <c r="S457" t="s">
        <v>2605</v>
      </c>
      <c r="T457">
        <v>0.2</v>
      </c>
      <c r="U457">
        <v>0.52</v>
      </c>
      <c r="V457">
        <v>0.76</v>
      </c>
      <c r="W457">
        <v>22.5</v>
      </c>
      <c r="X457">
        <v>17.5</v>
      </c>
      <c r="Y457">
        <v>25</v>
      </c>
    </row>
    <row r="458" spans="1:25" ht="60" customHeight="1" x14ac:dyDescent="0.25">
      <c r="A458"/>
      <c r="B458" t="s">
        <v>4</v>
      </c>
      <c r="C458" t="s">
        <v>3819</v>
      </c>
      <c r="D458" t="s">
        <v>16</v>
      </c>
      <c r="E458" t="s">
        <v>734</v>
      </c>
      <c r="F458" t="s">
        <v>735</v>
      </c>
      <c r="G458" t="s">
        <v>692</v>
      </c>
      <c r="H458" s="11">
        <v>141.25</v>
      </c>
      <c r="I458" s="10">
        <f>H458*(1-IFERROR(VLOOKUP(G458,Rabat!$C$9:$D$43,2,0),0))</f>
        <v>141.25</v>
      </c>
      <c r="J458" t="s">
        <v>1815</v>
      </c>
      <c r="K458" t="s">
        <v>1832</v>
      </c>
      <c r="L458" t="s">
        <v>1813</v>
      </c>
      <c r="M458">
        <v>12</v>
      </c>
      <c r="N458">
        <v>72</v>
      </c>
      <c r="O458" t="s">
        <v>1818</v>
      </c>
      <c r="P458" s="12" t="str">
        <f>HYPERLINK("https://b2b.kobi.pl/pl/product/12137,kinkiet-ogrodowy-tevio-kg-1xe27-lx-ip54-czarny-led2b?currency=PLN")</f>
        <v>https://b2b.kobi.pl/pl/product/12137,kinkiet-ogrodowy-tevio-kg-1xe27-lx-ip54-czarny-led2b?currency=PLN</v>
      </c>
      <c r="Q458" t="s">
        <v>14</v>
      </c>
      <c r="R458"/>
      <c r="S458" t="s">
        <v>2605</v>
      </c>
      <c r="T458">
        <v>0.23</v>
      </c>
      <c r="U458">
        <v>0.6</v>
      </c>
      <c r="V458">
        <v>0.85</v>
      </c>
      <c r="W458">
        <v>22.5</v>
      </c>
      <c r="X458">
        <v>17.5</v>
      </c>
      <c r="Y458">
        <v>29</v>
      </c>
    </row>
    <row r="459" spans="1:25" ht="60" customHeight="1" x14ac:dyDescent="0.25">
      <c r="A459"/>
      <c r="B459" t="s">
        <v>4</v>
      </c>
      <c r="C459" t="s">
        <v>3819</v>
      </c>
      <c r="D459" t="s">
        <v>16</v>
      </c>
      <c r="E459" t="s">
        <v>730</v>
      </c>
      <c r="F459" t="s">
        <v>731</v>
      </c>
      <c r="G459" t="s">
        <v>692</v>
      </c>
      <c r="H459" s="11">
        <v>84.75</v>
      </c>
      <c r="I459" s="10">
        <f>H459*(1-IFERROR(VLOOKUP(G459,Rabat!$C$9:$D$43,2,0),0))</f>
        <v>84.75</v>
      </c>
      <c r="J459" t="s">
        <v>1815</v>
      </c>
      <c r="K459" t="s">
        <v>1830</v>
      </c>
      <c r="L459" t="s">
        <v>1813</v>
      </c>
      <c r="M459">
        <v>12</v>
      </c>
      <c r="N459">
        <v>72</v>
      </c>
      <c r="O459" t="s">
        <v>1818</v>
      </c>
      <c r="P459" s="12" t="str">
        <f>HYPERLINK("https://b2b.kobi.pl/pl/product/12138,kinkiet-ogrodowy-tevio-kd-1xe27-ip54-czarny-led2b?currency=PLN")</f>
        <v>https://b2b.kobi.pl/pl/product/12138,kinkiet-ogrodowy-tevio-kd-1xe27-ip54-czarny-led2b?currency=PLN</v>
      </c>
      <c r="Q459" t="s">
        <v>14</v>
      </c>
      <c r="R459"/>
      <c r="S459" t="s">
        <v>2605</v>
      </c>
      <c r="T459">
        <v>0.2</v>
      </c>
      <c r="U459">
        <v>0.52</v>
      </c>
      <c r="V459">
        <v>0.76</v>
      </c>
      <c r="W459">
        <v>22.5</v>
      </c>
      <c r="X459">
        <v>17.5</v>
      </c>
      <c r="Y459">
        <v>25</v>
      </c>
    </row>
    <row r="460" spans="1:25" ht="60" customHeight="1" x14ac:dyDescent="0.25">
      <c r="A460"/>
      <c r="B460" t="s">
        <v>4</v>
      </c>
      <c r="C460" t="s">
        <v>3819</v>
      </c>
      <c r="D460" t="s">
        <v>16</v>
      </c>
      <c r="E460" t="s">
        <v>889</v>
      </c>
      <c r="F460" t="s">
        <v>890</v>
      </c>
      <c r="G460" t="s">
        <v>692</v>
      </c>
      <c r="H460" s="11">
        <v>84.75</v>
      </c>
      <c r="I460" s="10">
        <f>H460*(1-IFERROR(VLOOKUP(G460,Rabat!$C$9:$D$43,2,0),0))</f>
        <v>84.75</v>
      </c>
      <c r="J460" t="s">
        <v>1815</v>
      </c>
      <c r="K460" t="s">
        <v>1849</v>
      </c>
      <c r="L460" t="s">
        <v>1813</v>
      </c>
      <c r="M460">
        <v>12</v>
      </c>
      <c r="N460">
        <v>144</v>
      </c>
      <c r="O460" t="s">
        <v>1818</v>
      </c>
      <c r="P460" s="12" t="str">
        <f>HYPERLINK("https://b2b.kobi.pl/pl/product/12139,lampa-wiszaca-ogrodowa-tevio-w-1xe27-ip54-czarna-led2b?currency=PLN")</f>
        <v>https://b2b.kobi.pl/pl/product/12139,lampa-wiszaca-ogrodowa-tevio-w-1xe27-ip54-czarna-led2b?currency=PLN</v>
      </c>
      <c r="Q460" t="s">
        <v>14</v>
      </c>
      <c r="R460"/>
      <c r="S460" t="s">
        <v>2605</v>
      </c>
      <c r="T460">
        <v>0.23</v>
      </c>
      <c r="U460">
        <v>0.59</v>
      </c>
      <c r="V460">
        <v>0.77</v>
      </c>
      <c r="W460">
        <v>17.5</v>
      </c>
      <c r="X460">
        <v>17.5</v>
      </c>
      <c r="Y460">
        <v>25</v>
      </c>
    </row>
    <row r="461" spans="1:25" ht="60" customHeight="1" x14ac:dyDescent="0.25">
      <c r="A461"/>
      <c r="B461" t="s">
        <v>4</v>
      </c>
      <c r="C461" t="s">
        <v>3819</v>
      </c>
      <c r="D461" t="s">
        <v>16</v>
      </c>
      <c r="E461" t="s">
        <v>1369</v>
      </c>
      <c r="F461" t="s">
        <v>1370</v>
      </c>
      <c r="G461" t="s">
        <v>692</v>
      </c>
      <c r="H461" s="11">
        <v>157.25</v>
      </c>
      <c r="I461" s="10">
        <f>H461*(1-IFERROR(VLOOKUP(G461,Rabat!$C$9:$D$43,2,0),0))</f>
        <v>157.25</v>
      </c>
      <c r="J461" t="s">
        <v>1815</v>
      </c>
      <c r="K461" t="s">
        <v>1887</v>
      </c>
      <c r="L461" t="s">
        <v>1813</v>
      </c>
      <c r="M461">
        <v>8</v>
      </c>
      <c r="N461">
        <v>96</v>
      </c>
      <c r="O461" t="s">
        <v>1818</v>
      </c>
      <c r="P461" s="12" t="str">
        <f>HYPERLINK("https://b2b.kobi.pl/pl/product/12140,slupek-ogrodowy-tevio-s-1xe27-ip54-czarny-led2b?currency=PLN")</f>
        <v>https://b2b.kobi.pl/pl/product/12140,slupek-ogrodowy-tevio-s-1xe27-ip54-czarny-led2b?currency=PLN</v>
      </c>
      <c r="Q461" t="s">
        <v>14</v>
      </c>
      <c r="R461"/>
      <c r="S461" t="s">
        <v>2605</v>
      </c>
      <c r="T461">
        <v>0.39</v>
      </c>
      <c r="U461">
        <v>0.94</v>
      </c>
      <c r="V461">
        <v>1.54</v>
      </c>
      <c r="W461">
        <v>16.5</v>
      </c>
      <c r="X461">
        <v>19</v>
      </c>
      <c r="Y461">
        <v>32</v>
      </c>
    </row>
    <row r="462" spans="1:25" ht="60" customHeight="1" x14ac:dyDescent="0.25">
      <c r="A462"/>
      <c r="B462" t="s">
        <v>4</v>
      </c>
      <c r="C462" t="s">
        <v>3819</v>
      </c>
      <c r="D462" t="s">
        <v>16</v>
      </c>
      <c r="E462" t="s">
        <v>690</v>
      </c>
      <c r="F462" t="s">
        <v>691</v>
      </c>
      <c r="G462" t="s">
        <v>692</v>
      </c>
      <c r="H462" s="11">
        <v>162.25</v>
      </c>
      <c r="I462" s="10">
        <f>H462*(1-IFERROR(VLOOKUP(G462,Rabat!$C$9:$D$43,2,0),0))</f>
        <v>162.25</v>
      </c>
      <c r="J462" t="s">
        <v>1815</v>
      </c>
      <c r="K462" t="s">
        <v>1824</v>
      </c>
      <c r="L462" t="s">
        <v>1813</v>
      </c>
      <c r="M462">
        <v>10</v>
      </c>
      <c r="N462"/>
      <c r="O462" t="s">
        <v>1818</v>
      </c>
      <c r="P462" s="12" t="str">
        <f>HYPERLINK("https://b2b.kobi.pl/pl/product/12141,kinkiet-ogrodowy-led-ome-10w-4000k-lx-ip54-czarny-led2b?currency=PLN")</f>
        <v>https://b2b.kobi.pl/pl/product/12141,kinkiet-ogrodowy-led-ome-10w-4000k-lx-ip54-czarny-led2b?currency=PLN</v>
      </c>
      <c r="Q462" s="12" t="str">
        <f>HYPERLINK("https://eprel.ec.europa.eu/qr/2176183")</f>
        <v>https://eprel.ec.europa.eu/qr/2176183</v>
      </c>
      <c r="R462"/>
      <c r="S462" t="s">
        <v>2573</v>
      </c>
      <c r="T462">
        <v>0.51</v>
      </c>
      <c r="U462">
        <v>0.6</v>
      </c>
      <c r="V462">
        <v>0.7</v>
      </c>
      <c r="W462">
        <v>12</v>
      </c>
      <c r="X462">
        <v>9</v>
      </c>
      <c r="Y462">
        <v>28</v>
      </c>
    </row>
    <row r="463" spans="1:25" ht="60" customHeight="1" x14ac:dyDescent="0.25">
      <c r="A463"/>
      <c r="B463" t="s">
        <v>4</v>
      </c>
      <c r="C463" t="s">
        <v>3819</v>
      </c>
      <c r="D463" t="s">
        <v>16</v>
      </c>
      <c r="E463" t="s">
        <v>1808</v>
      </c>
      <c r="F463" t="s">
        <v>1809</v>
      </c>
      <c r="G463" t="s">
        <v>692</v>
      </c>
      <c r="H463" s="11">
        <v>116.25</v>
      </c>
      <c r="I463" s="10">
        <f>H463*(1-IFERROR(VLOOKUP(G463,Rabat!$C$9:$D$43,2,0),0))</f>
        <v>116.25</v>
      </c>
      <c r="J463" t="s">
        <v>1815</v>
      </c>
      <c r="K463" t="s">
        <v>1936</v>
      </c>
      <c r="L463" t="s">
        <v>1813</v>
      </c>
      <c r="M463">
        <v>10</v>
      </c>
      <c r="N463">
        <v>200</v>
      </c>
      <c r="O463" t="s">
        <v>1818</v>
      </c>
      <c r="P463" s="12" t="str">
        <f>HYPERLINK("https://b2b.kobi.pl/pl/product/12142,kinkiet-ogrodowy-led-lentero-12w-4000k-lx-ip54-czarny-led2b?currency=PLN")</f>
        <v>https://b2b.kobi.pl/pl/product/12142,kinkiet-ogrodowy-led-lentero-12w-4000k-lx-ip54-czarny-led2b?currency=PLN</v>
      </c>
      <c r="Q463" s="12" t="str">
        <f>HYPERLINK("https://eprel.ec.europa.eu/qr/2176464")</f>
        <v>https://eprel.ec.europa.eu/qr/2176464</v>
      </c>
      <c r="R463"/>
      <c r="S463" t="s">
        <v>2573</v>
      </c>
      <c r="T463">
        <v>0.56000000000000005</v>
      </c>
      <c r="U463">
        <v>0.66</v>
      </c>
      <c r="V463">
        <v>0.8</v>
      </c>
      <c r="W463">
        <v>27</v>
      </c>
      <c r="X463">
        <v>13.5</v>
      </c>
      <c r="Y463">
        <v>13.5</v>
      </c>
    </row>
    <row r="464" spans="1:25" ht="60" customHeight="1" x14ac:dyDescent="0.25">
      <c r="A464"/>
      <c r="B464" t="s">
        <v>4</v>
      </c>
      <c r="C464" t="s">
        <v>3819</v>
      </c>
      <c r="D464" t="s">
        <v>618</v>
      </c>
      <c r="E464" t="s">
        <v>1785</v>
      </c>
      <c r="F464" t="s">
        <v>1786</v>
      </c>
      <c r="G464" t="s">
        <v>692</v>
      </c>
      <c r="H464" s="11">
        <v>56.25</v>
      </c>
      <c r="I464" s="10">
        <f>H464*(1-IFERROR(VLOOKUP(G464,Rabat!$C$9:$D$43,2,0),0))</f>
        <v>56.25</v>
      </c>
      <c r="J464" t="s">
        <v>1815</v>
      </c>
      <c r="K464" t="s">
        <v>1925</v>
      </c>
      <c r="L464" t="s">
        <v>1813</v>
      </c>
      <c r="M464">
        <v>24</v>
      </c>
      <c r="N464">
        <v>1152</v>
      </c>
      <c r="O464" t="s">
        <v>1818</v>
      </c>
      <c r="P464" s="12" t="str">
        <f>HYPERLINK("https://b2b.kobi.pl/pl/product/10626,kinkiet-ogrodowy-quazar-8-1xgu10-ip44-czarny-kobi?currency=PLN")</f>
        <v>https://b2b.kobi.pl/pl/product/10626,kinkiet-ogrodowy-quazar-8-1xgu10-ip44-czarny-kobi?currency=PLN</v>
      </c>
      <c r="Q464" t="s">
        <v>14</v>
      </c>
      <c r="R464"/>
      <c r="S464" t="s">
        <v>2602</v>
      </c>
      <c r="T464">
        <v>0.12</v>
      </c>
      <c r="U464">
        <v>0.30399999999999999</v>
      </c>
      <c r="V464">
        <v>0.39600000000000002</v>
      </c>
      <c r="W464">
        <v>8.1</v>
      </c>
      <c r="X464">
        <v>9.5</v>
      </c>
      <c r="Y464">
        <v>10.5</v>
      </c>
    </row>
    <row r="465" spans="1:25" ht="60" customHeight="1" x14ac:dyDescent="0.25">
      <c r="A465"/>
      <c r="B465" t="s">
        <v>4</v>
      </c>
      <c r="C465" t="s">
        <v>3819</v>
      </c>
      <c r="D465" t="s">
        <v>618</v>
      </c>
      <c r="E465" t="s">
        <v>1787</v>
      </c>
      <c r="F465" t="s">
        <v>1788</v>
      </c>
      <c r="G465" t="s">
        <v>692</v>
      </c>
      <c r="H465" s="11">
        <v>56.25</v>
      </c>
      <c r="I465" s="10">
        <f>H465*(1-IFERROR(VLOOKUP(G465,Rabat!$C$9:$D$43,2,0),0))</f>
        <v>56.25</v>
      </c>
      <c r="J465" t="s">
        <v>1815</v>
      </c>
      <c r="K465" t="s">
        <v>1926</v>
      </c>
      <c r="L465" t="s">
        <v>1813</v>
      </c>
      <c r="M465">
        <v>24</v>
      </c>
      <c r="N465">
        <v>1152</v>
      </c>
      <c r="O465" t="s">
        <v>1818</v>
      </c>
      <c r="P465" s="12" t="str">
        <f>HYPERLINK("https://b2b.kobi.pl/pl/product/10627,kinkiet-ogrodowy-quazar-8-1xgu10-ip44-szary-kobi?currency=PLN")</f>
        <v>https://b2b.kobi.pl/pl/product/10627,kinkiet-ogrodowy-quazar-8-1xgu10-ip44-szary-kobi?currency=PLN</v>
      </c>
      <c r="Q465" t="s">
        <v>14</v>
      </c>
      <c r="R465"/>
      <c r="S465" t="s">
        <v>2602</v>
      </c>
      <c r="T465">
        <v>0.12</v>
      </c>
      <c r="U465">
        <v>0.30399999999999999</v>
      </c>
      <c r="V465">
        <v>0.39600000000000002</v>
      </c>
      <c r="W465">
        <v>8.1</v>
      </c>
      <c r="X465">
        <v>9.5</v>
      </c>
      <c r="Y465">
        <v>10.5</v>
      </c>
    </row>
    <row r="466" spans="1:25" ht="60" customHeight="1" x14ac:dyDescent="0.25">
      <c r="A466"/>
      <c r="B466" t="s">
        <v>4</v>
      </c>
      <c r="C466" t="s">
        <v>3819</v>
      </c>
      <c r="D466" t="s">
        <v>618</v>
      </c>
      <c r="E466" t="s">
        <v>1789</v>
      </c>
      <c r="F466" t="s">
        <v>1790</v>
      </c>
      <c r="G466" t="s">
        <v>692</v>
      </c>
      <c r="H466" s="11">
        <v>73.75</v>
      </c>
      <c r="I466" s="10">
        <f>H466*(1-IFERROR(VLOOKUP(G466,Rabat!$C$9:$D$43,2,0),0))</f>
        <v>73.75</v>
      </c>
      <c r="J466" t="s">
        <v>1815</v>
      </c>
      <c r="K466" t="s">
        <v>316</v>
      </c>
      <c r="L466" t="s">
        <v>1813</v>
      </c>
      <c r="M466">
        <v>16</v>
      </c>
      <c r="N466">
        <v>736</v>
      </c>
      <c r="O466" t="s">
        <v>1818</v>
      </c>
      <c r="P466" s="12" t="str">
        <f>HYPERLINK("https://b2b.kobi.pl/pl/product/10628,kinkiet-ogrodowy-quazar-9-2xgu10-ip44-czarny-kobi?currency=PLN")</f>
        <v>https://b2b.kobi.pl/pl/product/10628,kinkiet-ogrodowy-quazar-9-2xgu10-ip44-czarny-kobi?currency=PLN</v>
      </c>
      <c r="Q466" t="s">
        <v>14</v>
      </c>
      <c r="R466"/>
      <c r="S466" t="s">
        <v>2602</v>
      </c>
      <c r="T466">
        <v>0.18</v>
      </c>
      <c r="U466">
        <v>0.46899999999999997</v>
      </c>
      <c r="V466">
        <v>0.56799999999999995</v>
      </c>
      <c r="W466">
        <v>8</v>
      </c>
      <c r="X466">
        <v>10.5</v>
      </c>
      <c r="Y466">
        <v>16.100000000000001</v>
      </c>
    </row>
    <row r="467" spans="1:25" ht="60" customHeight="1" x14ac:dyDescent="0.25">
      <c r="A467"/>
      <c r="B467" t="s">
        <v>4</v>
      </c>
      <c r="C467" t="s">
        <v>3819</v>
      </c>
      <c r="D467" t="s">
        <v>618</v>
      </c>
      <c r="E467" t="s">
        <v>710</v>
      </c>
      <c r="F467" t="s">
        <v>711</v>
      </c>
      <c r="G467" t="s">
        <v>692</v>
      </c>
      <c r="H467" s="11">
        <v>73.75</v>
      </c>
      <c r="I467" s="10">
        <f>H467*(1-IFERROR(VLOOKUP(G467,Rabat!$C$9:$D$43,2,0),0))</f>
        <v>73.75</v>
      </c>
      <c r="J467" t="s">
        <v>1815</v>
      </c>
      <c r="K467" t="s">
        <v>317</v>
      </c>
      <c r="L467" t="s">
        <v>1813</v>
      </c>
      <c r="M467">
        <v>16</v>
      </c>
      <c r="N467">
        <v>736</v>
      </c>
      <c r="O467" t="s">
        <v>1818</v>
      </c>
      <c r="P467" s="12" t="str">
        <f>HYPERLINK("https://b2b.kobi.pl/pl/product/10629,kinkiet-ogrodowy-quazar-9-2xgu10-ip44-szary-kobi?currency=PLN")</f>
        <v>https://b2b.kobi.pl/pl/product/10629,kinkiet-ogrodowy-quazar-9-2xgu10-ip44-szary-kobi?currency=PLN</v>
      </c>
      <c r="Q467" t="s">
        <v>14</v>
      </c>
      <c r="R467"/>
      <c r="S467" t="s">
        <v>2602</v>
      </c>
      <c r="T467">
        <v>0.18</v>
      </c>
      <c r="U467">
        <v>0.46899999999999997</v>
      </c>
      <c r="V467">
        <v>0.56799999999999995</v>
      </c>
      <c r="W467">
        <v>8</v>
      </c>
      <c r="X467">
        <v>10.5</v>
      </c>
      <c r="Y467">
        <v>16.100000000000001</v>
      </c>
    </row>
    <row r="468" spans="1:25" ht="60" customHeight="1" x14ac:dyDescent="0.25">
      <c r="A468"/>
      <c r="B468" t="s">
        <v>4</v>
      </c>
      <c r="C468" t="s">
        <v>3819</v>
      </c>
      <c r="D468" t="s">
        <v>16</v>
      </c>
      <c r="E468" t="s">
        <v>3262</v>
      </c>
      <c r="F468" t="s">
        <v>3263</v>
      </c>
      <c r="G468" t="s">
        <v>692</v>
      </c>
      <c r="H468" s="11">
        <v>74.75</v>
      </c>
      <c r="I468" s="10">
        <f>H468*(1-IFERROR(VLOOKUP(G468,Rabat!$C$9:$D$43,2,0),0))</f>
        <v>74.75</v>
      </c>
      <c r="J468" t="s">
        <v>1815</v>
      </c>
      <c r="K468" t="s">
        <v>3300</v>
      </c>
      <c r="L468" t="s">
        <v>1813</v>
      </c>
      <c r="M468">
        <v>24</v>
      </c>
      <c r="N468">
        <v>816</v>
      </c>
      <c r="O468" t="s">
        <v>1818</v>
      </c>
      <c r="P468" s="12" t="str">
        <f>HYPERLINK("https://b2b.kobi.pl/pl/product/12991,kinkiet-ogrodowy-led-querk-2x2w-3000k-ip54-550lm-czarny-led2b?currency=PLN")</f>
        <v>https://b2b.kobi.pl/pl/product/12991,kinkiet-ogrodowy-led-querk-2x2w-3000k-ip54-550lm-czarny-led2b?currency=PLN</v>
      </c>
      <c r="Q468" s="12" t="str">
        <f>HYPERLINK("https://eprel.ec.europa.eu/qr/2176619")</f>
        <v>https://eprel.ec.europa.eu/qr/2176619</v>
      </c>
      <c r="R468"/>
      <c r="S468" t="s">
        <v>2610</v>
      </c>
      <c r="T468">
        <v>0.4</v>
      </c>
      <c r="U468">
        <v>0.47599999999999998</v>
      </c>
      <c r="V468">
        <v>0.55000000000000004</v>
      </c>
      <c r="W468">
        <v>12</v>
      </c>
      <c r="X468">
        <v>10.5</v>
      </c>
      <c r="Y468">
        <v>10.7</v>
      </c>
    </row>
    <row r="469" spans="1:25" ht="60" customHeight="1" x14ac:dyDescent="0.25">
      <c r="A469"/>
      <c r="B469" t="s">
        <v>4</v>
      </c>
      <c r="C469" t="s">
        <v>3819</v>
      </c>
      <c r="D469" t="s">
        <v>16</v>
      </c>
      <c r="E469" t="s">
        <v>3243</v>
      </c>
      <c r="F469" t="s">
        <v>693</v>
      </c>
      <c r="G469" t="s">
        <v>692</v>
      </c>
      <c r="H469" s="11">
        <v>74.75</v>
      </c>
      <c r="I469" s="10">
        <f>H469*(1-IFERROR(VLOOKUP(G469,Rabat!$C$9:$D$43,2,0),0))</f>
        <v>74.75</v>
      </c>
      <c r="J469" t="s">
        <v>1815</v>
      </c>
      <c r="K469" t="s">
        <v>1825</v>
      </c>
      <c r="L469" t="s">
        <v>1813</v>
      </c>
      <c r="M469">
        <v>20</v>
      </c>
      <c r="N469">
        <v>840</v>
      </c>
      <c r="O469" t="s">
        <v>1818</v>
      </c>
      <c r="P469" s="12" t="str">
        <f>HYPERLINK("https://b2b.kobi.pl/pl/product/12145,kinkiet-ogrodowy-led-querk-2x3w-3000k-ip54-czarny-led2b?currency=PLN")</f>
        <v>https://b2b.kobi.pl/pl/product/12145,kinkiet-ogrodowy-led-querk-2x3w-3000k-ip54-czarny-led2b?currency=PLN</v>
      </c>
      <c r="Q469" s="12" t="str">
        <f>HYPERLINK("https://eprel.ec.europa.eu/qr/2176619")</f>
        <v>https://eprel.ec.europa.eu/qr/2176619</v>
      </c>
      <c r="R469" t="s">
        <v>1945</v>
      </c>
      <c r="S469" t="s">
        <v>2602</v>
      </c>
      <c r="T469">
        <v>0.3</v>
      </c>
      <c r="U469">
        <v>0.35</v>
      </c>
      <c r="V469">
        <v>0.4</v>
      </c>
      <c r="W469">
        <v>11</v>
      </c>
      <c r="X469">
        <v>11</v>
      </c>
      <c r="Y469">
        <v>11</v>
      </c>
    </row>
    <row r="470" spans="1:25" ht="60" customHeight="1" x14ac:dyDescent="0.25">
      <c r="A470"/>
      <c r="B470" t="s">
        <v>4</v>
      </c>
      <c r="C470" t="s">
        <v>3819</v>
      </c>
      <c r="D470" t="s">
        <v>618</v>
      </c>
      <c r="E470" t="s">
        <v>3179</v>
      </c>
      <c r="F470" t="s">
        <v>3180</v>
      </c>
      <c r="G470" t="s">
        <v>692</v>
      </c>
      <c r="H470" s="11">
        <v>27.25</v>
      </c>
      <c r="I470" s="10">
        <f>H470*(1-IFERROR(VLOOKUP(G470,Rabat!$C$9:$D$43,2,0),0))</f>
        <v>27.25</v>
      </c>
      <c r="J470" t="s">
        <v>1815</v>
      </c>
      <c r="K470" t="s">
        <v>3204</v>
      </c>
      <c r="L470" t="s">
        <v>1813</v>
      </c>
      <c r="M470">
        <v>100</v>
      </c>
      <c r="N470">
        <v>1200</v>
      </c>
      <c r="O470" t="s">
        <v>1818</v>
      </c>
      <c r="P470" s="12" t="str">
        <f>HYPERLINK("https://b2b.kobi.pl/pl/product/12928,kinkiet-ogrodowy-led-lumepra-6w-4000k-ip54-czarny-kobi?currency=PLN")</f>
        <v>https://b2b.kobi.pl/pl/product/12928,kinkiet-ogrodowy-led-lumepra-6w-4000k-ip54-czarny-kobi?currency=PLN</v>
      </c>
      <c r="Q470" s="12" t="str">
        <f>HYPERLINK("https://eprel.ec.europa.eu/qr/2480195")</f>
        <v>https://eprel.ec.europa.eu/qr/2480195</v>
      </c>
      <c r="R470"/>
      <c r="S470" t="s">
        <v>2573</v>
      </c>
      <c r="T470">
        <v>0.19</v>
      </c>
      <c r="U470">
        <v>0.22</v>
      </c>
      <c r="V470">
        <v>0.28999999999999998</v>
      </c>
      <c r="W470">
        <v>8.5</v>
      </c>
      <c r="X470">
        <v>17.5</v>
      </c>
      <c r="Y470">
        <v>4.5</v>
      </c>
    </row>
    <row r="471" spans="1:25" ht="60" customHeight="1" x14ac:dyDescent="0.25">
      <c r="A471"/>
      <c r="B471" t="s">
        <v>4</v>
      </c>
      <c r="C471" t="s">
        <v>3819</v>
      </c>
      <c r="D471" t="s">
        <v>618</v>
      </c>
      <c r="E471" t="s">
        <v>3181</v>
      </c>
      <c r="F471" t="s">
        <v>3182</v>
      </c>
      <c r="G471" t="s">
        <v>692</v>
      </c>
      <c r="H471" s="11">
        <v>27.25</v>
      </c>
      <c r="I471" s="10">
        <f>H471*(1-IFERROR(VLOOKUP(G471,Rabat!$C$9:$D$43,2,0),0))</f>
        <v>27.25</v>
      </c>
      <c r="J471" t="s">
        <v>1815</v>
      </c>
      <c r="K471" t="s">
        <v>3205</v>
      </c>
      <c r="L471" t="s">
        <v>1813</v>
      </c>
      <c r="M471">
        <v>100</v>
      </c>
      <c r="N471">
        <v>1200</v>
      </c>
      <c r="O471" t="s">
        <v>1818</v>
      </c>
      <c r="P471" s="12" t="str">
        <f>HYPERLINK("https://b2b.kobi.pl/pl/product/12929,kinkiet-ogrodowy-led-lumepra-6w-3000k-ip54-czarny-kobi?currency=PLN")</f>
        <v>https://b2b.kobi.pl/pl/product/12929,kinkiet-ogrodowy-led-lumepra-6w-3000k-ip54-czarny-kobi?currency=PLN</v>
      </c>
      <c r="Q471" s="12" t="str">
        <f>HYPERLINK("https://eprel.ec.europa.eu/qr/2426921")</f>
        <v>https://eprel.ec.europa.eu/qr/2426921</v>
      </c>
      <c r="R471"/>
      <c r="S471" t="s">
        <v>2573</v>
      </c>
      <c r="T471">
        <v>0.19</v>
      </c>
      <c r="U471">
        <v>0.22</v>
      </c>
      <c r="V471">
        <v>0.28999999999999998</v>
      </c>
      <c r="W471">
        <v>8.5</v>
      </c>
      <c r="X471">
        <v>17.5</v>
      </c>
      <c r="Y471">
        <v>4.5</v>
      </c>
    </row>
    <row r="472" spans="1:25" ht="60" customHeight="1" x14ac:dyDescent="0.25">
      <c r="A472"/>
      <c r="B472" t="s">
        <v>4</v>
      </c>
      <c r="C472" t="s">
        <v>3819</v>
      </c>
      <c r="D472" t="s">
        <v>16</v>
      </c>
      <c r="E472" t="s">
        <v>3264</v>
      </c>
      <c r="F472" t="s">
        <v>3265</v>
      </c>
      <c r="G472" t="s">
        <v>692</v>
      </c>
      <c r="H472" s="11">
        <v>109.11</v>
      </c>
      <c r="I472" s="10">
        <f>H472*(1-IFERROR(VLOOKUP(G472,Rabat!$C$9:$D$43,2,0),0))</f>
        <v>109.11</v>
      </c>
      <c r="J472" t="s">
        <v>1815</v>
      </c>
      <c r="K472" t="s">
        <v>3301</v>
      </c>
      <c r="L472" t="s">
        <v>1813</v>
      </c>
      <c r="M472">
        <v>12</v>
      </c>
      <c r="N472">
        <v>168</v>
      </c>
      <c r="O472" t="s">
        <v>1818</v>
      </c>
      <c r="P472" s="12" t="str">
        <f>HYPERLINK("https://b2b.kobi.pl/pl/product/12973,slupek-ogrodowy-zenvio-4gn-zu-ip44-czarne-led2b?currency=PLN")</f>
        <v>https://b2b.kobi.pl/pl/product/12973,slupek-ogrodowy-zenvio-4gn-zu-ip44-czarne-led2b?currency=PLN</v>
      </c>
      <c r="Q472" t="s">
        <v>14</v>
      </c>
      <c r="R472"/>
      <c r="S472" t="s">
        <v>2610</v>
      </c>
      <c r="T472">
        <v>0.41</v>
      </c>
      <c r="U472">
        <v>1.048</v>
      </c>
      <c r="V472">
        <v>1.1879999999999999</v>
      </c>
      <c r="W472">
        <v>13.2</v>
      </c>
      <c r="X472">
        <v>132</v>
      </c>
      <c r="Y472">
        <v>41</v>
      </c>
    </row>
    <row r="473" spans="1:25" ht="60" customHeight="1" x14ac:dyDescent="0.25">
      <c r="A473"/>
      <c r="B473" t="s">
        <v>4</v>
      </c>
      <c r="C473" t="s">
        <v>3819</v>
      </c>
      <c r="D473" t="s">
        <v>618</v>
      </c>
      <c r="E473" t="s">
        <v>3566</v>
      </c>
      <c r="F473" t="s">
        <v>3567</v>
      </c>
      <c r="G473" t="s">
        <v>692</v>
      </c>
      <c r="H473" s="11">
        <v>54</v>
      </c>
      <c r="I473" s="10">
        <f>H473*(1-IFERROR(VLOOKUP(G473,Rabat!$C$9:$D$43,2,0),0))</f>
        <v>54</v>
      </c>
      <c r="J473" t="s">
        <v>1815</v>
      </c>
      <c r="K473" t="s">
        <v>3582</v>
      </c>
      <c r="L473" t="s">
        <v>1813</v>
      </c>
      <c r="M473">
        <v>20</v>
      </c>
      <c r="N473"/>
      <c r="O473" t="s">
        <v>1818</v>
      </c>
      <c r="P473" s="12" t="str">
        <f>HYPERLINK("https://b2b.kobi.pl/pl/product/13169,kinkiet-ogrodowy-led-mirana-s-8w-30cm-4000k-ip44-czarny-kobi?currency=PLN")</f>
        <v>https://b2b.kobi.pl/pl/product/13169,kinkiet-ogrodowy-led-mirana-s-8w-30cm-4000k-ip44-czarny-kobi?currency=PLN</v>
      </c>
      <c r="Q473" t="s">
        <v>14</v>
      </c>
      <c r="R473"/>
      <c r="S473" t="s">
        <v>2602</v>
      </c>
      <c r="T473">
        <v>0.48</v>
      </c>
      <c r="U473">
        <v>0.56999999999999995</v>
      </c>
      <c r="V473">
        <v>0.63</v>
      </c>
      <c r="W473">
        <v>30</v>
      </c>
      <c r="X473">
        <v>8.5</v>
      </c>
      <c r="Y473">
        <v>4.5</v>
      </c>
    </row>
    <row r="474" spans="1:25" ht="60" customHeight="1" x14ac:dyDescent="0.25">
      <c r="A474"/>
      <c r="B474" t="s">
        <v>4</v>
      </c>
      <c r="C474" t="s">
        <v>3819</v>
      </c>
      <c r="D474" t="s">
        <v>618</v>
      </c>
      <c r="E474" t="s">
        <v>3568</v>
      </c>
      <c r="F474" t="s">
        <v>3569</v>
      </c>
      <c r="G474" t="s">
        <v>692</v>
      </c>
      <c r="H474" s="11">
        <v>79.959999999999994</v>
      </c>
      <c r="I474" s="10">
        <f>H474*(1-IFERROR(VLOOKUP(G474,Rabat!$C$9:$D$43,2,0),0))</f>
        <v>79.959999999999994</v>
      </c>
      <c r="J474" t="s">
        <v>1815</v>
      </c>
      <c r="K474" t="s">
        <v>3583</v>
      </c>
      <c r="L474" t="s">
        <v>1813</v>
      </c>
      <c r="M474">
        <v>10</v>
      </c>
      <c r="N474">
        <v>480</v>
      </c>
      <c r="O474" t="s">
        <v>1818</v>
      </c>
      <c r="P474" s="12" t="str">
        <f>HYPERLINK("https://b2b.kobi.pl/pl/product/13170,kinkiet-ogrodowy-led-mirana-s-12w-60cm-4000k-ip44-czarny-kobi?currency=PLN")</f>
        <v>https://b2b.kobi.pl/pl/product/13170,kinkiet-ogrodowy-led-mirana-s-12w-60cm-4000k-ip44-czarny-kobi?currency=PLN</v>
      </c>
      <c r="Q474" t="s">
        <v>14</v>
      </c>
      <c r="R474"/>
      <c r="S474" t="s">
        <v>2602</v>
      </c>
      <c r="T474">
        <v>0.84</v>
      </c>
      <c r="U474">
        <v>1</v>
      </c>
      <c r="V474">
        <v>1.1399999999999999</v>
      </c>
      <c r="W474">
        <v>60.5</v>
      </c>
      <c r="X474">
        <v>8.5</v>
      </c>
      <c r="Y474">
        <v>4.5</v>
      </c>
    </row>
    <row r="475" spans="1:25" ht="60" customHeight="1" x14ac:dyDescent="0.25">
      <c r="A475"/>
      <c r="B475" t="s">
        <v>4</v>
      </c>
      <c r="C475" t="s">
        <v>3819</v>
      </c>
      <c r="D475" t="s">
        <v>618</v>
      </c>
      <c r="E475" t="s">
        <v>3570</v>
      </c>
      <c r="F475" t="s">
        <v>3571</v>
      </c>
      <c r="G475" t="s">
        <v>692</v>
      </c>
      <c r="H475" s="11">
        <v>143.25</v>
      </c>
      <c r="I475" s="10">
        <f>H475*(1-IFERROR(VLOOKUP(G475,Rabat!$C$9:$D$43,2,0),0))</f>
        <v>143.25</v>
      </c>
      <c r="J475" t="s">
        <v>1815</v>
      </c>
      <c r="K475" t="s">
        <v>3584</v>
      </c>
      <c r="L475" t="s">
        <v>1813</v>
      </c>
      <c r="M475">
        <v>6</v>
      </c>
      <c r="N475">
        <v>192</v>
      </c>
      <c r="O475" t="s">
        <v>1818</v>
      </c>
      <c r="P475" s="12" t="str">
        <f>HYPERLINK("https://b2b.kobi.pl/pl/product/13171,kinkiet-ogrodowy-led-mirana-s-25w-120cm-4000k-ip44-czarny-kobi?currency=PLN")</f>
        <v>https://b2b.kobi.pl/pl/product/13171,kinkiet-ogrodowy-led-mirana-s-25w-120cm-4000k-ip44-czarny-kobi?currency=PLN</v>
      </c>
      <c r="Q475" t="s">
        <v>14</v>
      </c>
      <c r="R475"/>
      <c r="S475" t="s">
        <v>2602</v>
      </c>
      <c r="T475">
        <v>1.79</v>
      </c>
      <c r="U475">
        <v>2.12</v>
      </c>
      <c r="V475">
        <v>2.2599999999999998</v>
      </c>
      <c r="W475">
        <v>120.5</v>
      </c>
      <c r="X475">
        <v>8.5</v>
      </c>
      <c r="Y475">
        <v>4.5</v>
      </c>
    </row>
    <row r="476" spans="1:25" ht="60" customHeight="1" x14ac:dyDescent="0.25">
      <c r="A476"/>
      <c r="B476" t="s">
        <v>4</v>
      </c>
      <c r="C476" t="s">
        <v>3819</v>
      </c>
      <c r="D476" t="s">
        <v>618</v>
      </c>
      <c r="E476" t="s">
        <v>3572</v>
      </c>
      <c r="F476" t="s">
        <v>3573</v>
      </c>
      <c r="G476" t="s">
        <v>692</v>
      </c>
      <c r="H476" s="11">
        <v>55.42</v>
      </c>
      <c r="I476" s="10">
        <f>H476*(1-IFERROR(VLOOKUP(G476,Rabat!$C$9:$D$43,2,0),0))</f>
        <v>55.42</v>
      </c>
      <c r="J476" t="s">
        <v>1815</v>
      </c>
      <c r="K476" t="s">
        <v>3585</v>
      </c>
      <c r="L476" t="s">
        <v>1813</v>
      </c>
      <c r="M476">
        <v>20</v>
      </c>
      <c r="N476"/>
      <c r="O476" t="s">
        <v>1818</v>
      </c>
      <c r="P476" s="12" t="str">
        <f>HYPERLINK("https://b2b.kobi.pl/pl/product/13172,kinkiet-ogrodowy-led-mirana-8w-30cm-4000k-ip44-czarny-kobi?currency=PLN")</f>
        <v>https://b2b.kobi.pl/pl/product/13172,kinkiet-ogrodowy-led-mirana-8w-30cm-4000k-ip44-czarny-kobi?currency=PLN</v>
      </c>
      <c r="Q476" t="s">
        <v>14</v>
      </c>
      <c r="R476"/>
      <c r="S476" t="s">
        <v>2602</v>
      </c>
      <c r="T476">
        <v>0.55000000000000004</v>
      </c>
      <c r="U476">
        <v>0.65</v>
      </c>
      <c r="V476">
        <v>0.69</v>
      </c>
      <c r="W476">
        <v>30</v>
      </c>
      <c r="X476">
        <v>8.5</v>
      </c>
      <c r="Y476">
        <v>4.5</v>
      </c>
    </row>
    <row r="477" spans="1:25" ht="60" customHeight="1" x14ac:dyDescent="0.25">
      <c r="A477"/>
      <c r="B477" t="s">
        <v>4</v>
      </c>
      <c r="C477" t="s">
        <v>3819</v>
      </c>
      <c r="D477" t="s">
        <v>618</v>
      </c>
      <c r="E477" t="s">
        <v>3574</v>
      </c>
      <c r="F477" t="s">
        <v>3575</v>
      </c>
      <c r="G477" t="s">
        <v>692</v>
      </c>
      <c r="H477" s="11">
        <v>81.38</v>
      </c>
      <c r="I477" s="10">
        <f>H477*(1-IFERROR(VLOOKUP(G477,Rabat!$C$9:$D$43,2,0),0))</f>
        <v>81.38</v>
      </c>
      <c r="J477" t="s">
        <v>1815</v>
      </c>
      <c r="K477" t="s">
        <v>3586</v>
      </c>
      <c r="L477" t="s">
        <v>1813</v>
      </c>
      <c r="M477">
        <v>10</v>
      </c>
      <c r="N477">
        <v>480</v>
      </c>
      <c r="O477" t="s">
        <v>1818</v>
      </c>
      <c r="P477" s="12" t="str">
        <f>HYPERLINK("https://b2b.kobi.pl/pl/product/13173,kinkiet-ogrodowy-led-mirana-12w-60cm-4000k-ip44-czarny-kobi?currency=PLN")</f>
        <v>https://b2b.kobi.pl/pl/product/13173,kinkiet-ogrodowy-led-mirana-12w-60cm-4000k-ip44-czarny-kobi?currency=PLN</v>
      </c>
      <c r="Q477" t="s">
        <v>14</v>
      </c>
      <c r="R477"/>
      <c r="S477" t="s">
        <v>2602</v>
      </c>
      <c r="T477">
        <v>0.98</v>
      </c>
      <c r="U477">
        <v>1.1599999999999999</v>
      </c>
      <c r="V477">
        <v>1.25</v>
      </c>
      <c r="W477">
        <v>60.5</v>
      </c>
      <c r="X477">
        <v>8.5</v>
      </c>
      <c r="Y477">
        <v>4.5</v>
      </c>
    </row>
    <row r="478" spans="1:25" ht="60" customHeight="1" x14ac:dyDescent="0.25">
      <c r="A478"/>
      <c r="B478" t="s">
        <v>4</v>
      </c>
      <c r="C478" t="s">
        <v>3819</v>
      </c>
      <c r="D478" t="s">
        <v>618</v>
      </c>
      <c r="E478" t="s">
        <v>3576</v>
      </c>
      <c r="F478" t="s">
        <v>3577</v>
      </c>
      <c r="G478" t="s">
        <v>692</v>
      </c>
      <c r="H478" s="11">
        <v>145.54</v>
      </c>
      <c r="I478" s="10">
        <f>H478*(1-IFERROR(VLOOKUP(G478,Rabat!$C$9:$D$43,2,0),0))</f>
        <v>145.54</v>
      </c>
      <c r="J478" t="s">
        <v>1815</v>
      </c>
      <c r="K478" t="s">
        <v>3587</v>
      </c>
      <c r="L478" t="s">
        <v>1813</v>
      </c>
      <c r="M478">
        <v>6</v>
      </c>
      <c r="N478">
        <v>192</v>
      </c>
      <c r="O478" t="s">
        <v>1818</v>
      </c>
      <c r="P478" s="12" t="str">
        <f>HYPERLINK("https://b2b.kobi.pl/pl/product/13174,kinkiet-ogrodowy-led-mirana-25w-120cm-4000k-ip44-czarny-kobi?currency=PLN")</f>
        <v>https://b2b.kobi.pl/pl/product/13174,kinkiet-ogrodowy-led-mirana-25w-120cm-4000k-ip44-czarny-kobi?currency=PLN</v>
      </c>
      <c r="Q478" t="s">
        <v>14</v>
      </c>
      <c r="R478"/>
      <c r="S478" t="s">
        <v>2602</v>
      </c>
      <c r="T478">
        <v>2.02</v>
      </c>
      <c r="U478">
        <v>2.39</v>
      </c>
      <c r="V478">
        <v>2.54</v>
      </c>
      <c r="W478">
        <v>120.5</v>
      </c>
      <c r="X478">
        <v>8.5</v>
      </c>
      <c r="Y478">
        <v>4.5</v>
      </c>
    </row>
    <row r="479" spans="1:25" ht="60" customHeight="1" x14ac:dyDescent="0.25">
      <c r="A479"/>
      <c r="B479" t="s">
        <v>4</v>
      </c>
      <c r="C479" t="s">
        <v>3815</v>
      </c>
      <c r="D479" t="s">
        <v>618</v>
      </c>
      <c r="E479" t="s">
        <v>1228</v>
      </c>
      <c r="F479" t="s">
        <v>1229</v>
      </c>
      <c r="G479" t="s">
        <v>641</v>
      </c>
      <c r="H479" s="11">
        <v>7.78</v>
      </c>
      <c r="I479" s="10">
        <f>H479*(1-IFERROR(VLOOKUP(G479,Rabat!$C$9:$D$43,2,0),0))</f>
        <v>7.78</v>
      </c>
      <c r="J479" t="s">
        <v>1815</v>
      </c>
      <c r="K479" t="s">
        <v>327</v>
      </c>
      <c r="L479" t="s">
        <v>1813</v>
      </c>
      <c r="M479">
        <v>50</v>
      </c>
      <c r="N479">
        <v>2800</v>
      </c>
      <c r="O479" t="s">
        <v>1818</v>
      </c>
      <c r="P479" s="12" t="str">
        <f>HYPERLINK("https://b2b.kobi.pl/pl/product/10371,pierscien-ozdobny-oh14-bialy-kobi?currency=PLN")</f>
        <v>https://b2b.kobi.pl/pl/product/10371,pierscien-ozdobny-oh14-bialy-kobi?currency=PLN</v>
      </c>
      <c r="Q479" t="s">
        <v>14</v>
      </c>
      <c r="R479"/>
      <c r="S479" t="s">
        <v>2574</v>
      </c>
      <c r="T479">
        <v>0</v>
      </c>
      <c r="U479">
        <v>3.9E-2</v>
      </c>
      <c r="V479">
        <v>6.3899999999999998E-2</v>
      </c>
      <c r="W479">
        <v>8.5</v>
      </c>
      <c r="X479">
        <v>8.5</v>
      </c>
      <c r="Y479">
        <v>3.7</v>
      </c>
    </row>
    <row r="480" spans="1:25" ht="60" customHeight="1" x14ac:dyDescent="0.25">
      <c r="A480"/>
      <c r="B480" t="s">
        <v>4</v>
      </c>
      <c r="C480" t="s">
        <v>3815</v>
      </c>
      <c r="D480" t="s">
        <v>618</v>
      </c>
      <c r="E480" t="s">
        <v>1232</v>
      </c>
      <c r="F480" t="s">
        <v>1233</v>
      </c>
      <c r="G480" t="s">
        <v>641</v>
      </c>
      <c r="H480" s="11">
        <v>7.78</v>
      </c>
      <c r="I480" s="10">
        <f>H480*(1-IFERROR(VLOOKUP(G480,Rabat!$C$9:$D$43,2,0),0))</f>
        <v>7.78</v>
      </c>
      <c r="J480" t="s">
        <v>1815</v>
      </c>
      <c r="K480" t="s">
        <v>328</v>
      </c>
      <c r="L480" t="s">
        <v>1813</v>
      </c>
      <c r="M480">
        <v>50</v>
      </c>
      <c r="N480">
        <v>2800</v>
      </c>
      <c r="O480" t="s">
        <v>1818</v>
      </c>
      <c r="P480" s="12" t="str">
        <f>HYPERLINK("https://b2b.kobi.pl/pl/product/10372,pierscien-ozdobny-oh14-chrom-kobi?currency=PLN")</f>
        <v>https://b2b.kobi.pl/pl/product/10372,pierscien-ozdobny-oh14-chrom-kobi?currency=PLN</v>
      </c>
      <c r="Q480" t="s">
        <v>14</v>
      </c>
      <c r="R480"/>
      <c r="S480" t="s">
        <v>2574</v>
      </c>
      <c r="T480">
        <v>0</v>
      </c>
      <c r="U480">
        <v>3.9E-2</v>
      </c>
      <c r="V480">
        <v>6.3899999999999998E-2</v>
      </c>
      <c r="W480">
        <v>8.5</v>
      </c>
      <c r="X480">
        <v>8.5</v>
      </c>
      <c r="Y480">
        <v>3.7</v>
      </c>
    </row>
    <row r="481" spans="1:25" ht="60" customHeight="1" x14ac:dyDescent="0.25">
      <c r="A481"/>
      <c r="B481" t="s">
        <v>4</v>
      </c>
      <c r="C481" t="s">
        <v>3815</v>
      </c>
      <c r="D481" t="s">
        <v>618</v>
      </c>
      <c r="E481" t="s">
        <v>1236</v>
      </c>
      <c r="F481" t="s">
        <v>1237</v>
      </c>
      <c r="G481" t="s">
        <v>641</v>
      </c>
      <c r="H481" s="11">
        <v>7.78</v>
      </c>
      <c r="I481" s="10">
        <f>H481*(1-IFERROR(VLOOKUP(G481,Rabat!$C$9:$D$43,2,0),0))</f>
        <v>7.78</v>
      </c>
      <c r="J481" t="s">
        <v>1815</v>
      </c>
      <c r="K481" t="s">
        <v>329</v>
      </c>
      <c r="L481" t="s">
        <v>1813</v>
      </c>
      <c r="M481">
        <v>50</v>
      </c>
      <c r="N481">
        <v>2800</v>
      </c>
      <c r="O481" t="s">
        <v>1818</v>
      </c>
      <c r="P481" s="12" t="str">
        <f>HYPERLINK("https://b2b.kobi.pl/pl/product/10374,pierscien-ozdobny-oh14-mat-chrom-kobi?currency=PLN")</f>
        <v>https://b2b.kobi.pl/pl/product/10374,pierscien-ozdobny-oh14-mat-chrom-kobi?currency=PLN</v>
      </c>
      <c r="Q481" t="s">
        <v>14</v>
      </c>
      <c r="R481"/>
      <c r="S481" t="s">
        <v>2574</v>
      </c>
      <c r="T481">
        <v>0</v>
      </c>
      <c r="U481">
        <v>3.9E-2</v>
      </c>
      <c r="V481">
        <v>6.3899999999999998E-2</v>
      </c>
      <c r="W481">
        <v>8.5</v>
      </c>
      <c r="X481">
        <v>8.5</v>
      </c>
      <c r="Y481">
        <v>3.7</v>
      </c>
    </row>
    <row r="482" spans="1:25" ht="60" customHeight="1" x14ac:dyDescent="0.25">
      <c r="A482"/>
      <c r="B482" t="s">
        <v>4</v>
      </c>
      <c r="C482" t="s">
        <v>3815</v>
      </c>
      <c r="D482" t="s">
        <v>618</v>
      </c>
      <c r="E482" t="s">
        <v>1238</v>
      </c>
      <c r="F482" t="s">
        <v>1239</v>
      </c>
      <c r="G482" t="s">
        <v>641</v>
      </c>
      <c r="H482" s="11">
        <v>7.78</v>
      </c>
      <c r="I482" s="10">
        <f>H482*(1-IFERROR(VLOOKUP(G482,Rabat!$C$9:$D$43,2,0),0))</f>
        <v>7.78</v>
      </c>
      <c r="J482" t="s">
        <v>1815</v>
      </c>
      <c r="K482" t="s">
        <v>330</v>
      </c>
      <c r="L482" t="s">
        <v>1813</v>
      </c>
      <c r="M482">
        <v>50</v>
      </c>
      <c r="N482">
        <v>2800</v>
      </c>
      <c r="O482" t="s">
        <v>1818</v>
      </c>
      <c r="P482" s="12" t="str">
        <f>HYPERLINK("https://b2b.kobi.pl/pl/product/10375,pierscien-ozdobny-oh14-mat-czarny-kobi?currency=PLN")</f>
        <v>https://b2b.kobi.pl/pl/product/10375,pierscien-ozdobny-oh14-mat-czarny-kobi?currency=PLN</v>
      </c>
      <c r="Q482" t="s">
        <v>14</v>
      </c>
      <c r="R482"/>
      <c r="S482" t="s">
        <v>2574</v>
      </c>
      <c r="T482">
        <v>0</v>
      </c>
      <c r="U482">
        <v>3.9E-2</v>
      </c>
      <c r="V482">
        <v>6.3899999999999998E-2</v>
      </c>
      <c r="W482">
        <v>8.5</v>
      </c>
      <c r="X482">
        <v>8.5</v>
      </c>
      <c r="Y482">
        <v>3.7</v>
      </c>
    </row>
    <row r="483" spans="1:25" ht="60" customHeight="1" x14ac:dyDescent="0.25">
      <c r="A483"/>
      <c r="B483" t="s">
        <v>4</v>
      </c>
      <c r="C483" t="s">
        <v>3815</v>
      </c>
      <c r="D483" t="s">
        <v>618</v>
      </c>
      <c r="E483" t="s">
        <v>1240</v>
      </c>
      <c r="F483" t="s">
        <v>1241</v>
      </c>
      <c r="G483" t="s">
        <v>641</v>
      </c>
      <c r="H483" s="11">
        <v>7.78</v>
      </c>
      <c r="I483" s="10">
        <f>H483*(1-IFERROR(VLOOKUP(G483,Rabat!$C$9:$D$43,2,0),0))</f>
        <v>7.78</v>
      </c>
      <c r="J483" t="s">
        <v>1815</v>
      </c>
      <c r="K483" t="s">
        <v>331</v>
      </c>
      <c r="L483" t="s">
        <v>1813</v>
      </c>
      <c r="M483">
        <v>50</v>
      </c>
      <c r="N483">
        <v>2800</v>
      </c>
      <c r="O483" t="s">
        <v>1818</v>
      </c>
      <c r="P483" s="12" t="str">
        <f>HYPERLINK("https://b2b.kobi.pl/pl/product/10376,pierscien-ozdobny-oh14-patyna-kobi?currency=PLN")</f>
        <v>https://b2b.kobi.pl/pl/product/10376,pierscien-ozdobny-oh14-patyna-kobi?currency=PLN</v>
      </c>
      <c r="Q483" t="s">
        <v>14</v>
      </c>
      <c r="R483"/>
      <c r="S483" t="s">
        <v>2574</v>
      </c>
      <c r="T483">
        <v>0</v>
      </c>
      <c r="U483">
        <v>3.9E-2</v>
      </c>
      <c r="V483">
        <v>6.3899999999999998E-2</v>
      </c>
      <c r="W483">
        <v>8.5</v>
      </c>
      <c r="X483">
        <v>8.5</v>
      </c>
      <c r="Y483">
        <v>3.7</v>
      </c>
    </row>
    <row r="484" spans="1:25" ht="60" customHeight="1" x14ac:dyDescent="0.25">
      <c r="A484"/>
      <c r="B484" t="s">
        <v>4</v>
      </c>
      <c r="C484" t="s">
        <v>3815</v>
      </c>
      <c r="D484" t="s">
        <v>618</v>
      </c>
      <c r="E484" t="s">
        <v>1242</v>
      </c>
      <c r="F484" t="s">
        <v>1243</v>
      </c>
      <c r="G484" t="s">
        <v>641</v>
      </c>
      <c r="H484" s="11">
        <v>10.58</v>
      </c>
      <c r="I484" s="10">
        <f>H484*(1-IFERROR(VLOOKUP(G484,Rabat!$C$9:$D$43,2,0),0))</f>
        <v>10.58</v>
      </c>
      <c r="J484" t="s">
        <v>1815</v>
      </c>
      <c r="K484" t="s">
        <v>343</v>
      </c>
      <c r="L484" t="s">
        <v>1813</v>
      </c>
      <c r="M484">
        <v>50</v>
      </c>
      <c r="N484">
        <v>2450</v>
      </c>
      <c r="O484" t="s">
        <v>1818</v>
      </c>
      <c r="P484" s="12" t="str">
        <f>HYPERLINK("https://b2b.kobi.pl/pl/product/10377,pierscien-ozdobny-oh15-bialy-kobi?currency=PLN")</f>
        <v>https://b2b.kobi.pl/pl/product/10377,pierscien-ozdobny-oh15-bialy-kobi?currency=PLN</v>
      </c>
      <c r="Q484" t="s">
        <v>14</v>
      </c>
      <c r="R484"/>
      <c r="S484" t="s">
        <v>2574</v>
      </c>
      <c r="T484">
        <v>0</v>
      </c>
      <c r="U484">
        <v>7.6999999999999999E-2</v>
      </c>
      <c r="V484">
        <v>0.10290000000000001</v>
      </c>
      <c r="W484">
        <v>9.8000000000000007</v>
      </c>
      <c r="X484">
        <v>10</v>
      </c>
      <c r="Y484">
        <v>3.6</v>
      </c>
    </row>
    <row r="485" spans="1:25" ht="60" customHeight="1" x14ac:dyDescent="0.25">
      <c r="A485"/>
      <c r="B485" t="s">
        <v>4</v>
      </c>
      <c r="C485" t="s">
        <v>3815</v>
      </c>
      <c r="D485" t="s">
        <v>618</v>
      </c>
      <c r="E485" t="s">
        <v>1244</v>
      </c>
      <c r="F485" t="s">
        <v>1245</v>
      </c>
      <c r="G485" t="s">
        <v>641</v>
      </c>
      <c r="H485" s="11">
        <v>10.58</v>
      </c>
      <c r="I485" s="10">
        <f>H485*(1-IFERROR(VLOOKUP(G485,Rabat!$C$9:$D$43,2,0),0))</f>
        <v>10.58</v>
      </c>
      <c r="J485" t="s">
        <v>1815</v>
      </c>
      <c r="K485" t="s">
        <v>344</v>
      </c>
      <c r="L485" t="s">
        <v>1813</v>
      </c>
      <c r="M485">
        <v>50</v>
      </c>
      <c r="N485">
        <v>2450</v>
      </c>
      <c r="O485" t="s">
        <v>1818</v>
      </c>
      <c r="P485" s="12" t="str">
        <f>HYPERLINK("https://b2b.kobi.pl/pl/product/10378,pierscien-ozdobny-oh15-chrom-kobi?currency=PLN")</f>
        <v>https://b2b.kobi.pl/pl/product/10378,pierscien-ozdobny-oh15-chrom-kobi?currency=PLN</v>
      </c>
      <c r="Q485" t="s">
        <v>14</v>
      </c>
      <c r="R485"/>
      <c r="S485" t="s">
        <v>2574</v>
      </c>
      <c r="T485">
        <v>0</v>
      </c>
      <c r="U485">
        <v>7.6999999999999999E-2</v>
      </c>
      <c r="V485">
        <v>0.10290000000000001</v>
      </c>
      <c r="W485">
        <v>9.8000000000000007</v>
      </c>
      <c r="X485">
        <v>10</v>
      </c>
      <c r="Y485">
        <v>3.6</v>
      </c>
    </row>
    <row r="486" spans="1:25" ht="60" customHeight="1" x14ac:dyDescent="0.25">
      <c r="A486"/>
      <c r="B486" t="s">
        <v>4</v>
      </c>
      <c r="C486" t="s">
        <v>3815</v>
      </c>
      <c r="D486" t="s">
        <v>618</v>
      </c>
      <c r="E486" t="s">
        <v>1246</v>
      </c>
      <c r="F486" t="s">
        <v>1247</v>
      </c>
      <c r="G486" t="s">
        <v>641</v>
      </c>
      <c r="H486" s="11">
        <v>10.58</v>
      </c>
      <c r="I486" s="10">
        <f>H486*(1-IFERROR(VLOOKUP(G486,Rabat!$C$9:$D$43,2,0),0))</f>
        <v>10.58</v>
      </c>
      <c r="J486" t="s">
        <v>1815</v>
      </c>
      <c r="K486" t="s">
        <v>345</v>
      </c>
      <c r="L486" t="s">
        <v>1813</v>
      </c>
      <c r="M486">
        <v>50</v>
      </c>
      <c r="N486">
        <v>2450</v>
      </c>
      <c r="O486" t="s">
        <v>1818</v>
      </c>
      <c r="P486" s="12" t="str">
        <f>HYPERLINK("https://b2b.kobi.pl/pl/product/10380,pierscien-ozdobny-oh15-mat-chrom-kobi?currency=PLN")</f>
        <v>https://b2b.kobi.pl/pl/product/10380,pierscien-ozdobny-oh15-mat-chrom-kobi?currency=PLN</v>
      </c>
      <c r="Q486" t="s">
        <v>14</v>
      </c>
      <c r="R486"/>
      <c r="S486" t="s">
        <v>2574</v>
      </c>
      <c r="T486">
        <v>0</v>
      </c>
      <c r="U486">
        <v>7.6999999999999999E-2</v>
      </c>
      <c r="V486">
        <v>0.10290000000000001</v>
      </c>
      <c r="W486">
        <v>9.8000000000000007</v>
      </c>
      <c r="X486">
        <v>10</v>
      </c>
      <c r="Y486">
        <v>3.6</v>
      </c>
    </row>
    <row r="487" spans="1:25" ht="60" customHeight="1" x14ac:dyDescent="0.25">
      <c r="A487"/>
      <c r="B487" t="s">
        <v>4</v>
      </c>
      <c r="C487" t="s">
        <v>3815</v>
      </c>
      <c r="D487" t="s">
        <v>618</v>
      </c>
      <c r="E487" t="s">
        <v>1248</v>
      </c>
      <c r="F487" t="s">
        <v>1249</v>
      </c>
      <c r="G487" t="s">
        <v>641</v>
      </c>
      <c r="H487" s="11">
        <v>10.58</v>
      </c>
      <c r="I487" s="10">
        <f>H487*(1-IFERROR(VLOOKUP(G487,Rabat!$C$9:$D$43,2,0),0))</f>
        <v>10.58</v>
      </c>
      <c r="J487" t="s">
        <v>1815</v>
      </c>
      <c r="K487" t="s">
        <v>346</v>
      </c>
      <c r="L487" t="s">
        <v>1813</v>
      </c>
      <c r="M487">
        <v>50</v>
      </c>
      <c r="N487">
        <v>2450</v>
      </c>
      <c r="O487" t="s">
        <v>1818</v>
      </c>
      <c r="P487" s="12" t="str">
        <f>HYPERLINK("https://b2b.kobi.pl/pl/product/10381,pierscien-ozdobny-oh15-mat-czarny-kobi?currency=PLN")</f>
        <v>https://b2b.kobi.pl/pl/product/10381,pierscien-ozdobny-oh15-mat-czarny-kobi?currency=PLN</v>
      </c>
      <c r="Q487" t="s">
        <v>14</v>
      </c>
      <c r="R487"/>
      <c r="S487" t="s">
        <v>2574</v>
      </c>
      <c r="T487">
        <v>0</v>
      </c>
      <c r="U487">
        <v>7.6999999999999999E-2</v>
      </c>
      <c r="V487">
        <v>0.10290000000000001</v>
      </c>
      <c r="W487">
        <v>9.8000000000000007</v>
      </c>
      <c r="X487">
        <v>10</v>
      </c>
      <c r="Y487">
        <v>3.6</v>
      </c>
    </row>
    <row r="488" spans="1:25" ht="60" customHeight="1" x14ac:dyDescent="0.25">
      <c r="A488"/>
      <c r="B488" t="s">
        <v>4</v>
      </c>
      <c r="C488" t="s">
        <v>3815</v>
      </c>
      <c r="D488" t="s">
        <v>618</v>
      </c>
      <c r="E488" t="s">
        <v>1250</v>
      </c>
      <c r="F488" t="s">
        <v>1251</v>
      </c>
      <c r="G488" t="s">
        <v>641</v>
      </c>
      <c r="H488" s="11">
        <v>10.58</v>
      </c>
      <c r="I488" s="10">
        <f>H488*(1-IFERROR(VLOOKUP(G488,Rabat!$C$9:$D$43,2,0),0))</f>
        <v>10.58</v>
      </c>
      <c r="J488" t="s">
        <v>1815</v>
      </c>
      <c r="K488" t="s">
        <v>347</v>
      </c>
      <c r="L488" t="s">
        <v>1813</v>
      </c>
      <c r="M488">
        <v>50</v>
      </c>
      <c r="N488">
        <v>2450</v>
      </c>
      <c r="O488" t="s">
        <v>1818</v>
      </c>
      <c r="P488" s="12" t="str">
        <f>HYPERLINK("https://b2b.kobi.pl/pl/product/10383,pierscien-ozdobny-oh15-patyna-kobi?currency=PLN")</f>
        <v>https://b2b.kobi.pl/pl/product/10383,pierscien-ozdobny-oh15-patyna-kobi?currency=PLN</v>
      </c>
      <c r="Q488" t="s">
        <v>14</v>
      </c>
      <c r="R488"/>
      <c r="S488" t="s">
        <v>2574</v>
      </c>
      <c r="T488">
        <v>0</v>
      </c>
      <c r="U488">
        <v>7.6999999999999999E-2</v>
      </c>
      <c r="V488">
        <v>0.10290000000000001</v>
      </c>
      <c r="W488">
        <v>9.8000000000000007</v>
      </c>
      <c r="X488">
        <v>10</v>
      </c>
      <c r="Y488">
        <v>3.6</v>
      </c>
    </row>
    <row r="489" spans="1:25" ht="60" customHeight="1" x14ac:dyDescent="0.25">
      <c r="A489"/>
      <c r="B489" t="s">
        <v>4</v>
      </c>
      <c r="C489" t="s">
        <v>3815</v>
      </c>
      <c r="D489" t="s">
        <v>618</v>
      </c>
      <c r="E489" t="s">
        <v>1781</v>
      </c>
      <c r="F489" t="s">
        <v>1782</v>
      </c>
      <c r="G489" t="s">
        <v>641</v>
      </c>
      <c r="H489" s="11">
        <v>16.78</v>
      </c>
      <c r="I489" s="10">
        <f>H489*(1-IFERROR(VLOOKUP(G489,Rabat!$C$9:$D$43,2,0),0))</f>
        <v>16.78</v>
      </c>
      <c r="J489" t="s">
        <v>1815</v>
      </c>
      <c r="K489" t="s">
        <v>1923</v>
      </c>
      <c r="L489" t="s">
        <v>1813</v>
      </c>
      <c r="M489">
        <v>100</v>
      </c>
      <c r="N489"/>
      <c r="O489" t="s">
        <v>1818</v>
      </c>
      <c r="P489" s="12" t="str">
        <f>HYPERLINK("https://b2b.kobi.pl/pl/product/10387,pierscien-ozdobny-oh20-czarny-kobi?currency=PLN")</f>
        <v>https://b2b.kobi.pl/pl/product/10387,pierscien-ozdobny-oh20-czarny-kobi?currency=PLN</v>
      </c>
      <c r="Q489" t="s">
        <v>14</v>
      </c>
      <c r="R489" t="s">
        <v>1945</v>
      </c>
      <c r="S489" t="s">
        <v>2574</v>
      </c>
      <c r="T489">
        <v>0</v>
      </c>
      <c r="U489">
        <v>4.5999999999999999E-2</v>
      </c>
      <c r="V489">
        <v>7.0000000000000007E-2</v>
      </c>
      <c r="W489">
        <v>8.1999999999999993</v>
      </c>
      <c r="X489">
        <v>10.5</v>
      </c>
      <c r="Y489">
        <v>3.2</v>
      </c>
    </row>
    <row r="490" spans="1:25" ht="60" customHeight="1" x14ac:dyDescent="0.25">
      <c r="A490"/>
      <c r="B490" t="s">
        <v>4</v>
      </c>
      <c r="C490" t="s">
        <v>3815</v>
      </c>
      <c r="D490" t="s">
        <v>618</v>
      </c>
      <c r="E490" t="s">
        <v>1252</v>
      </c>
      <c r="F490" t="s">
        <v>1253</v>
      </c>
      <c r="G490" t="s">
        <v>641</v>
      </c>
      <c r="H490" s="11">
        <v>18.89</v>
      </c>
      <c r="I490" s="10">
        <f>H490*(1-IFERROR(VLOOKUP(G490,Rabat!$C$9:$D$43,2,0),0))</f>
        <v>18.89</v>
      </c>
      <c r="J490" t="s">
        <v>1815</v>
      </c>
      <c r="K490" t="s">
        <v>332</v>
      </c>
      <c r="L490" t="s">
        <v>1813</v>
      </c>
      <c r="M490">
        <v>100</v>
      </c>
      <c r="N490">
        <v>4000</v>
      </c>
      <c r="O490" t="s">
        <v>1818</v>
      </c>
      <c r="P490" s="12" t="str">
        <f>HYPERLINK("https://b2b.kobi.pl/pl/product/10388,pierscien-ozdobny-oh21-chrom-kobi?currency=PLN")</f>
        <v>https://b2b.kobi.pl/pl/product/10388,pierscien-ozdobny-oh21-chrom-kobi?currency=PLN</v>
      </c>
      <c r="Q490" t="s">
        <v>14</v>
      </c>
      <c r="R490" t="s">
        <v>1945</v>
      </c>
      <c r="S490" t="s">
        <v>2574</v>
      </c>
      <c r="T490">
        <v>0</v>
      </c>
      <c r="U490">
        <v>3.2000000000000001E-2</v>
      </c>
      <c r="V490">
        <v>5.3999999999999999E-2</v>
      </c>
      <c r="W490">
        <v>8</v>
      </c>
      <c r="X490">
        <v>8.5</v>
      </c>
      <c r="Y490">
        <v>3.5</v>
      </c>
    </row>
    <row r="491" spans="1:25" ht="60" customHeight="1" x14ac:dyDescent="0.25">
      <c r="A491"/>
      <c r="B491" t="s">
        <v>4</v>
      </c>
      <c r="C491" t="s">
        <v>3815</v>
      </c>
      <c r="D491" t="s">
        <v>618</v>
      </c>
      <c r="E491" t="s">
        <v>1254</v>
      </c>
      <c r="F491" t="s">
        <v>1255</v>
      </c>
      <c r="G491" t="s">
        <v>641</v>
      </c>
      <c r="H491" s="11">
        <v>18.89</v>
      </c>
      <c r="I491" s="10">
        <f>H491*(1-IFERROR(VLOOKUP(G491,Rabat!$C$9:$D$43,2,0),0))</f>
        <v>18.89</v>
      </c>
      <c r="J491" t="s">
        <v>1815</v>
      </c>
      <c r="K491" t="s">
        <v>333</v>
      </c>
      <c r="L491" t="s">
        <v>1813</v>
      </c>
      <c r="M491">
        <v>100</v>
      </c>
      <c r="N491">
        <v>4000</v>
      </c>
      <c r="O491" t="s">
        <v>1818</v>
      </c>
      <c r="P491" s="12" t="str">
        <f>HYPERLINK("https://b2b.kobi.pl/pl/product/10389,pierscien-ozdobny-oh21-czarny-kobi?currency=PLN")</f>
        <v>https://b2b.kobi.pl/pl/product/10389,pierscien-ozdobny-oh21-czarny-kobi?currency=PLN</v>
      </c>
      <c r="Q491" t="s">
        <v>14</v>
      </c>
      <c r="R491" t="s">
        <v>1945</v>
      </c>
      <c r="S491" t="s">
        <v>2574</v>
      </c>
      <c r="T491">
        <v>0</v>
      </c>
      <c r="U491">
        <v>3.2000000000000001E-2</v>
      </c>
      <c r="V491">
        <v>5.3999999999999999E-2</v>
      </c>
      <c r="W491">
        <v>8</v>
      </c>
      <c r="X491">
        <v>8.5</v>
      </c>
      <c r="Y491">
        <v>3.5</v>
      </c>
    </row>
    <row r="492" spans="1:25" ht="60" customHeight="1" x14ac:dyDescent="0.25">
      <c r="A492"/>
      <c r="B492" t="s">
        <v>4</v>
      </c>
      <c r="C492" t="s">
        <v>3815</v>
      </c>
      <c r="D492" t="s">
        <v>618</v>
      </c>
      <c r="E492" t="s">
        <v>1260</v>
      </c>
      <c r="F492" t="s">
        <v>1261</v>
      </c>
      <c r="G492" t="s">
        <v>641</v>
      </c>
      <c r="H492" s="11">
        <v>16.670000000000002</v>
      </c>
      <c r="I492" s="10">
        <f>H492*(1-IFERROR(VLOOKUP(G492,Rabat!$C$9:$D$43,2,0),0))</f>
        <v>16.670000000000002</v>
      </c>
      <c r="J492" t="s">
        <v>1815</v>
      </c>
      <c r="K492" t="s">
        <v>336</v>
      </c>
      <c r="L492" t="s">
        <v>1813</v>
      </c>
      <c r="M492">
        <v>50</v>
      </c>
      <c r="N492">
        <v>2450</v>
      </c>
      <c r="O492" t="s">
        <v>1818</v>
      </c>
      <c r="P492" s="12" t="str">
        <f>HYPERLINK("https://b2b.kobi.pl/pl/product/10402,pierscien-ozdobny-oh26n-przezroczysty-kobi?currency=PLN")</f>
        <v>https://b2b.kobi.pl/pl/product/10402,pierscien-ozdobny-oh26n-przezroczysty-kobi?currency=PLN</v>
      </c>
      <c r="Q492" t="s">
        <v>14</v>
      </c>
      <c r="R492"/>
      <c r="S492" t="s">
        <v>2606</v>
      </c>
      <c r="T492">
        <v>0</v>
      </c>
      <c r="U492">
        <v>0.11</v>
      </c>
      <c r="V492">
        <v>0.13800000000000001</v>
      </c>
      <c r="W492">
        <v>10</v>
      </c>
      <c r="X492">
        <v>10</v>
      </c>
      <c r="Y492">
        <v>3.5</v>
      </c>
    </row>
    <row r="493" spans="1:25" ht="60" customHeight="1" x14ac:dyDescent="0.25">
      <c r="A493"/>
      <c r="B493" t="s">
        <v>4</v>
      </c>
      <c r="C493" t="s">
        <v>3815</v>
      </c>
      <c r="D493" t="s">
        <v>618</v>
      </c>
      <c r="E493" t="s">
        <v>1262</v>
      </c>
      <c r="F493" t="s">
        <v>1263</v>
      </c>
      <c r="G493" t="s">
        <v>641</v>
      </c>
      <c r="H493" s="11">
        <v>16.670000000000002</v>
      </c>
      <c r="I493" s="10">
        <f>H493*(1-IFERROR(VLOOKUP(G493,Rabat!$C$9:$D$43,2,0),0))</f>
        <v>16.670000000000002</v>
      </c>
      <c r="J493" t="s">
        <v>1815</v>
      </c>
      <c r="K493" t="s">
        <v>335</v>
      </c>
      <c r="L493" t="s">
        <v>1813</v>
      </c>
      <c r="M493">
        <v>50</v>
      </c>
      <c r="N493">
        <v>2450</v>
      </c>
      <c r="O493" t="s">
        <v>1818</v>
      </c>
      <c r="P493" s="12" t="str">
        <f>HYPERLINK("https://b2b.kobi.pl/pl/product/10403,pierscien-ozdobny-oh26n-czarny-kobi?currency=PLN")</f>
        <v>https://b2b.kobi.pl/pl/product/10403,pierscien-ozdobny-oh26n-czarny-kobi?currency=PLN</v>
      </c>
      <c r="Q493" t="s">
        <v>14</v>
      </c>
      <c r="R493"/>
      <c r="S493" t="s">
        <v>2606</v>
      </c>
      <c r="T493">
        <v>0</v>
      </c>
      <c r="U493">
        <v>0.11</v>
      </c>
      <c r="V493">
        <v>0.13800000000000001</v>
      </c>
      <c r="W493">
        <v>10</v>
      </c>
      <c r="X493">
        <v>10</v>
      </c>
      <c r="Y493">
        <v>3.5</v>
      </c>
    </row>
    <row r="494" spans="1:25" ht="60" customHeight="1" x14ac:dyDescent="0.25">
      <c r="A494"/>
      <c r="B494" t="s">
        <v>4</v>
      </c>
      <c r="C494" t="s">
        <v>3815</v>
      </c>
      <c r="D494" t="s">
        <v>618</v>
      </c>
      <c r="E494" t="s">
        <v>1258</v>
      </c>
      <c r="F494" t="s">
        <v>1259</v>
      </c>
      <c r="G494" t="s">
        <v>641</v>
      </c>
      <c r="H494" s="11">
        <v>17.64</v>
      </c>
      <c r="I494" s="10">
        <f>H494*(1-IFERROR(VLOOKUP(G494,Rabat!$C$9:$D$43,2,0),0))</f>
        <v>17.64</v>
      </c>
      <c r="J494" t="s">
        <v>1815</v>
      </c>
      <c r="K494" t="s">
        <v>334</v>
      </c>
      <c r="L494" t="s">
        <v>1813</v>
      </c>
      <c r="M494">
        <v>50</v>
      </c>
      <c r="N494">
        <v>3150</v>
      </c>
      <c r="O494" t="s">
        <v>1818</v>
      </c>
      <c r="P494" s="12" t="str">
        <f>HYPERLINK("https://b2b.kobi.pl/pl/product/10401,pierscien-ozdobny-oh26-czarny-kobi?currency=PLN")</f>
        <v>https://b2b.kobi.pl/pl/product/10401,pierscien-ozdobny-oh26-czarny-kobi?currency=PLN</v>
      </c>
      <c r="Q494" t="s">
        <v>14</v>
      </c>
      <c r="R494" t="s">
        <v>1945</v>
      </c>
      <c r="S494" t="s">
        <v>2606</v>
      </c>
      <c r="T494">
        <v>0</v>
      </c>
      <c r="U494">
        <v>0.126</v>
      </c>
      <c r="V494">
        <v>0.16</v>
      </c>
      <c r="W494">
        <v>10</v>
      </c>
      <c r="X494">
        <v>10</v>
      </c>
      <c r="Y494">
        <v>3</v>
      </c>
    </row>
    <row r="495" spans="1:25" ht="60" customHeight="1" x14ac:dyDescent="0.25">
      <c r="A495"/>
      <c r="B495" t="s">
        <v>4</v>
      </c>
      <c r="C495" t="s">
        <v>3815</v>
      </c>
      <c r="D495" t="s">
        <v>618</v>
      </c>
      <c r="E495" t="s">
        <v>1264</v>
      </c>
      <c r="F495" t="s">
        <v>1265</v>
      </c>
      <c r="G495" t="s">
        <v>641</v>
      </c>
      <c r="H495" s="11">
        <v>18.02</v>
      </c>
      <c r="I495" s="10">
        <f>H495*(1-IFERROR(VLOOKUP(G495,Rabat!$C$9:$D$43,2,0),0))</f>
        <v>18.02</v>
      </c>
      <c r="J495" t="s">
        <v>1815</v>
      </c>
      <c r="K495" t="s">
        <v>337</v>
      </c>
      <c r="L495" t="s">
        <v>1813</v>
      </c>
      <c r="M495">
        <v>50</v>
      </c>
      <c r="N495">
        <v>3150</v>
      </c>
      <c r="O495" t="s">
        <v>1818</v>
      </c>
      <c r="P495" s="12" t="str">
        <f>HYPERLINK("https://b2b.kobi.pl/pl/product/10405,pierscien-ozdobny-oh27-czarny-kobi?currency=PLN")</f>
        <v>https://b2b.kobi.pl/pl/product/10405,pierscien-ozdobny-oh27-czarny-kobi?currency=PLN</v>
      </c>
      <c r="Q495" t="s">
        <v>14</v>
      </c>
      <c r="R495" t="s">
        <v>1945</v>
      </c>
      <c r="S495" t="s">
        <v>2606</v>
      </c>
      <c r="T495">
        <v>0</v>
      </c>
      <c r="U495">
        <v>0.13800000000000001</v>
      </c>
      <c r="V495">
        <v>0.19</v>
      </c>
      <c r="W495">
        <v>10.5</v>
      </c>
      <c r="X495">
        <v>10.5</v>
      </c>
      <c r="Y495">
        <v>3</v>
      </c>
    </row>
    <row r="496" spans="1:25" ht="60" customHeight="1" x14ac:dyDescent="0.25">
      <c r="A496"/>
      <c r="B496" t="s">
        <v>4</v>
      </c>
      <c r="C496" t="s">
        <v>3815</v>
      </c>
      <c r="D496" t="s">
        <v>618</v>
      </c>
      <c r="E496" t="s">
        <v>1266</v>
      </c>
      <c r="F496" t="s">
        <v>1267</v>
      </c>
      <c r="G496" t="s">
        <v>641</v>
      </c>
      <c r="H496" s="11">
        <v>16.87</v>
      </c>
      <c r="I496" s="10">
        <f>H496*(1-IFERROR(VLOOKUP(G496,Rabat!$C$9:$D$43,2,0),0))</f>
        <v>16.87</v>
      </c>
      <c r="J496" t="s">
        <v>1815</v>
      </c>
      <c r="K496" t="s">
        <v>339</v>
      </c>
      <c r="L496" t="s">
        <v>1813</v>
      </c>
      <c r="M496">
        <v>50</v>
      </c>
      <c r="N496">
        <v>2450</v>
      </c>
      <c r="O496" t="s">
        <v>1818</v>
      </c>
      <c r="P496" s="12" t="str">
        <f>HYPERLINK("https://b2b.kobi.pl/pl/product/10406,pierscien-ozdobny-oh27n-przezroczysty-kobi?currency=PLN")</f>
        <v>https://b2b.kobi.pl/pl/product/10406,pierscien-ozdobny-oh27n-przezroczysty-kobi?currency=PLN</v>
      </c>
      <c r="Q496" t="s">
        <v>14</v>
      </c>
      <c r="R496"/>
      <c r="S496" t="s">
        <v>2606</v>
      </c>
      <c r="T496">
        <v>0</v>
      </c>
      <c r="U496">
        <v>0.14000000000000001</v>
      </c>
      <c r="V496">
        <v>0.17499999999999999</v>
      </c>
      <c r="W496">
        <v>10</v>
      </c>
      <c r="X496">
        <v>10</v>
      </c>
      <c r="Y496">
        <v>3.5</v>
      </c>
    </row>
    <row r="497" spans="1:25" ht="60" customHeight="1" x14ac:dyDescent="0.25">
      <c r="A497"/>
      <c r="B497" t="s">
        <v>4</v>
      </c>
      <c r="C497" t="s">
        <v>3815</v>
      </c>
      <c r="D497" t="s">
        <v>618</v>
      </c>
      <c r="E497" t="s">
        <v>1268</v>
      </c>
      <c r="F497" t="s">
        <v>1269</v>
      </c>
      <c r="G497" t="s">
        <v>641</v>
      </c>
      <c r="H497" s="11">
        <v>16.87</v>
      </c>
      <c r="I497" s="10">
        <f>H497*(1-IFERROR(VLOOKUP(G497,Rabat!$C$9:$D$43,2,0),0))</f>
        <v>16.87</v>
      </c>
      <c r="J497" t="s">
        <v>1815</v>
      </c>
      <c r="K497" t="s">
        <v>338</v>
      </c>
      <c r="L497" t="s">
        <v>1813</v>
      </c>
      <c r="M497">
        <v>50</v>
      </c>
      <c r="N497">
        <v>2450</v>
      </c>
      <c r="O497" t="s">
        <v>1818</v>
      </c>
      <c r="P497" s="12" t="str">
        <f>HYPERLINK("https://b2b.kobi.pl/pl/product/10407,pierscien-ozdobny-oh27n-czarny-kobi?currency=PLN")</f>
        <v>https://b2b.kobi.pl/pl/product/10407,pierscien-ozdobny-oh27n-czarny-kobi?currency=PLN</v>
      </c>
      <c r="Q497" t="s">
        <v>14</v>
      </c>
      <c r="R497"/>
      <c r="S497" t="s">
        <v>2606</v>
      </c>
      <c r="T497">
        <v>0</v>
      </c>
      <c r="U497">
        <v>0.14000000000000001</v>
      </c>
      <c r="V497">
        <v>0.17499999999999999</v>
      </c>
      <c r="W497">
        <v>10</v>
      </c>
      <c r="X497">
        <v>10</v>
      </c>
      <c r="Y497">
        <v>3.5</v>
      </c>
    </row>
    <row r="498" spans="1:25" ht="60" customHeight="1" x14ac:dyDescent="0.25">
      <c r="A498"/>
      <c r="B498" t="s">
        <v>4</v>
      </c>
      <c r="C498" t="s">
        <v>3815</v>
      </c>
      <c r="D498" t="s">
        <v>618</v>
      </c>
      <c r="E498" t="s">
        <v>1270</v>
      </c>
      <c r="F498" t="s">
        <v>1271</v>
      </c>
      <c r="G498" t="s">
        <v>641</v>
      </c>
      <c r="H498" s="11">
        <v>24</v>
      </c>
      <c r="I498" s="10">
        <f>H498*(1-IFERROR(VLOOKUP(G498,Rabat!$C$9:$D$43,2,0),0))</f>
        <v>24</v>
      </c>
      <c r="J498" t="s">
        <v>1815</v>
      </c>
      <c r="K498" t="s">
        <v>349</v>
      </c>
      <c r="L498" t="s">
        <v>1813</v>
      </c>
      <c r="M498">
        <v>100</v>
      </c>
      <c r="N498">
        <v>2800</v>
      </c>
      <c r="O498" t="s">
        <v>1818</v>
      </c>
      <c r="P498" s="12" t="str">
        <f>HYPERLINK("https://b2b.kobi.pl/pl/product/10408,pierscien-ozdobny-oh28-chrom-kobi?currency=PLN")</f>
        <v>https://b2b.kobi.pl/pl/product/10408,pierscien-ozdobny-oh28-chrom-kobi?currency=PLN</v>
      </c>
      <c r="Q498" t="s">
        <v>14</v>
      </c>
      <c r="R498"/>
      <c r="S498" t="s">
        <v>2574</v>
      </c>
      <c r="T498">
        <v>0</v>
      </c>
      <c r="U498">
        <v>7.8E-2</v>
      </c>
      <c r="V498">
        <v>0.1</v>
      </c>
      <c r="W498">
        <v>9.5</v>
      </c>
      <c r="X498">
        <v>11.5</v>
      </c>
      <c r="Y498">
        <v>3.5</v>
      </c>
    </row>
    <row r="499" spans="1:25" ht="60" customHeight="1" x14ac:dyDescent="0.25">
      <c r="A499"/>
      <c r="B499" t="s">
        <v>4</v>
      </c>
      <c r="C499" t="s">
        <v>3815</v>
      </c>
      <c r="D499" t="s">
        <v>618</v>
      </c>
      <c r="E499" t="s">
        <v>1272</v>
      </c>
      <c r="F499" t="s">
        <v>1273</v>
      </c>
      <c r="G499" t="s">
        <v>641</v>
      </c>
      <c r="H499" s="11">
        <v>24</v>
      </c>
      <c r="I499" s="10">
        <f>H499*(1-IFERROR(VLOOKUP(G499,Rabat!$C$9:$D$43,2,0),0))</f>
        <v>24</v>
      </c>
      <c r="J499" t="s">
        <v>1815</v>
      </c>
      <c r="K499" t="s">
        <v>350</v>
      </c>
      <c r="L499" t="s">
        <v>1813</v>
      </c>
      <c r="M499">
        <v>100</v>
      </c>
      <c r="N499">
        <v>2800</v>
      </c>
      <c r="O499" t="s">
        <v>1818</v>
      </c>
      <c r="P499" s="12" t="str">
        <f>HYPERLINK("https://b2b.kobi.pl/pl/product/10409,pierscien-ozdobny-oh28-czarny-kobi?currency=PLN")</f>
        <v>https://b2b.kobi.pl/pl/product/10409,pierscien-ozdobny-oh28-czarny-kobi?currency=PLN</v>
      </c>
      <c r="Q499" t="s">
        <v>14</v>
      </c>
      <c r="R499"/>
      <c r="S499" t="s">
        <v>2574</v>
      </c>
      <c r="T499">
        <v>0</v>
      </c>
      <c r="U499">
        <v>7.8E-2</v>
      </c>
      <c r="V499">
        <v>0.1</v>
      </c>
      <c r="W499">
        <v>9.5</v>
      </c>
      <c r="X499">
        <v>11.5</v>
      </c>
      <c r="Y499">
        <v>3.5</v>
      </c>
    </row>
    <row r="500" spans="1:25" ht="60" customHeight="1" x14ac:dyDescent="0.25">
      <c r="A500"/>
      <c r="B500" t="s">
        <v>4</v>
      </c>
      <c r="C500" t="s">
        <v>3815</v>
      </c>
      <c r="D500" t="s">
        <v>618</v>
      </c>
      <c r="E500" t="s">
        <v>1274</v>
      </c>
      <c r="F500" t="s">
        <v>1275</v>
      </c>
      <c r="G500" t="s">
        <v>641</v>
      </c>
      <c r="H500" s="11">
        <v>24</v>
      </c>
      <c r="I500" s="10">
        <f>H500*(1-IFERROR(VLOOKUP(G500,Rabat!$C$9:$D$43,2,0),0))</f>
        <v>24</v>
      </c>
      <c r="J500" t="s">
        <v>1815</v>
      </c>
      <c r="K500" t="s">
        <v>352</v>
      </c>
      <c r="L500" t="s">
        <v>1813</v>
      </c>
      <c r="M500">
        <v>100</v>
      </c>
      <c r="N500"/>
      <c r="O500" t="s">
        <v>1818</v>
      </c>
      <c r="P500" s="12" t="str">
        <f>HYPERLINK("https://b2b.kobi.pl/pl/product/10410,pierscien-ozdobny-oh28-mat-bialy-kobi?currency=PLN")</f>
        <v>https://b2b.kobi.pl/pl/product/10410,pierscien-ozdobny-oh28-mat-bialy-kobi?currency=PLN</v>
      </c>
      <c r="Q500" t="s">
        <v>14</v>
      </c>
      <c r="R500"/>
      <c r="S500" t="s">
        <v>2574</v>
      </c>
      <c r="T500">
        <v>0</v>
      </c>
      <c r="U500">
        <v>7.8E-2</v>
      </c>
      <c r="V500">
        <v>0.1</v>
      </c>
      <c r="W500">
        <v>9.5</v>
      </c>
      <c r="X500">
        <v>11.5</v>
      </c>
      <c r="Y500">
        <v>3.5</v>
      </c>
    </row>
    <row r="501" spans="1:25" ht="60" customHeight="1" x14ac:dyDescent="0.25">
      <c r="A501"/>
      <c r="B501" t="s">
        <v>4</v>
      </c>
      <c r="C501" t="s">
        <v>3815</v>
      </c>
      <c r="D501" t="s">
        <v>618</v>
      </c>
      <c r="E501" t="s">
        <v>1276</v>
      </c>
      <c r="F501" t="s">
        <v>1277</v>
      </c>
      <c r="G501" t="s">
        <v>641</v>
      </c>
      <c r="H501" s="11">
        <v>24</v>
      </c>
      <c r="I501" s="10">
        <f>H501*(1-IFERROR(VLOOKUP(G501,Rabat!$C$9:$D$43,2,0),0))</f>
        <v>24</v>
      </c>
      <c r="J501" t="s">
        <v>1815</v>
      </c>
      <c r="K501" t="s">
        <v>351</v>
      </c>
      <c r="L501" t="s">
        <v>1813</v>
      </c>
      <c r="M501">
        <v>100</v>
      </c>
      <c r="N501">
        <v>2800</v>
      </c>
      <c r="O501" t="s">
        <v>1818</v>
      </c>
      <c r="P501" s="12" t="str">
        <f>HYPERLINK("https://b2b.kobi.pl/pl/product/10411,pierscien-ozdobny-oh28-mat-czarny-kobi?currency=PLN")</f>
        <v>https://b2b.kobi.pl/pl/product/10411,pierscien-ozdobny-oh28-mat-czarny-kobi?currency=PLN</v>
      </c>
      <c r="Q501" t="s">
        <v>14</v>
      </c>
      <c r="R501"/>
      <c r="S501" t="s">
        <v>2574</v>
      </c>
      <c r="T501">
        <v>0</v>
      </c>
      <c r="U501">
        <v>7.8E-2</v>
      </c>
      <c r="V501">
        <v>0.1</v>
      </c>
      <c r="W501">
        <v>9.5</v>
      </c>
      <c r="X501">
        <v>11.5</v>
      </c>
      <c r="Y501">
        <v>3.5</v>
      </c>
    </row>
    <row r="502" spans="1:25" ht="60" customHeight="1" x14ac:dyDescent="0.25">
      <c r="A502"/>
      <c r="B502" t="s">
        <v>4</v>
      </c>
      <c r="C502" t="s">
        <v>3815</v>
      </c>
      <c r="D502" t="s">
        <v>618</v>
      </c>
      <c r="E502" t="s">
        <v>1783</v>
      </c>
      <c r="F502" t="s">
        <v>1784</v>
      </c>
      <c r="G502" t="s">
        <v>641</v>
      </c>
      <c r="H502" s="11">
        <v>35.200000000000003</v>
      </c>
      <c r="I502" s="10">
        <f>H502*(1-IFERROR(VLOOKUP(G502,Rabat!$C$9:$D$43,2,0),0))</f>
        <v>35.200000000000003</v>
      </c>
      <c r="J502" t="s">
        <v>1815</v>
      </c>
      <c r="K502" t="s">
        <v>1924</v>
      </c>
      <c r="L502" t="s">
        <v>1813</v>
      </c>
      <c r="M502">
        <v>30</v>
      </c>
      <c r="N502"/>
      <c r="O502" t="s">
        <v>1818</v>
      </c>
      <c r="P502" s="12" t="str">
        <f>HYPERLINK("https://b2b.kobi.pl/pl/product/10392,pierscien-ozdobny-oh228-chrom-kobi?currency=PLN")</f>
        <v>https://b2b.kobi.pl/pl/product/10392,pierscien-ozdobny-oh228-chrom-kobi?currency=PLN</v>
      </c>
      <c r="Q502" t="s">
        <v>14</v>
      </c>
      <c r="R502" t="s">
        <v>1945</v>
      </c>
      <c r="S502" t="s">
        <v>2574</v>
      </c>
      <c r="T502">
        <v>0</v>
      </c>
      <c r="U502">
        <v>0.18</v>
      </c>
      <c r="V502">
        <v>0.2</v>
      </c>
      <c r="W502">
        <v>19</v>
      </c>
      <c r="X502">
        <v>11.5</v>
      </c>
      <c r="Y502">
        <v>3.5</v>
      </c>
    </row>
    <row r="503" spans="1:25" ht="60" customHeight="1" x14ac:dyDescent="0.25">
      <c r="A503"/>
      <c r="B503" t="s">
        <v>4</v>
      </c>
      <c r="C503" t="s">
        <v>3815</v>
      </c>
      <c r="D503" t="s">
        <v>618</v>
      </c>
      <c r="E503" t="s">
        <v>1256</v>
      </c>
      <c r="F503" t="s">
        <v>1257</v>
      </c>
      <c r="G503" t="s">
        <v>641</v>
      </c>
      <c r="H503" s="11">
        <v>35.200000000000003</v>
      </c>
      <c r="I503" s="10">
        <f>H503*(1-IFERROR(VLOOKUP(G503,Rabat!$C$9:$D$43,2,0),0))</f>
        <v>35.200000000000003</v>
      </c>
      <c r="J503" t="s">
        <v>1815</v>
      </c>
      <c r="K503" t="s">
        <v>348</v>
      </c>
      <c r="L503" t="s">
        <v>1813</v>
      </c>
      <c r="M503">
        <v>30</v>
      </c>
      <c r="N503"/>
      <c r="O503" t="s">
        <v>1818</v>
      </c>
      <c r="P503" s="12" t="str">
        <f>HYPERLINK("https://b2b.kobi.pl/pl/product/10393,pierscien-ozdobny-oh228-czarny-kobi?currency=PLN")</f>
        <v>https://b2b.kobi.pl/pl/product/10393,pierscien-ozdobny-oh228-czarny-kobi?currency=PLN</v>
      </c>
      <c r="Q503" t="s">
        <v>14</v>
      </c>
      <c r="R503" t="s">
        <v>1945</v>
      </c>
      <c r="S503" t="s">
        <v>2574</v>
      </c>
      <c r="T503">
        <v>0</v>
      </c>
      <c r="U503">
        <v>0.18</v>
      </c>
      <c r="V503">
        <v>0.2</v>
      </c>
      <c r="W503">
        <v>19</v>
      </c>
      <c r="X503">
        <v>11.5</v>
      </c>
      <c r="Y503">
        <v>3.5</v>
      </c>
    </row>
    <row r="504" spans="1:25" ht="60" customHeight="1" x14ac:dyDescent="0.25">
      <c r="A504"/>
      <c r="B504" t="s">
        <v>4</v>
      </c>
      <c r="C504" t="s">
        <v>3815</v>
      </c>
      <c r="D504" t="s">
        <v>618</v>
      </c>
      <c r="E504" t="s">
        <v>1278</v>
      </c>
      <c r="F504" t="s">
        <v>1279</v>
      </c>
      <c r="G504" t="s">
        <v>641</v>
      </c>
      <c r="H504" s="11">
        <v>25.58</v>
      </c>
      <c r="I504" s="10">
        <f>H504*(1-IFERROR(VLOOKUP(G504,Rabat!$C$9:$D$43,2,0),0))</f>
        <v>25.58</v>
      </c>
      <c r="J504" t="s">
        <v>1815</v>
      </c>
      <c r="K504" t="s">
        <v>353</v>
      </c>
      <c r="L504" t="s">
        <v>1813</v>
      </c>
      <c r="M504">
        <v>100</v>
      </c>
      <c r="N504">
        <v>3200</v>
      </c>
      <c r="O504" t="s">
        <v>1818</v>
      </c>
      <c r="P504" s="12" t="str">
        <f>HYPERLINK("https://b2b.kobi.pl/pl/product/10412,pierscien-ozdobny-oh29-chrom-kobi?currency=PLN")</f>
        <v>https://b2b.kobi.pl/pl/product/10412,pierscien-ozdobny-oh29-chrom-kobi?currency=PLN</v>
      </c>
      <c r="Q504" t="s">
        <v>14</v>
      </c>
      <c r="R504"/>
      <c r="S504" t="s">
        <v>2574</v>
      </c>
      <c r="T504">
        <v>0</v>
      </c>
      <c r="U504">
        <v>5.6000000000000001E-2</v>
      </c>
      <c r="V504">
        <v>7.8E-2</v>
      </c>
      <c r="W504">
        <v>8.8000000000000007</v>
      </c>
      <c r="X504">
        <v>8.8000000000000007</v>
      </c>
      <c r="Y504">
        <v>4</v>
      </c>
    </row>
    <row r="505" spans="1:25" ht="60" customHeight="1" x14ac:dyDescent="0.25">
      <c r="A505"/>
      <c r="B505" t="s">
        <v>4</v>
      </c>
      <c r="C505" t="s">
        <v>3815</v>
      </c>
      <c r="D505" t="s">
        <v>618</v>
      </c>
      <c r="E505" t="s">
        <v>1280</v>
      </c>
      <c r="F505" t="s">
        <v>1281</v>
      </c>
      <c r="G505" t="s">
        <v>641</v>
      </c>
      <c r="H505" s="11">
        <v>25.58</v>
      </c>
      <c r="I505" s="10">
        <f>H505*(1-IFERROR(VLOOKUP(G505,Rabat!$C$9:$D$43,2,0),0))</f>
        <v>25.58</v>
      </c>
      <c r="J505" t="s">
        <v>1815</v>
      </c>
      <c r="K505" t="s">
        <v>354</v>
      </c>
      <c r="L505" t="s">
        <v>1813</v>
      </c>
      <c r="M505">
        <v>100</v>
      </c>
      <c r="N505">
        <v>3200</v>
      </c>
      <c r="O505" t="s">
        <v>1818</v>
      </c>
      <c r="P505" s="12" t="str">
        <f>HYPERLINK("https://b2b.kobi.pl/pl/product/10413,pierscien-ozdobny-oh29-czarny-kobi?currency=PLN")</f>
        <v>https://b2b.kobi.pl/pl/product/10413,pierscien-ozdobny-oh29-czarny-kobi?currency=PLN</v>
      </c>
      <c r="Q505" t="s">
        <v>14</v>
      </c>
      <c r="R505"/>
      <c r="S505" t="s">
        <v>2574</v>
      </c>
      <c r="T505">
        <v>0</v>
      </c>
      <c r="U505">
        <v>5.6000000000000001E-2</v>
      </c>
      <c r="V505">
        <v>7.8E-2</v>
      </c>
      <c r="W505">
        <v>8.8000000000000007</v>
      </c>
      <c r="X505">
        <v>8.8000000000000007</v>
      </c>
      <c r="Y505">
        <v>4</v>
      </c>
    </row>
    <row r="506" spans="1:25" ht="60" customHeight="1" x14ac:dyDescent="0.25">
      <c r="A506"/>
      <c r="B506" t="s">
        <v>4</v>
      </c>
      <c r="C506" t="s">
        <v>3815</v>
      </c>
      <c r="D506" t="s">
        <v>618</v>
      </c>
      <c r="E506" t="s">
        <v>1282</v>
      </c>
      <c r="F506" t="s">
        <v>1283</v>
      </c>
      <c r="G506" t="s">
        <v>641</v>
      </c>
      <c r="H506" s="11">
        <v>25.58</v>
      </c>
      <c r="I506" s="10">
        <f>H506*(1-IFERROR(VLOOKUP(G506,Rabat!$C$9:$D$43,2,0),0))</f>
        <v>25.58</v>
      </c>
      <c r="J506" t="s">
        <v>1815</v>
      </c>
      <c r="K506" t="s">
        <v>355</v>
      </c>
      <c r="L506" t="s">
        <v>1813</v>
      </c>
      <c r="M506">
        <v>100</v>
      </c>
      <c r="N506">
        <v>4000</v>
      </c>
      <c r="O506" t="s">
        <v>1818</v>
      </c>
      <c r="P506" s="12" t="str">
        <f>HYPERLINK("https://b2b.kobi.pl/pl/product/10414,pierscien-ozdobny-oh29-mat-bialy-kobi?currency=PLN")</f>
        <v>https://b2b.kobi.pl/pl/product/10414,pierscien-ozdobny-oh29-mat-bialy-kobi?currency=PLN</v>
      </c>
      <c r="Q506" t="s">
        <v>14</v>
      </c>
      <c r="R506"/>
      <c r="S506" t="s">
        <v>2574</v>
      </c>
      <c r="T506">
        <v>0</v>
      </c>
      <c r="U506">
        <v>5.6000000000000001E-2</v>
      </c>
      <c r="V506">
        <v>7.8E-2</v>
      </c>
      <c r="W506">
        <v>8.8000000000000007</v>
      </c>
      <c r="X506">
        <v>8.8000000000000007</v>
      </c>
      <c r="Y506">
        <v>4</v>
      </c>
    </row>
    <row r="507" spans="1:25" ht="60" customHeight="1" x14ac:dyDescent="0.25">
      <c r="A507"/>
      <c r="B507" t="s">
        <v>4</v>
      </c>
      <c r="C507" t="s">
        <v>3815</v>
      </c>
      <c r="D507" t="s">
        <v>618</v>
      </c>
      <c r="E507" t="s">
        <v>1284</v>
      </c>
      <c r="F507" t="s">
        <v>1285</v>
      </c>
      <c r="G507" t="s">
        <v>641</v>
      </c>
      <c r="H507" s="11">
        <v>25.58</v>
      </c>
      <c r="I507" s="10">
        <f>H507*(1-IFERROR(VLOOKUP(G507,Rabat!$C$9:$D$43,2,0),0))</f>
        <v>25.58</v>
      </c>
      <c r="J507" t="s">
        <v>1815</v>
      </c>
      <c r="K507" t="s">
        <v>356</v>
      </c>
      <c r="L507" t="s">
        <v>1813</v>
      </c>
      <c r="M507">
        <v>100</v>
      </c>
      <c r="N507">
        <v>3200</v>
      </c>
      <c r="O507" t="s">
        <v>1818</v>
      </c>
      <c r="P507" s="12" t="str">
        <f>HYPERLINK("https://b2b.kobi.pl/pl/product/10415,pierscien-ozdobny-oh29-mat-czarny-kobi?currency=PLN")</f>
        <v>https://b2b.kobi.pl/pl/product/10415,pierscien-ozdobny-oh29-mat-czarny-kobi?currency=PLN</v>
      </c>
      <c r="Q507" t="s">
        <v>14</v>
      </c>
      <c r="R507"/>
      <c r="S507" t="s">
        <v>2574</v>
      </c>
      <c r="T507">
        <v>0</v>
      </c>
      <c r="U507">
        <v>5.6000000000000001E-2</v>
      </c>
      <c r="V507">
        <v>7.8E-2</v>
      </c>
      <c r="W507">
        <v>8.8000000000000007</v>
      </c>
      <c r="X507">
        <v>8.8000000000000007</v>
      </c>
      <c r="Y507">
        <v>4</v>
      </c>
    </row>
    <row r="508" spans="1:25" ht="60" customHeight="1" x14ac:dyDescent="0.25">
      <c r="A508"/>
      <c r="B508" t="s">
        <v>4</v>
      </c>
      <c r="C508" t="s">
        <v>3815</v>
      </c>
      <c r="D508" t="s">
        <v>618</v>
      </c>
      <c r="E508" t="s">
        <v>1288</v>
      </c>
      <c r="F508" t="s">
        <v>1289</v>
      </c>
      <c r="G508" t="s">
        <v>641</v>
      </c>
      <c r="H508" s="11">
        <v>22.07</v>
      </c>
      <c r="I508" s="10">
        <f>H508*(1-IFERROR(VLOOKUP(G508,Rabat!$C$9:$D$43,2,0),0))</f>
        <v>22.07</v>
      </c>
      <c r="J508" t="s">
        <v>1815</v>
      </c>
      <c r="K508" t="s">
        <v>340</v>
      </c>
      <c r="L508" t="s">
        <v>1813</v>
      </c>
      <c r="M508">
        <v>50</v>
      </c>
      <c r="N508">
        <v>2000</v>
      </c>
      <c r="O508" t="s">
        <v>1818</v>
      </c>
      <c r="P508" s="12" t="str">
        <f>HYPERLINK("https://b2b.kobi.pl/pl/product/10420,pierscien-ozdobny-oh34-ip44-chrom-kobi?currency=PLN")</f>
        <v>https://b2b.kobi.pl/pl/product/10420,pierscien-ozdobny-oh34-ip44-chrom-kobi?currency=PLN</v>
      </c>
      <c r="Q508" t="s">
        <v>14</v>
      </c>
      <c r="R508" t="s">
        <v>1945</v>
      </c>
      <c r="S508" t="s">
        <v>2574</v>
      </c>
      <c r="T508">
        <v>0</v>
      </c>
      <c r="U508">
        <v>0.11899999999999999</v>
      </c>
      <c r="V508">
        <v>0.14399999999999999</v>
      </c>
      <c r="W508">
        <v>8.5</v>
      </c>
      <c r="X508">
        <v>8.5</v>
      </c>
      <c r="Y508">
        <v>5</v>
      </c>
    </row>
    <row r="509" spans="1:25" ht="60" customHeight="1" x14ac:dyDescent="0.25">
      <c r="A509"/>
      <c r="B509" t="s">
        <v>4</v>
      </c>
      <c r="C509" t="s">
        <v>3815</v>
      </c>
      <c r="D509" t="s">
        <v>618</v>
      </c>
      <c r="E509" t="s">
        <v>1290</v>
      </c>
      <c r="F509" t="s">
        <v>1291</v>
      </c>
      <c r="G509" t="s">
        <v>641</v>
      </c>
      <c r="H509" s="11">
        <v>22.07</v>
      </c>
      <c r="I509" s="10">
        <f>H509*(1-IFERROR(VLOOKUP(G509,Rabat!$C$9:$D$43,2,0),0))</f>
        <v>22.07</v>
      </c>
      <c r="J509" t="s">
        <v>1815</v>
      </c>
      <c r="K509" t="s">
        <v>341</v>
      </c>
      <c r="L509" t="s">
        <v>1813</v>
      </c>
      <c r="M509">
        <v>50</v>
      </c>
      <c r="N509">
        <v>2000</v>
      </c>
      <c r="O509" t="s">
        <v>1818</v>
      </c>
      <c r="P509" s="12" t="str">
        <f>HYPERLINK("https://b2b.kobi.pl/pl/product/10422,pierscien-ozdobny-oh34-ip44-mat-czarny-kobi?currency=PLN")</f>
        <v>https://b2b.kobi.pl/pl/product/10422,pierscien-ozdobny-oh34-ip44-mat-czarny-kobi?currency=PLN</v>
      </c>
      <c r="Q509" t="s">
        <v>14</v>
      </c>
      <c r="R509"/>
      <c r="S509" t="s">
        <v>2574</v>
      </c>
      <c r="T509">
        <v>0</v>
      </c>
      <c r="U509">
        <v>0.11899999999999999</v>
      </c>
      <c r="V509">
        <v>0.14399999999999999</v>
      </c>
      <c r="W509">
        <v>8.5</v>
      </c>
      <c r="X509">
        <v>8.5</v>
      </c>
      <c r="Y509">
        <v>5</v>
      </c>
    </row>
    <row r="510" spans="1:25" ht="60" customHeight="1" x14ac:dyDescent="0.25">
      <c r="A510"/>
      <c r="B510" t="s">
        <v>4</v>
      </c>
      <c r="C510" t="s">
        <v>3815</v>
      </c>
      <c r="D510" t="s">
        <v>618</v>
      </c>
      <c r="E510" t="s">
        <v>639</v>
      </c>
      <c r="F510" t="s">
        <v>640</v>
      </c>
      <c r="G510" t="s">
        <v>641</v>
      </c>
      <c r="H510" s="11">
        <v>27.78</v>
      </c>
      <c r="I510" s="10">
        <f>H510*(1-IFERROR(VLOOKUP(G510,Rabat!$C$9:$D$43,2,0),0))</f>
        <v>27.78</v>
      </c>
      <c r="J510" t="s">
        <v>1816</v>
      </c>
      <c r="K510" t="s">
        <v>357</v>
      </c>
      <c r="L510" t="s">
        <v>1813</v>
      </c>
      <c r="M510">
        <v>50</v>
      </c>
      <c r="N510">
        <v>2850</v>
      </c>
      <c r="O510" t="s">
        <v>1818</v>
      </c>
      <c r="P510" s="12" t="str">
        <f>HYPERLINK("https://b2b.kobi.pl/pl/product/10465,downlight-led-halo-5w-3000k-kobi?currency=PLN")</f>
        <v>https://b2b.kobi.pl/pl/product/10465,downlight-led-halo-5w-3000k-kobi?currency=PLN</v>
      </c>
      <c r="Q510" s="12" t="str">
        <f>HYPERLINK("https://eprel.ec.europa.eu/qr/807386")</f>
        <v>https://eprel.ec.europa.eu/qr/807386</v>
      </c>
      <c r="R510"/>
      <c r="S510" t="s">
        <v>2607</v>
      </c>
      <c r="T510">
        <v>7.0000000000000007E-2</v>
      </c>
      <c r="U510">
        <v>8.7999999999999995E-2</v>
      </c>
      <c r="V510">
        <v>0.107</v>
      </c>
      <c r="W510">
        <v>8.5</v>
      </c>
      <c r="X510">
        <v>4.5</v>
      </c>
      <c r="Y510">
        <v>8.5</v>
      </c>
    </row>
    <row r="511" spans="1:25" ht="60" customHeight="1" x14ac:dyDescent="0.25">
      <c r="A511"/>
      <c r="B511" t="s">
        <v>4</v>
      </c>
      <c r="C511" t="s">
        <v>3815</v>
      </c>
      <c r="D511" t="s">
        <v>618</v>
      </c>
      <c r="E511" t="s">
        <v>642</v>
      </c>
      <c r="F511" t="s">
        <v>643</v>
      </c>
      <c r="G511" t="s">
        <v>641</v>
      </c>
      <c r="H511" s="11">
        <v>27.78</v>
      </c>
      <c r="I511" s="10">
        <f>H511*(1-IFERROR(VLOOKUP(G511,Rabat!$C$9:$D$43,2,0),0))</f>
        <v>27.78</v>
      </c>
      <c r="J511" t="s">
        <v>1816</v>
      </c>
      <c r="K511" t="s">
        <v>358</v>
      </c>
      <c r="L511" t="s">
        <v>1813</v>
      </c>
      <c r="M511">
        <v>50</v>
      </c>
      <c r="N511">
        <v>2850</v>
      </c>
      <c r="O511" t="s">
        <v>1818</v>
      </c>
      <c r="P511" s="12" t="str">
        <f>HYPERLINK("https://b2b.kobi.pl/pl/product/10466,downlight-led-halo-5w-4000k-kobi?currency=PLN")</f>
        <v>https://b2b.kobi.pl/pl/product/10466,downlight-led-halo-5w-4000k-kobi?currency=PLN</v>
      </c>
      <c r="Q511" s="12" t="str">
        <f>HYPERLINK("https://eprel.ec.europa.eu/qr/807424")</f>
        <v>https://eprel.ec.europa.eu/qr/807424</v>
      </c>
      <c r="R511"/>
      <c r="S511" t="s">
        <v>2607</v>
      </c>
      <c r="T511">
        <v>7.0000000000000007E-2</v>
      </c>
      <c r="U511">
        <v>8.7999999999999995E-2</v>
      </c>
      <c r="V511">
        <v>0.107</v>
      </c>
      <c r="W511">
        <v>8.5</v>
      </c>
      <c r="X511">
        <v>8.5</v>
      </c>
      <c r="Y511">
        <v>4.5</v>
      </c>
    </row>
    <row r="512" spans="1:25" ht="60" customHeight="1" x14ac:dyDescent="0.25">
      <c r="A512"/>
      <c r="B512" t="s">
        <v>4</v>
      </c>
      <c r="C512" t="s">
        <v>3815</v>
      </c>
      <c r="D512" t="s">
        <v>618</v>
      </c>
      <c r="E512" t="s">
        <v>1296</v>
      </c>
      <c r="F512" t="s">
        <v>1297</v>
      </c>
      <c r="G512" t="s">
        <v>641</v>
      </c>
      <c r="H512" s="11">
        <v>29.78</v>
      </c>
      <c r="I512" s="10">
        <f>H512*(1-IFERROR(VLOOKUP(G512,Rabat!$C$9:$D$43,2,0),0))</f>
        <v>29.78</v>
      </c>
      <c r="J512" t="s">
        <v>1815</v>
      </c>
      <c r="K512" t="s">
        <v>1868</v>
      </c>
      <c r="L512" t="s">
        <v>1813</v>
      </c>
      <c r="M512">
        <v>50</v>
      </c>
      <c r="N512"/>
      <c r="O512" t="s">
        <v>1818</v>
      </c>
      <c r="P512" s="12" t="str">
        <f>HYPERLINK("https://b2b.kobi.pl/pl/product/10453,pierscien-ozdobny-oh50-czarny-kobi?currency=PLN")</f>
        <v>https://b2b.kobi.pl/pl/product/10453,pierscien-ozdobny-oh50-czarny-kobi?currency=PLN</v>
      </c>
      <c r="Q512" t="s">
        <v>14</v>
      </c>
      <c r="R512" t="s">
        <v>1945</v>
      </c>
      <c r="S512" t="s">
        <v>2606</v>
      </c>
      <c r="T512">
        <v>0</v>
      </c>
      <c r="U512">
        <v>0.114</v>
      </c>
      <c r="V512">
        <v>0.14000000000000001</v>
      </c>
      <c r="W512">
        <v>10.5</v>
      </c>
      <c r="X512">
        <v>10.5</v>
      </c>
      <c r="Y512">
        <v>3</v>
      </c>
    </row>
    <row r="513" spans="1:25" ht="60" customHeight="1" x14ac:dyDescent="0.25">
      <c r="A513"/>
      <c r="B513" t="s">
        <v>4</v>
      </c>
      <c r="C513" t="s">
        <v>3815</v>
      </c>
      <c r="D513" t="s">
        <v>618</v>
      </c>
      <c r="E513" t="s">
        <v>1300</v>
      </c>
      <c r="F513" t="s">
        <v>1301</v>
      </c>
      <c r="G513" t="s">
        <v>641</v>
      </c>
      <c r="H513" s="11">
        <v>22</v>
      </c>
      <c r="I513" s="10">
        <f>H513*(1-IFERROR(VLOOKUP(G513,Rabat!$C$9:$D$43,2,0),0))</f>
        <v>22</v>
      </c>
      <c r="J513" t="s">
        <v>1815</v>
      </c>
      <c r="K513" t="s">
        <v>342</v>
      </c>
      <c r="L513" t="s">
        <v>1813</v>
      </c>
      <c r="M513">
        <v>50</v>
      </c>
      <c r="N513"/>
      <c r="O513" t="s">
        <v>1818</v>
      </c>
      <c r="P513" s="12" t="str">
        <f>HYPERLINK("https://b2b.kobi.pl/pl/product/10454,pierscien-ozdobny-oh51-przezroczysty-kobi?currency=PLN")</f>
        <v>https://b2b.kobi.pl/pl/product/10454,pierscien-ozdobny-oh51-przezroczysty-kobi?currency=PLN</v>
      </c>
      <c r="Q513" t="s">
        <v>14</v>
      </c>
      <c r="R513" t="s">
        <v>1945</v>
      </c>
      <c r="S513" t="s">
        <v>2606</v>
      </c>
      <c r="T513">
        <v>0</v>
      </c>
      <c r="U513">
        <v>0.14099999999999999</v>
      </c>
      <c r="V513">
        <v>0.17</v>
      </c>
      <c r="W513">
        <v>10.5</v>
      </c>
      <c r="X513">
        <v>10.5</v>
      </c>
      <c r="Y513">
        <v>3</v>
      </c>
    </row>
    <row r="514" spans="1:25" ht="60" customHeight="1" x14ac:dyDescent="0.25">
      <c r="A514"/>
      <c r="B514" t="s">
        <v>4</v>
      </c>
      <c r="C514" t="s">
        <v>3815</v>
      </c>
      <c r="D514" t="s">
        <v>618</v>
      </c>
      <c r="E514" t="s">
        <v>1286</v>
      </c>
      <c r="F514" t="s">
        <v>1287</v>
      </c>
      <c r="G514" t="s">
        <v>641</v>
      </c>
      <c r="H514" s="11">
        <v>22</v>
      </c>
      <c r="I514" s="10">
        <f>H514*(1-IFERROR(VLOOKUP(G514,Rabat!$C$9:$D$43,2,0),0))</f>
        <v>22</v>
      </c>
      <c r="J514" t="s">
        <v>1815</v>
      </c>
      <c r="K514" t="s">
        <v>1866</v>
      </c>
      <c r="L514" t="s">
        <v>1813</v>
      </c>
      <c r="M514">
        <v>100</v>
      </c>
      <c r="N514"/>
      <c r="O514" t="s">
        <v>1818</v>
      </c>
      <c r="P514" s="12" t="str">
        <f>HYPERLINK("https://b2b.kobi.pl/pl/product/10418,oprawka-halogenowa-oh33-bialy-kobi?currency=PLN")</f>
        <v>https://b2b.kobi.pl/pl/product/10418,oprawka-halogenowa-oh33-bialy-kobi?currency=PLN</v>
      </c>
      <c r="Q514" t="s">
        <v>14</v>
      </c>
      <c r="R514" t="s">
        <v>1945</v>
      </c>
      <c r="S514" t="s">
        <v>2574</v>
      </c>
      <c r="T514">
        <v>0.02</v>
      </c>
      <c r="U514">
        <v>0.05</v>
      </c>
      <c r="V514">
        <v>5.5E-2</v>
      </c>
      <c r="W514">
        <v>0</v>
      </c>
      <c r="X514">
        <v>0</v>
      </c>
      <c r="Y514">
        <v>0</v>
      </c>
    </row>
    <row r="515" spans="1:25" ht="60" customHeight="1" x14ac:dyDescent="0.25">
      <c r="A515"/>
      <c r="B515" t="s">
        <v>4</v>
      </c>
      <c r="C515" t="s">
        <v>3815</v>
      </c>
      <c r="D515" t="s">
        <v>1748</v>
      </c>
      <c r="E515" t="s">
        <v>1749</v>
      </c>
      <c r="F515" t="s">
        <v>1750</v>
      </c>
      <c r="G515" t="s">
        <v>641</v>
      </c>
      <c r="H515" s="11">
        <v>9.9</v>
      </c>
      <c r="I515" s="10">
        <f>H515*(1-IFERROR(VLOOKUP(G515,Rabat!$C$9:$D$43,2,0),0))</f>
        <v>9.9</v>
      </c>
      <c r="J515" t="s">
        <v>1815</v>
      </c>
      <c r="K515" t="s">
        <v>1905</v>
      </c>
      <c r="L515" t="s">
        <v>1813</v>
      </c>
      <c r="M515">
        <v>100</v>
      </c>
      <c r="N515"/>
      <c r="O515" t="s">
        <v>1818</v>
      </c>
      <c r="P515" s="12" t="str">
        <f>HYPERLINK("https://b2b.kobi.pl/pl/product/9204,pierscien-ozdobny-chrom-decoro-c-0001r?currency=PLN")</f>
        <v>https://b2b.kobi.pl/pl/product/9204,pierscien-ozdobny-chrom-decoro-c-0001r?currency=PLN</v>
      </c>
      <c r="Q515" t="s">
        <v>14</v>
      </c>
      <c r="R515" t="s">
        <v>1945</v>
      </c>
      <c r="S515" t="s">
        <v>2602</v>
      </c>
      <c r="T515">
        <v>0</v>
      </c>
      <c r="U515">
        <v>0.06</v>
      </c>
      <c r="V515">
        <v>6.6000000000000003E-2</v>
      </c>
      <c r="W515">
        <v>0</v>
      </c>
      <c r="X515">
        <v>0</v>
      </c>
      <c r="Y515">
        <v>0</v>
      </c>
    </row>
    <row r="516" spans="1:25" ht="60" customHeight="1" x14ac:dyDescent="0.25">
      <c r="A516"/>
      <c r="B516" t="s">
        <v>4</v>
      </c>
      <c r="C516" t="s">
        <v>3815</v>
      </c>
      <c r="D516" t="s">
        <v>1748</v>
      </c>
      <c r="E516" t="s">
        <v>1779</v>
      </c>
      <c r="F516" t="s">
        <v>1780</v>
      </c>
      <c r="G516" t="s">
        <v>641</v>
      </c>
      <c r="H516" s="11">
        <v>9.35</v>
      </c>
      <c r="I516" s="10">
        <f>H516*(1-IFERROR(VLOOKUP(G516,Rabat!$C$9:$D$43,2,0),0))</f>
        <v>9.35</v>
      </c>
      <c r="J516" t="s">
        <v>1815</v>
      </c>
      <c r="K516" t="s">
        <v>1922</v>
      </c>
      <c r="L516" t="s">
        <v>1813</v>
      </c>
      <c r="M516">
        <v>30</v>
      </c>
      <c r="N516"/>
      <c r="O516" t="s">
        <v>1818</v>
      </c>
      <c r="P516" s="12" t="str">
        <f>HYPERLINK("https://b2b.kobi.pl/pl/product/10359,downlight-esf-001-r-1xgu10-mat-chrom-jvs?currency=PLN")</f>
        <v>https://b2b.kobi.pl/pl/product/10359,downlight-esf-001-r-1xgu10-mat-chrom-jvs?currency=PLN</v>
      </c>
      <c r="Q516" t="s">
        <v>14</v>
      </c>
      <c r="R516" t="s">
        <v>1945</v>
      </c>
      <c r="S516" t="s">
        <v>2602</v>
      </c>
      <c r="T516">
        <v>0</v>
      </c>
      <c r="U516">
        <v>0.04</v>
      </c>
      <c r="V516">
        <v>4.3999999999999997E-2</v>
      </c>
      <c r="W516">
        <v>0</v>
      </c>
      <c r="X516">
        <v>0</v>
      </c>
      <c r="Y516">
        <v>0</v>
      </c>
    </row>
    <row r="517" spans="1:25" ht="60" customHeight="1" x14ac:dyDescent="0.25">
      <c r="A517"/>
      <c r="B517" t="s">
        <v>3</v>
      </c>
      <c r="C517" t="s">
        <v>3810</v>
      </c>
      <c r="D517" t="s">
        <v>575</v>
      </c>
      <c r="E517" t="s">
        <v>973</v>
      </c>
      <c r="F517" t="s">
        <v>974</v>
      </c>
      <c r="G517" t="s">
        <v>975</v>
      </c>
      <c r="H517" s="11">
        <v>886.67</v>
      </c>
      <c r="I517" s="10">
        <f>H517*(1-IFERROR(VLOOKUP(G517,Rabat!$C$9:$D$43,2,0),0))</f>
        <v>886.67</v>
      </c>
      <c r="J517" t="s">
        <v>1823</v>
      </c>
      <c r="K517" t="s">
        <v>232</v>
      </c>
      <c r="L517" t="s">
        <v>1813</v>
      </c>
      <c r="M517">
        <v>4</v>
      </c>
      <c r="N517"/>
      <c r="O517" t="s">
        <v>1814</v>
      </c>
      <c r="P517" s="12" t="str">
        <f>HYPERLINK("https://b2b.kobi.pl/pl/product/9950,oprawa-parkowa-hybrid-led-fusion-14w-4000k-ip65-kobi-pro?currency=PLN")</f>
        <v>https://b2b.kobi.pl/pl/product/9950,oprawa-parkowa-hybrid-led-fusion-14w-4000k-ip65-kobi-pro?currency=PLN</v>
      </c>
      <c r="Q517" s="12" t="str">
        <f>HYPERLINK("https://eprel.ec.europa.eu/qr/1864776")</f>
        <v>https://eprel.ec.europa.eu/qr/1864776</v>
      </c>
      <c r="R517" t="s">
        <v>1945</v>
      </c>
      <c r="S517" t="s">
        <v>2573</v>
      </c>
      <c r="T517">
        <v>3.25</v>
      </c>
      <c r="U517">
        <v>3.85</v>
      </c>
      <c r="V517">
        <v>4.05</v>
      </c>
      <c r="W517">
        <v>41</v>
      </c>
      <c r="X517">
        <v>38.5</v>
      </c>
      <c r="Y517">
        <v>12</v>
      </c>
    </row>
    <row r="518" spans="1:25" ht="60" customHeight="1" x14ac:dyDescent="0.25">
      <c r="A518"/>
      <c r="B518" t="s">
        <v>3</v>
      </c>
      <c r="C518" t="s">
        <v>3810</v>
      </c>
      <c r="D518" t="s">
        <v>618</v>
      </c>
      <c r="E518" t="s">
        <v>1111</v>
      </c>
      <c r="F518" t="s">
        <v>1112</v>
      </c>
      <c r="G518" t="s">
        <v>975</v>
      </c>
      <c r="H518" s="11">
        <v>328.18</v>
      </c>
      <c r="I518" s="10">
        <f>H518*(1-IFERROR(VLOOKUP(G518,Rabat!$C$9:$D$43,2,0),0))</f>
        <v>328.18</v>
      </c>
      <c r="J518" t="s">
        <v>1815</v>
      </c>
      <c r="K518" t="s">
        <v>213</v>
      </c>
      <c r="L518" t="s">
        <v>1813</v>
      </c>
      <c r="M518">
        <v>6</v>
      </c>
      <c r="N518">
        <v>72</v>
      </c>
      <c r="O518" t="s">
        <v>1818</v>
      </c>
      <c r="P518" s="12" t="str">
        <f>HYPERLINK("https://b2b.kobi.pl/pl/product/10156,oprawa-drogowa-z-czujnikiem-ruchu-solar-led-street-15w-4000k-ip65-kobi?currency=PLN")</f>
        <v>https://b2b.kobi.pl/pl/product/10156,oprawa-drogowa-z-czujnikiem-ruchu-solar-led-street-15w-4000k-ip65-kobi?currency=PLN</v>
      </c>
      <c r="Q518" t="s">
        <v>14</v>
      </c>
      <c r="R518" t="s">
        <v>1945</v>
      </c>
      <c r="S518" t="s">
        <v>2608</v>
      </c>
      <c r="T518">
        <v>1.87</v>
      </c>
      <c r="U518">
        <v>2.2109999999999999</v>
      </c>
      <c r="V518">
        <v>2.4500000000000002</v>
      </c>
      <c r="W518">
        <v>29</v>
      </c>
      <c r="X518">
        <v>8.5</v>
      </c>
      <c r="Y518">
        <v>51.5</v>
      </c>
    </row>
    <row r="519" spans="1:25" ht="60" customHeight="1" x14ac:dyDescent="0.25">
      <c r="A519"/>
      <c r="B519" t="s">
        <v>3</v>
      </c>
      <c r="C519" t="s">
        <v>3810</v>
      </c>
      <c r="D519" t="s">
        <v>606</v>
      </c>
      <c r="E519" t="s">
        <v>3820</v>
      </c>
      <c r="F519" t="s">
        <v>3821</v>
      </c>
      <c r="G519" t="s">
        <v>975</v>
      </c>
      <c r="H519" s="11">
        <v>327.60000000000002</v>
      </c>
      <c r="I519" s="10">
        <f>H519*(1-IFERROR(VLOOKUP(G519,Rabat!$C$9:$D$43,2,0),0))</f>
        <v>327.60000000000002</v>
      </c>
      <c r="J519" t="s">
        <v>1815</v>
      </c>
      <c r="K519" t="s">
        <v>4135</v>
      </c>
      <c r="L519" t="s">
        <v>1813</v>
      </c>
      <c r="M519">
        <v>8</v>
      </c>
      <c r="N519">
        <v>96</v>
      </c>
      <c r="O519" t="s">
        <v>1819</v>
      </c>
      <c r="P519" s="12" t="str">
        <f>HYPERLINK("https://b2b.kobi.pl/pl/product/13065,oprawa-drogowa-solar-led-street-20w-3cct-ip65-kobi-premium?currency=PLN")</f>
        <v>https://b2b.kobi.pl/pl/product/13065,oprawa-drogowa-solar-led-street-20w-3cct-ip65-kobi-premium?currency=PLN</v>
      </c>
      <c r="Q519" t="s">
        <v>14</v>
      </c>
      <c r="R519"/>
      <c r="S519" t="s">
        <v>2609</v>
      </c>
      <c r="T519">
        <v>1.38</v>
      </c>
      <c r="U519">
        <v>1.63</v>
      </c>
      <c r="V519">
        <v>2.4</v>
      </c>
      <c r="W519">
        <v>29</v>
      </c>
      <c r="X519">
        <v>8.5</v>
      </c>
      <c r="Y519">
        <v>51.5</v>
      </c>
    </row>
    <row r="520" spans="1:25" ht="60" customHeight="1" x14ac:dyDescent="0.25">
      <c r="A520"/>
      <c r="B520" t="s">
        <v>3</v>
      </c>
      <c r="C520" t="s">
        <v>3810</v>
      </c>
      <c r="D520" t="s">
        <v>606</v>
      </c>
      <c r="E520" t="s">
        <v>1158</v>
      </c>
      <c r="F520" t="s">
        <v>1159</v>
      </c>
      <c r="G520" t="s">
        <v>975</v>
      </c>
      <c r="H520" s="11">
        <v>666.44</v>
      </c>
      <c r="I520" s="10">
        <f>H520*(1-IFERROR(VLOOKUP(G520,Rabat!$C$9:$D$43,2,0),0))</f>
        <v>666.44</v>
      </c>
      <c r="J520" t="s">
        <v>1815</v>
      </c>
      <c r="K520" t="s">
        <v>1859</v>
      </c>
      <c r="L520" t="s">
        <v>1813</v>
      </c>
      <c r="M520">
        <v>4</v>
      </c>
      <c r="N520"/>
      <c r="O520" t="s">
        <v>1819</v>
      </c>
      <c r="P520" s="12" t="str">
        <f>HYPERLINK("https://b2b.kobi.pl/pl/product/10157,oprawa-drogowa-z-czujnikiem-ruchu-solar-led-street-30w-2cct-ip65-kobi-premium?currency=PLN")</f>
        <v>https://b2b.kobi.pl/pl/product/10157,oprawa-drogowa-z-czujnikiem-ruchu-solar-led-street-30w-2cct-ip65-kobi-premium?currency=PLN</v>
      </c>
      <c r="Q520" t="s">
        <v>14</v>
      </c>
      <c r="R520"/>
      <c r="S520" t="s">
        <v>2608</v>
      </c>
      <c r="T520">
        <v>2.38</v>
      </c>
      <c r="U520">
        <v>2.8180000000000001</v>
      </c>
      <c r="V520">
        <v>3.77</v>
      </c>
      <c r="W520">
        <v>64.2</v>
      </c>
      <c r="X520">
        <v>21</v>
      </c>
      <c r="Y520">
        <v>13.5</v>
      </c>
    </row>
    <row r="521" spans="1:25" ht="60" customHeight="1" x14ac:dyDescent="0.25">
      <c r="A521"/>
      <c r="B521" t="s">
        <v>3</v>
      </c>
      <c r="C521" t="s">
        <v>3810</v>
      </c>
      <c r="D521" t="s">
        <v>606</v>
      </c>
      <c r="E521" t="s">
        <v>3822</v>
      </c>
      <c r="F521" t="s">
        <v>3823</v>
      </c>
      <c r="G521" t="s">
        <v>975</v>
      </c>
      <c r="H521" s="11">
        <v>1000</v>
      </c>
      <c r="I521" s="10">
        <f>H521*(1-IFERROR(VLOOKUP(G521,Rabat!$C$9:$D$43,2,0),0))</f>
        <v>1000</v>
      </c>
      <c r="J521" t="s">
        <v>1815</v>
      </c>
      <c r="K521" t="s">
        <v>4136</v>
      </c>
      <c r="L521" t="s">
        <v>1813</v>
      </c>
      <c r="M521">
        <v>2</v>
      </c>
      <c r="N521">
        <v>32</v>
      </c>
      <c r="O521" t="s">
        <v>1819</v>
      </c>
      <c r="P521" s="12" t="str">
        <f>HYPERLINK("https://b2b.kobi.pl/pl/product/13196,oprawa-drogowa-solar-led-street-40w-3cct-ip65-kobi-premium?currency=PLN")</f>
        <v>https://b2b.kobi.pl/pl/product/13196,oprawa-drogowa-solar-led-street-40w-3cct-ip65-kobi-premium?currency=PLN</v>
      </c>
      <c r="Q521" t="s">
        <v>14</v>
      </c>
      <c r="R521"/>
      <c r="S521" t="s">
        <v>2609</v>
      </c>
      <c r="T521">
        <v>3.46</v>
      </c>
      <c r="U521">
        <v>4.093</v>
      </c>
      <c r="V521">
        <v>6.1349999999999998</v>
      </c>
      <c r="W521">
        <v>73.5</v>
      </c>
      <c r="X521">
        <v>34.5</v>
      </c>
      <c r="Y521">
        <v>12</v>
      </c>
    </row>
    <row r="522" spans="1:25" ht="60" customHeight="1" x14ac:dyDescent="0.25">
      <c r="A522"/>
      <c r="B522" t="s">
        <v>3</v>
      </c>
      <c r="C522" t="s">
        <v>3824</v>
      </c>
      <c r="D522" t="s">
        <v>575</v>
      </c>
      <c r="E522" t="s">
        <v>3598</v>
      </c>
      <c r="F522" t="s">
        <v>3599</v>
      </c>
      <c r="G522" t="s">
        <v>579</v>
      </c>
      <c r="H522" s="11">
        <v>135.44999999999999</v>
      </c>
      <c r="I522" s="10">
        <f>H522*(1-IFERROR(VLOOKUP(G522,Rabat!$C$9:$D$43,2,0),0))</f>
        <v>135.44999999999999</v>
      </c>
      <c r="J522" t="s">
        <v>1823</v>
      </c>
      <c r="K522" t="s">
        <v>3649</v>
      </c>
      <c r="L522" t="s">
        <v>1813</v>
      </c>
      <c r="M522">
        <v>10</v>
      </c>
      <c r="N522">
        <v>250</v>
      </c>
      <c r="O522" t="s">
        <v>1814</v>
      </c>
      <c r="P522" s="12" t="str">
        <f>HYPERLINK("https://b2b.kobi.pl/pl/product/12733,plafon-led-numos-5w-7w-10w-4000k-lx-ip65-kobi-pro?currency=PLN")</f>
        <v>https://b2b.kobi.pl/pl/product/12733,plafon-led-numos-5w-7w-10w-4000k-lx-ip65-kobi-pro?currency=PLN</v>
      </c>
      <c r="Q522" s="12" t="str">
        <f>HYPERLINK("https://eprel.ec.europa.eu/qr/2326851")</f>
        <v>https://eprel.ec.europa.eu/qr/2326851</v>
      </c>
      <c r="R522"/>
      <c r="S522" t="s">
        <v>2606</v>
      </c>
      <c r="T522">
        <v>0.59</v>
      </c>
      <c r="U522">
        <v>0.7</v>
      </c>
      <c r="V522">
        <v>0.87</v>
      </c>
      <c r="W522">
        <v>30.5</v>
      </c>
      <c r="X522">
        <v>6.5</v>
      </c>
      <c r="Y522">
        <v>21</v>
      </c>
    </row>
    <row r="523" spans="1:25" ht="60" customHeight="1" x14ac:dyDescent="0.25">
      <c r="A523"/>
      <c r="B523" t="s">
        <v>3</v>
      </c>
      <c r="C523" t="s">
        <v>3824</v>
      </c>
      <c r="D523" t="s">
        <v>575</v>
      </c>
      <c r="E523" t="s">
        <v>580</v>
      </c>
      <c r="F523" t="s">
        <v>581</v>
      </c>
      <c r="G523" t="s">
        <v>579</v>
      </c>
      <c r="H523" s="11">
        <v>95.56</v>
      </c>
      <c r="I523" s="10">
        <f>H523*(1-IFERROR(VLOOKUP(G523,Rabat!$C$9:$D$43,2,0),0))</f>
        <v>95.56</v>
      </c>
      <c r="J523" t="s">
        <v>1816</v>
      </c>
      <c r="K523" t="s">
        <v>244</v>
      </c>
      <c r="L523" t="s">
        <v>1813</v>
      </c>
      <c r="M523">
        <v>5</v>
      </c>
      <c r="N523">
        <v>250</v>
      </c>
      <c r="O523" t="s">
        <v>1814</v>
      </c>
      <c r="P523" s="12" t="str">
        <f>HYPERLINK("https://b2b.kobi.pl/pl/product/8426,plafon-z-czujnikiem-ruchu-led-orbis-10w-4000k-lx-ip44-kobi-pro?currency=PLN")</f>
        <v>https://b2b.kobi.pl/pl/product/8426,plafon-z-czujnikiem-ruchu-led-orbis-10w-4000k-lx-ip44-kobi-pro?currency=PLN</v>
      </c>
      <c r="Q523" s="12" t="str">
        <f>HYPERLINK("https://eprel.ec.europa.eu/qr/1057303")</f>
        <v>https://eprel.ec.europa.eu/qr/1057303</v>
      </c>
      <c r="R523"/>
      <c r="S523" t="s">
        <v>2571</v>
      </c>
      <c r="T523">
        <v>0.44</v>
      </c>
      <c r="U523">
        <v>0.51800000000000002</v>
      </c>
      <c r="V523">
        <v>0.55000000000000004</v>
      </c>
      <c r="W523">
        <v>25.6</v>
      </c>
      <c r="X523">
        <v>6.3</v>
      </c>
      <c r="Y523">
        <v>25.6</v>
      </c>
    </row>
    <row r="524" spans="1:25" ht="60" customHeight="1" x14ac:dyDescent="0.25">
      <c r="A524"/>
      <c r="B524" t="s">
        <v>3</v>
      </c>
      <c r="C524" t="s">
        <v>3824</v>
      </c>
      <c r="D524" t="s">
        <v>575</v>
      </c>
      <c r="E524" t="s">
        <v>929</v>
      </c>
      <c r="F524" t="s">
        <v>930</v>
      </c>
      <c r="G524" t="s">
        <v>579</v>
      </c>
      <c r="H524" s="11">
        <v>185</v>
      </c>
      <c r="I524" s="10">
        <f>H524*(1-IFERROR(VLOOKUP(G524,Rabat!$C$9:$D$43,2,0),0))</f>
        <v>185</v>
      </c>
      <c r="J524" t="s">
        <v>1823</v>
      </c>
      <c r="K524" t="s">
        <v>219</v>
      </c>
      <c r="L524" t="s">
        <v>1813</v>
      </c>
      <c r="M524">
        <v>4</v>
      </c>
      <c r="N524">
        <v>100</v>
      </c>
      <c r="O524" t="s">
        <v>1814</v>
      </c>
      <c r="P524" s="12" t="str">
        <f>HYPERLINK("https://b2b.kobi.pl/pl/product/9931,plafon-led-defender-24w-4000k-ip66-kobi-pro?currency=PLN")</f>
        <v>https://b2b.kobi.pl/pl/product/9931,plafon-led-defender-24w-4000k-ip66-kobi-pro?currency=PLN</v>
      </c>
      <c r="Q524" s="12" t="str">
        <f>HYPERLINK("https://eprel.ec.europa.eu/qr/1789311")</f>
        <v>https://eprel.ec.europa.eu/qr/1789311</v>
      </c>
      <c r="R524" t="s">
        <v>1945</v>
      </c>
      <c r="S524" t="s">
        <v>2571</v>
      </c>
      <c r="T524">
        <v>0.67</v>
      </c>
      <c r="U524">
        <v>0.78700000000000003</v>
      </c>
      <c r="V524">
        <v>0.85</v>
      </c>
      <c r="W524">
        <v>30.1</v>
      </c>
      <c r="X524">
        <v>9.4</v>
      </c>
      <c r="Y524">
        <v>30.1</v>
      </c>
    </row>
    <row r="525" spans="1:25" ht="60" customHeight="1" x14ac:dyDescent="0.25">
      <c r="A525"/>
      <c r="B525" t="s">
        <v>3</v>
      </c>
      <c r="C525" t="s">
        <v>3824</v>
      </c>
      <c r="D525" t="s">
        <v>575</v>
      </c>
      <c r="E525" t="s">
        <v>933</v>
      </c>
      <c r="F525" t="s">
        <v>934</v>
      </c>
      <c r="G525" t="s">
        <v>579</v>
      </c>
      <c r="H525" s="11">
        <v>216</v>
      </c>
      <c r="I525" s="10">
        <f>H525*(1-IFERROR(VLOOKUP(G525,Rabat!$C$9:$D$43,2,0),0))</f>
        <v>216</v>
      </c>
      <c r="J525" t="s">
        <v>1823</v>
      </c>
      <c r="K525" t="s">
        <v>220</v>
      </c>
      <c r="L525" t="s">
        <v>1813</v>
      </c>
      <c r="M525">
        <v>4</v>
      </c>
      <c r="N525">
        <v>120</v>
      </c>
      <c r="O525" t="s">
        <v>1814</v>
      </c>
      <c r="P525" s="12" t="str">
        <f>HYPERLINK("https://b2b.kobi.pl/pl/product/9932,plafon-z-czujnikiem-ruchu-led-defender-18w-4000k-lx-ip66-kobi-pro?currency=PLN")</f>
        <v>https://b2b.kobi.pl/pl/product/9932,plafon-z-czujnikiem-ruchu-led-defender-18w-4000k-lx-ip66-kobi-pro?currency=PLN</v>
      </c>
      <c r="Q525" s="12" t="str">
        <f>HYPERLINK("https://eprel.ec.europa.eu/qr/1789259")</f>
        <v>https://eprel.ec.europa.eu/qr/1789259</v>
      </c>
      <c r="R525" t="s">
        <v>1945</v>
      </c>
      <c r="S525" t="s">
        <v>2571</v>
      </c>
      <c r="T525">
        <v>0.7</v>
      </c>
      <c r="U525">
        <v>0.82399999999999995</v>
      </c>
      <c r="V525">
        <v>0.9</v>
      </c>
      <c r="W525">
        <v>30.1</v>
      </c>
      <c r="X525">
        <v>9.4</v>
      </c>
      <c r="Y525">
        <v>30.1</v>
      </c>
    </row>
    <row r="526" spans="1:25" ht="60" customHeight="1" x14ac:dyDescent="0.25">
      <c r="A526"/>
      <c r="B526" t="s">
        <v>3</v>
      </c>
      <c r="C526" t="s">
        <v>3824</v>
      </c>
      <c r="D526" t="s">
        <v>575</v>
      </c>
      <c r="E526" t="s">
        <v>3825</v>
      </c>
      <c r="F526" t="s">
        <v>3826</v>
      </c>
      <c r="G526" t="s">
        <v>579</v>
      </c>
      <c r="H526" s="11">
        <v>133.31</v>
      </c>
      <c r="I526" s="10">
        <f>H526*(1-IFERROR(VLOOKUP(G526,Rabat!$C$9:$D$43,2,0),0))</f>
        <v>133.31</v>
      </c>
      <c r="J526" t="s">
        <v>1815</v>
      </c>
      <c r="K526" t="s">
        <v>4137</v>
      </c>
      <c r="L526" t="s">
        <v>1813</v>
      </c>
      <c r="M526">
        <v>10</v>
      </c>
      <c r="N526">
        <v>150</v>
      </c>
      <c r="O526" t="s">
        <v>1814</v>
      </c>
      <c r="P526" s="12" t="str">
        <f>HYPERLINK("https://b2b.kobi.pl/pl/product/13480,plafon-led-defender-g2-12-18-24w-3cct-ip65-kobi-pro?currency=PLN")</f>
        <v>https://b2b.kobi.pl/pl/product/13480,plafon-led-defender-g2-12-18-24w-3cct-ip65-kobi-pro?currency=PLN</v>
      </c>
      <c r="Q526" s="12" t="str">
        <f>HYPERLINK("https://eprel.ec.europa.eu/qr/2679277")</f>
        <v>https://eprel.ec.europa.eu/qr/2679277</v>
      </c>
      <c r="R526" t="s">
        <v>4101</v>
      </c>
      <c r="S526" t="s">
        <v>2571</v>
      </c>
      <c r="T526">
        <v>0.59</v>
      </c>
      <c r="U526">
        <v>0.7</v>
      </c>
      <c r="V526">
        <v>0.88700000000000001</v>
      </c>
      <c r="W526">
        <v>30.5</v>
      </c>
      <c r="X526">
        <v>7.5</v>
      </c>
      <c r="Y526">
        <v>30.5</v>
      </c>
    </row>
    <row r="527" spans="1:25" ht="60" customHeight="1" x14ac:dyDescent="0.25">
      <c r="A527"/>
      <c r="B527" t="s">
        <v>3</v>
      </c>
      <c r="C527" t="s">
        <v>3824</v>
      </c>
      <c r="D527" t="s">
        <v>606</v>
      </c>
      <c r="E527" t="s">
        <v>1052</v>
      </c>
      <c r="F527" t="s">
        <v>1053</v>
      </c>
      <c r="G527" t="s">
        <v>579</v>
      </c>
      <c r="H527" s="11">
        <v>70.959999999999994</v>
      </c>
      <c r="I527" s="10">
        <f>H527*(1-IFERROR(VLOOKUP(G527,Rabat!$C$9:$D$43,2,0),0))</f>
        <v>70.959999999999994</v>
      </c>
      <c r="J527" t="s">
        <v>1815</v>
      </c>
      <c r="K527" t="s">
        <v>485</v>
      </c>
      <c r="L527" t="s">
        <v>1813</v>
      </c>
      <c r="M527">
        <v>20</v>
      </c>
      <c r="N527"/>
      <c r="O527" t="s">
        <v>1819</v>
      </c>
      <c r="P527" s="12" t="str">
        <f>HYPERLINK("https://b2b.kobi.pl/pl/product/10031,plafon-led-nairos-g2-12w-3cct-ip65-bialy-kobi-premium?currency=PLN")</f>
        <v>https://b2b.kobi.pl/pl/product/10031,plafon-led-nairos-g2-12w-3cct-ip65-bialy-kobi-premium?currency=PLN</v>
      </c>
      <c r="Q527" s="12" t="str">
        <f>HYPERLINK("https://eprel.ec.europa.eu/qr/2056899")</f>
        <v>https://eprel.ec.europa.eu/qr/2056899</v>
      </c>
      <c r="R527"/>
      <c r="S527" t="s">
        <v>2571</v>
      </c>
      <c r="T527">
        <v>0.34</v>
      </c>
      <c r="U527">
        <v>0.4</v>
      </c>
      <c r="V527">
        <v>0.5</v>
      </c>
      <c r="W527">
        <v>21.2</v>
      </c>
      <c r="X527">
        <v>5.6</v>
      </c>
      <c r="Y527">
        <v>21.2</v>
      </c>
    </row>
    <row r="528" spans="1:25" ht="60" customHeight="1" x14ac:dyDescent="0.25">
      <c r="A528"/>
      <c r="B528" t="s">
        <v>3</v>
      </c>
      <c r="C528" t="s">
        <v>3824</v>
      </c>
      <c r="D528" t="s">
        <v>606</v>
      </c>
      <c r="E528" t="s">
        <v>1054</v>
      </c>
      <c r="F528" t="s">
        <v>1055</v>
      </c>
      <c r="G528" t="s">
        <v>579</v>
      </c>
      <c r="H528" s="11">
        <v>70.959999999999994</v>
      </c>
      <c r="I528" s="10">
        <f>H528*(1-IFERROR(VLOOKUP(G528,Rabat!$C$9:$D$43,2,0),0))</f>
        <v>70.959999999999994</v>
      </c>
      <c r="J528" t="s">
        <v>1815</v>
      </c>
      <c r="K528" t="s">
        <v>486</v>
      </c>
      <c r="L528" t="s">
        <v>1813</v>
      </c>
      <c r="M528">
        <v>20</v>
      </c>
      <c r="N528"/>
      <c r="O528" t="s">
        <v>1819</v>
      </c>
      <c r="P528" s="12" t="str">
        <f>HYPERLINK("https://b2b.kobi.pl/pl/product/10032,plafon-led-nairos-g2-12w-3cct-ip65-czarny-kobi-premium?currency=PLN")</f>
        <v>https://b2b.kobi.pl/pl/product/10032,plafon-led-nairos-g2-12w-3cct-ip65-czarny-kobi-premium?currency=PLN</v>
      </c>
      <c r="Q528" s="12" t="str">
        <f>HYPERLINK("https://eprel.ec.europa.eu/qr/2056899")</f>
        <v>https://eprel.ec.europa.eu/qr/2056899</v>
      </c>
      <c r="R528"/>
      <c r="S528" t="s">
        <v>2571</v>
      </c>
      <c r="T528">
        <v>0.34</v>
      </c>
      <c r="U528">
        <v>0.4</v>
      </c>
      <c r="V528">
        <v>0.53</v>
      </c>
      <c r="W528">
        <v>21.2</v>
      </c>
      <c r="X528">
        <v>5.6</v>
      </c>
      <c r="Y528">
        <v>21.2</v>
      </c>
    </row>
    <row r="529" spans="1:25" ht="60" customHeight="1" x14ac:dyDescent="0.25">
      <c r="A529"/>
      <c r="B529" t="s">
        <v>3</v>
      </c>
      <c r="C529" t="s">
        <v>3824</v>
      </c>
      <c r="D529" t="s">
        <v>606</v>
      </c>
      <c r="E529" t="s">
        <v>1056</v>
      </c>
      <c r="F529" t="s">
        <v>1057</v>
      </c>
      <c r="G529" t="s">
        <v>579</v>
      </c>
      <c r="H529" s="11">
        <v>109.87</v>
      </c>
      <c r="I529" s="10">
        <f>H529*(1-IFERROR(VLOOKUP(G529,Rabat!$C$9:$D$43,2,0),0))</f>
        <v>109.87</v>
      </c>
      <c r="J529" t="s">
        <v>1815</v>
      </c>
      <c r="K529" t="s">
        <v>487</v>
      </c>
      <c r="L529" t="s">
        <v>1813</v>
      </c>
      <c r="M529">
        <v>10</v>
      </c>
      <c r="N529"/>
      <c r="O529" t="s">
        <v>1819</v>
      </c>
      <c r="P529" s="12" t="str">
        <f>HYPERLINK("https://b2b.kobi.pl/pl/product/10033,plafon-led-nairos-g2-18w-3cct-ip65-bialy-kobi-premium?currency=PLN")</f>
        <v>https://b2b.kobi.pl/pl/product/10033,plafon-led-nairos-g2-18w-3cct-ip65-bialy-kobi-premium?currency=PLN</v>
      </c>
      <c r="Q529" s="12" t="str">
        <f>HYPERLINK("https://eprel.ec.europa.eu/qr/2058716")</f>
        <v>https://eprel.ec.europa.eu/qr/2058716</v>
      </c>
      <c r="R529"/>
      <c r="S529" t="s">
        <v>2571</v>
      </c>
      <c r="T529">
        <v>0.59</v>
      </c>
      <c r="U529">
        <v>0.7</v>
      </c>
      <c r="V529">
        <v>0.85</v>
      </c>
      <c r="W529">
        <v>31.2</v>
      </c>
      <c r="X529">
        <v>6.1</v>
      </c>
      <c r="Y529">
        <v>31.1</v>
      </c>
    </row>
    <row r="530" spans="1:25" ht="60" customHeight="1" x14ac:dyDescent="0.25">
      <c r="A530"/>
      <c r="B530" t="s">
        <v>3</v>
      </c>
      <c r="C530" t="s">
        <v>3824</v>
      </c>
      <c r="D530" t="s">
        <v>606</v>
      </c>
      <c r="E530" t="s">
        <v>1058</v>
      </c>
      <c r="F530" t="s">
        <v>1059</v>
      </c>
      <c r="G530" t="s">
        <v>579</v>
      </c>
      <c r="H530" s="11">
        <v>109.87</v>
      </c>
      <c r="I530" s="10">
        <f>H530*(1-IFERROR(VLOOKUP(G530,Rabat!$C$9:$D$43,2,0),0))</f>
        <v>109.87</v>
      </c>
      <c r="J530" t="s">
        <v>1815</v>
      </c>
      <c r="K530" t="s">
        <v>488</v>
      </c>
      <c r="L530" t="s">
        <v>1813</v>
      </c>
      <c r="M530">
        <v>10</v>
      </c>
      <c r="N530"/>
      <c r="O530" t="s">
        <v>1819</v>
      </c>
      <c r="P530" s="12" t="str">
        <f>HYPERLINK("https://b2b.kobi.pl/pl/product/10034,plafon-led-nairos-g2-18w-3cct-ip65-czarny-kobi-premium?currency=PLN")</f>
        <v>https://b2b.kobi.pl/pl/product/10034,plafon-led-nairos-g2-18w-3cct-ip65-czarny-kobi-premium?currency=PLN</v>
      </c>
      <c r="Q530" s="12" t="str">
        <f>HYPERLINK("https://eprel.ec.europa.eu/qr/2058716")</f>
        <v>https://eprel.ec.europa.eu/qr/2058716</v>
      </c>
      <c r="R530"/>
      <c r="S530" t="s">
        <v>2571</v>
      </c>
      <c r="T530">
        <v>0.59</v>
      </c>
      <c r="U530">
        <v>0.7</v>
      </c>
      <c r="V530">
        <v>0.9</v>
      </c>
      <c r="W530">
        <v>31.2</v>
      </c>
      <c r="X530">
        <v>6.1</v>
      </c>
      <c r="Y530">
        <v>31.1</v>
      </c>
    </row>
    <row r="531" spans="1:25" ht="60" customHeight="1" x14ac:dyDescent="0.25">
      <c r="A531"/>
      <c r="B531" t="s">
        <v>3</v>
      </c>
      <c r="C531" t="s">
        <v>3824</v>
      </c>
      <c r="D531" t="s">
        <v>606</v>
      </c>
      <c r="E531" t="s">
        <v>1060</v>
      </c>
      <c r="F531" t="s">
        <v>1061</v>
      </c>
      <c r="G531" t="s">
        <v>579</v>
      </c>
      <c r="H531" s="11">
        <v>121.31</v>
      </c>
      <c r="I531" s="10">
        <f>H531*(1-IFERROR(VLOOKUP(G531,Rabat!$C$9:$D$43,2,0),0))</f>
        <v>121.31</v>
      </c>
      <c r="J531" t="s">
        <v>1815</v>
      </c>
      <c r="K531" t="s">
        <v>489</v>
      </c>
      <c r="L531" t="s">
        <v>1813</v>
      </c>
      <c r="M531">
        <v>10</v>
      </c>
      <c r="N531"/>
      <c r="O531" t="s">
        <v>1819</v>
      </c>
      <c r="P531" s="12" t="str">
        <f>HYPERLINK("https://b2b.kobi.pl/pl/product/10035,plafon-led-nairos-g2-24w-3cct-ip65-bialy-kobi-premium?currency=PLN")</f>
        <v>https://b2b.kobi.pl/pl/product/10035,plafon-led-nairos-g2-24w-3cct-ip65-bialy-kobi-premium?currency=PLN</v>
      </c>
      <c r="Q531" s="12" t="str">
        <f>HYPERLINK("https://eprel.ec.europa.eu/qr/2058756")</f>
        <v>https://eprel.ec.europa.eu/qr/2058756</v>
      </c>
      <c r="R531"/>
      <c r="S531" t="s">
        <v>2571</v>
      </c>
      <c r="T531">
        <v>0.59</v>
      </c>
      <c r="U531">
        <v>0.7</v>
      </c>
      <c r="V531">
        <v>0.85</v>
      </c>
      <c r="W531">
        <v>31.2</v>
      </c>
      <c r="X531">
        <v>6.1</v>
      </c>
      <c r="Y531">
        <v>31.2</v>
      </c>
    </row>
    <row r="532" spans="1:25" ht="60" customHeight="1" x14ac:dyDescent="0.25">
      <c r="A532"/>
      <c r="B532" t="s">
        <v>3</v>
      </c>
      <c r="C532" t="s">
        <v>3824</v>
      </c>
      <c r="D532" t="s">
        <v>606</v>
      </c>
      <c r="E532" t="s">
        <v>1062</v>
      </c>
      <c r="F532" t="s">
        <v>1063</v>
      </c>
      <c r="G532" t="s">
        <v>579</v>
      </c>
      <c r="H532" s="11">
        <v>121.31</v>
      </c>
      <c r="I532" s="10">
        <f>H532*(1-IFERROR(VLOOKUP(G532,Rabat!$C$9:$D$43,2,0),0))</f>
        <v>121.31</v>
      </c>
      <c r="J532" t="s">
        <v>1815</v>
      </c>
      <c r="K532" t="s">
        <v>490</v>
      </c>
      <c r="L532" t="s">
        <v>1813</v>
      </c>
      <c r="M532">
        <v>10</v>
      </c>
      <c r="N532"/>
      <c r="O532" t="s">
        <v>1819</v>
      </c>
      <c r="P532" s="12" t="str">
        <f>HYPERLINK("https://b2b.kobi.pl/pl/product/10036,plafon-led-nairos-g2-24w-3cct-ip65-czarny-kobi-premium?currency=PLN")</f>
        <v>https://b2b.kobi.pl/pl/product/10036,plafon-led-nairos-g2-24w-3cct-ip65-czarny-kobi-premium?currency=PLN</v>
      </c>
      <c r="Q532" s="12" t="str">
        <f>HYPERLINK("https://eprel.ec.europa.eu/qr/2058756")</f>
        <v>https://eprel.ec.europa.eu/qr/2058756</v>
      </c>
      <c r="R532"/>
      <c r="S532" t="s">
        <v>2571</v>
      </c>
      <c r="T532">
        <v>0.59</v>
      </c>
      <c r="U532">
        <v>0.7</v>
      </c>
      <c r="V532">
        <v>0.9</v>
      </c>
      <c r="W532">
        <v>31.2</v>
      </c>
      <c r="X532">
        <v>6.1</v>
      </c>
      <c r="Y532">
        <v>31.2</v>
      </c>
    </row>
    <row r="533" spans="1:25" ht="60" customHeight="1" x14ac:dyDescent="0.25">
      <c r="A533"/>
      <c r="B533" t="s">
        <v>3</v>
      </c>
      <c r="C533" t="s">
        <v>3824</v>
      </c>
      <c r="D533" t="s">
        <v>606</v>
      </c>
      <c r="E533" t="s">
        <v>1064</v>
      </c>
      <c r="F533" t="s">
        <v>1065</v>
      </c>
      <c r="G533" t="s">
        <v>579</v>
      </c>
      <c r="H533" s="11">
        <v>201.43</v>
      </c>
      <c r="I533" s="10">
        <f>H533*(1-IFERROR(VLOOKUP(G533,Rabat!$C$9:$D$43,2,0),0))</f>
        <v>201.43</v>
      </c>
      <c r="J533" t="s">
        <v>1815</v>
      </c>
      <c r="K533" t="s">
        <v>491</v>
      </c>
      <c r="L533" t="s">
        <v>1813</v>
      </c>
      <c r="M533">
        <v>10</v>
      </c>
      <c r="N533"/>
      <c r="O533" t="s">
        <v>1819</v>
      </c>
      <c r="P533" s="12" t="str">
        <f>HYPERLINK("https://b2b.kobi.pl/pl/product/10037,plafon-led-nairos-g2-36w-3cct-ip65-bialy-kobi-premium?currency=PLN")</f>
        <v>https://b2b.kobi.pl/pl/product/10037,plafon-led-nairos-g2-36w-3cct-ip65-bialy-kobi-premium?currency=PLN</v>
      </c>
      <c r="Q533" s="12" t="str">
        <f>HYPERLINK("https://eprel.ec.europa.eu/qr/2058805")</f>
        <v>https://eprel.ec.europa.eu/qr/2058805</v>
      </c>
      <c r="R533"/>
      <c r="S533" t="s">
        <v>2571</v>
      </c>
      <c r="T533">
        <v>1.01</v>
      </c>
      <c r="U533">
        <v>1.2</v>
      </c>
      <c r="V533">
        <v>1.3</v>
      </c>
      <c r="W533">
        <v>41.2</v>
      </c>
      <c r="X533">
        <v>6.1</v>
      </c>
      <c r="Y533">
        <v>41.2</v>
      </c>
    </row>
    <row r="534" spans="1:25" ht="60" customHeight="1" x14ac:dyDescent="0.25">
      <c r="A534"/>
      <c r="B534" t="s">
        <v>3</v>
      </c>
      <c r="C534" t="s">
        <v>3824</v>
      </c>
      <c r="D534" t="s">
        <v>606</v>
      </c>
      <c r="E534" t="s">
        <v>1066</v>
      </c>
      <c r="F534" t="s">
        <v>1067</v>
      </c>
      <c r="G534" t="s">
        <v>579</v>
      </c>
      <c r="H534" s="11">
        <v>144.19999999999999</v>
      </c>
      <c r="I534" s="10">
        <f>H534*(1-IFERROR(VLOOKUP(G534,Rabat!$C$9:$D$43,2,0),0))</f>
        <v>144.19999999999999</v>
      </c>
      <c r="J534" t="s">
        <v>1815</v>
      </c>
      <c r="K534" t="s">
        <v>492</v>
      </c>
      <c r="L534" t="s">
        <v>1813</v>
      </c>
      <c r="M534">
        <v>20</v>
      </c>
      <c r="N534"/>
      <c r="O534" t="s">
        <v>1819</v>
      </c>
      <c r="P534" s="12" t="str">
        <f>HYPERLINK("https://b2b.kobi.pl/pl/product/10038,plafon-z-czujnikiem-ruchu-led-nairos-g2-12w-3cct-lx-ip65-bialy-kobi-premium?currency=PLN")</f>
        <v>https://b2b.kobi.pl/pl/product/10038,plafon-z-czujnikiem-ruchu-led-nairos-g2-12w-3cct-lx-ip65-bialy-kobi-premium?currency=PLN</v>
      </c>
      <c r="Q534" s="12" t="str">
        <f>HYPERLINK("https://eprel.ec.europa.eu/qr/2056899")</f>
        <v>https://eprel.ec.europa.eu/qr/2056899</v>
      </c>
      <c r="R534"/>
      <c r="S534" t="s">
        <v>2571</v>
      </c>
      <c r="T534">
        <v>0.41</v>
      </c>
      <c r="U534">
        <v>0.49</v>
      </c>
      <c r="V534">
        <v>0.5</v>
      </c>
      <c r="W534">
        <v>21.2</v>
      </c>
      <c r="X534">
        <v>5.6</v>
      </c>
      <c r="Y534">
        <v>21.2</v>
      </c>
    </row>
    <row r="535" spans="1:25" ht="60" customHeight="1" x14ac:dyDescent="0.25">
      <c r="A535"/>
      <c r="B535" t="s">
        <v>3</v>
      </c>
      <c r="C535" t="s">
        <v>3824</v>
      </c>
      <c r="D535" t="s">
        <v>606</v>
      </c>
      <c r="E535" t="s">
        <v>1068</v>
      </c>
      <c r="F535" t="s">
        <v>1069</v>
      </c>
      <c r="G535" t="s">
        <v>579</v>
      </c>
      <c r="H535" s="11">
        <v>144.19999999999999</v>
      </c>
      <c r="I535" s="10">
        <f>H535*(1-IFERROR(VLOOKUP(G535,Rabat!$C$9:$D$43,2,0),0))</f>
        <v>144.19999999999999</v>
      </c>
      <c r="J535" t="s">
        <v>1815</v>
      </c>
      <c r="K535" t="s">
        <v>493</v>
      </c>
      <c r="L535" t="s">
        <v>1813</v>
      </c>
      <c r="M535">
        <v>20</v>
      </c>
      <c r="N535"/>
      <c r="O535" t="s">
        <v>1819</v>
      </c>
      <c r="P535" s="12" t="str">
        <f>HYPERLINK("https://b2b.kobi.pl/pl/product/10039,plafon-z-czujnikiem-ruchu-led-nairos-g2-12w-3cct-lx-ip65-czarny-kobi-premium?currency=PLN")</f>
        <v>https://b2b.kobi.pl/pl/product/10039,plafon-z-czujnikiem-ruchu-led-nairos-g2-12w-3cct-lx-ip65-czarny-kobi-premium?currency=PLN</v>
      </c>
      <c r="Q535" s="12" t="str">
        <f>HYPERLINK("https://eprel.ec.europa.eu/qr/2056899")</f>
        <v>https://eprel.ec.europa.eu/qr/2056899</v>
      </c>
      <c r="R535"/>
      <c r="S535" t="s">
        <v>2571</v>
      </c>
      <c r="T535">
        <v>0.41</v>
      </c>
      <c r="U535">
        <v>0.49</v>
      </c>
      <c r="V535">
        <v>0.53</v>
      </c>
      <c r="W535">
        <v>21.2</v>
      </c>
      <c r="X535">
        <v>5.6</v>
      </c>
      <c r="Y535">
        <v>21.2</v>
      </c>
    </row>
    <row r="536" spans="1:25" ht="60" customHeight="1" x14ac:dyDescent="0.25">
      <c r="A536"/>
      <c r="B536" t="s">
        <v>3</v>
      </c>
      <c r="C536" t="s">
        <v>3824</v>
      </c>
      <c r="D536" t="s">
        <v>606</v>
      </c>
      <c r="E536" t="s">
        <v>1070</v>
      </c>
      <c r="F536" t="s">
        <v>1071</v>
      </c>
      <c r="G536" t="s">
        <v>579</v>
      </c>
      <c r="H536" s="11">
        <v>189.97</v>
      </c>
      <c r="I536" s="10">
        <f>H536*(1-IFERROR(VLOOKUP(G536,Rabat!$C$9:$D$43,2,0),0))</f>
        <v>189.97</v>
      </c>
      <c r="J536" t="s">
        <v>1815</v>
      </c>
      <c r="K536" t="s">
        <v>494</v>
      </c>
      <c r="L536" t="s">
        <v>1813</v>
      </c>
      <c r="M536">
        <v>10</v>
      </c>
      <c r="N536"/>
      <c r="O536" t="s">
        <v>1819</v>
      </c>
      <c r="P536" s="12" t="str">
        <f>HYPERLINK("https://b2b.kobi.pl/pl/product/10040,plafon-z-czujnikiem-ruchu-led-nairos-g2-18w-3cct-lx-ip65-bialy-kobi-premium?currency=PLN")</f>
        <v>https://b2b.kobi.pl/pl/product/10040,plafon-z-czujnikiem-ruchu-led-nairos-g2-18w-3cct-lx-ip65-bialy-kobi-premium?currency=PLN</v>
      </c>
      <c r="Q536" s="12" t="str">
        <f>HYPERLINK("https://eprel.ec.europa.eu/qr/2058716")</f>
        <v>https://eprel.ec.europa.eu/qr/2058716</v>
      </c>
      <c r="R536"/>
      <c r="S536" t="s">
        <v>2571</v>
      </c>
      <c r="T536">
        <v>0.67</v>
      </c>
      <c r="U536">
        <v>0.79</v>
      </c>
      <c r="V536">
        <v>0.85</v>
      </c>
      <c r="W536">
        <v>31.2</v>
      </c>
      <c r="X536">
        <v>6.1</v>
      </c>
      <c r="Y536">
        <v>31.1</v>
      </c>
    </row>
    <row r="537" spans="1:25" ht="60" customHeight="1" x14ac:dyDescent="0.25">
      <c r="A537"/>
      <c r="B537" t="s">
        <v>3</v>
      </c>
      <c r="C537" t="s">
        <v>3824</v>
      </c>
      <c r="D537" t="s">
        <v>606</v>
      </c>
      <c r="E537" t="s">
        <v>1072</v>
      </c>
      <c r="F537" t="s">
        <v>1073</v>
      </c>
      <c r="G537" t="s">
        <v>579</v>
      </c>
      <c r="H537" s="11">
        <v>189.97</v>
      </c>
      <c r="I537" s="10">
        <f>H537*(1-IFERROR(VLOOKUP(G537,Rabat!$C$9:$D$43,2,0),0))</f>
        <v>189.97</v>
      </c>
      <c r="J537" t="s">
        <v>1815</v>
      </c>
      <c r="K537" t="s">
        <v>495</v>
      </c>
      <c r="L537" t="s">
        <v>1813</v>
      </c>
      <c r="M537">
        <v>10</v>
      </c>
      <c r="N537"/>
      <c r="O537" t="s">
        <v>1819</v>
      </c>
      <c r="P537" s="12" t="str">
        <f>HYPERLINK("https://b2b.kobi.pl/pl/product/10041,plafon-z-czujnikiem-ruchu-led-nairos-g2-18w-3cct-lx-ip65-czarny-kobi-premium?currency=PLN")</f>
        <v>https://b2b.kobi.pl/pl/product/10041,plafon-z-czujnikiem-ruchu-led-nairos-g2-18w-3cct-lx-ip65-czarny-kobi-premium?currency=PLN</v>
      </c>
      <c r="Q537" s="12" t="str">
        <f>HYPERLINK("https://eprel.ec.europa.eu/qr/2058716")</f>
        <v>https://eprel.ec.europa.eu/qr/2058716</v>
      </c>
      <c r="R537"/>
      <c r="S537" t="s">
        <v>2571</v>
      </c>
      <c r="T537">
        <v>0.67</v>
      </c>
      <c r="U537">
        <v>0.79</v>
      </c>
      <c r="V537">
        <v>0.9</v>
      </c>
      <c r="W537">
        <v>31.2</v>
      </c>
      <c r="X537">
        <v>6.1</v>
      </c>
      <c r="Y537">
        <v>31.1</v>
      </c>
    </row>
    <row r="538" spans="1:25" ht="60" customHeight="1" x14ac:dyDescent="0.25">
      <c r="A538"/>
      <c r="B538" t="s">
        <v>3</v>
      </c>
      <c r="C538" t="s">
        <v>3824</v>
      </c>
      <c r="D538" t="s">
        <v>606</v>
      </c>
      <c r="E538" t="s">
        <v>1074</v>
      </c>
      <c r="F538" t="s">
        <v>1075</v>
      </c>
      <c r="G538" t="s">
        <v>579</v>
      </c>
      <c r="H538" s="11">
        <v>201.43</v>
      </c>
      <c r="I538" s="10">
        <f>H538*(1-IFERROR(VLOOKUP(G538,Rabat!$C$9:$D$43,2,0),0))</f>
        <v>201.43</v>
      </c>
      <c r="J538" t="s">
        <v>1815</v>
      </c>
      <c r="K538" t="s">
        <v>496</v>
      </c>
      <c r="L538" t="s">
        <v>1813</v>
      </c>
      <c r="M538">
        <v>10</v>
      </c>
      <c r="N538"/>
      <c r="O538" t="s">
        <v>1819</v>
      </c>
      <c r="P538" s="12" t="str">
        <f>HYPERLINK("https://b2b.kobi.pl/pl/product/10042,plafon-z-czujnikiem-ruchu-led-nairos-g2-24w-3cct-lx-ip65-bialy-kobi-premium?currency=PLN")</f>
        <v>https://b2b.kobi.pl/pl/product/10042,plafon-z-czujnikiem-ruchu-led-nairos-g2-24w-3cct-lx-ip65-bialy-kobi-premium?currency=PLN</v>
      </c>
      <c r="Q538" s="12" t="str">
        <f>HYPERLINK("https://eprel.ec.europa.eu/qr/2058756")</f>
        <v>https://eprel.ec.europa.eu/qr/2058756</v>
      </c>
      <c r="R538"/>
      <c r="S538" t="s">
        <v>2571</v>
      </c>
      <c r="T538">
        <v>0.67</v>
      </c>
      <c r="U538">
        <v>0.79</v>
      </c>
      <c r="V538">
        <v>0.9</v>
      </c>
      <c r="W538">
        <v>6.1</v>
      </c>
      <c r="X538">
        <v>31.2</v>
      </c>
      <c r="Y538">
        <v>31.2</v>
      </c>
    </row>
    <row r="539" spans="1:25" ht="60" customHeight="1" x14ac:dyDescent="0.25">
      <c r="A539"/>
      <c r="B539" t="s">
        <v>3</v>
      </c>
      <c r="C539" t="s">
        <v>3824</v>
      </c>
      <c r="D539" t="s">
        <v>606</v>
      </c>
      <c r="E539" t="s">
        <v>1076</v>
      </c>
      <c r="F539" t="s">
        <v>1077</v>
      </c>
      <c r="G539" t="s">
        <v>579</v>
      </c>
      <c r="H539" s="11">
        <v>201.43</v>
      </c>
      <c r="I539" s="10">
        <f>H539*(1-IFERROR(VLOOKUP(G539,Rabat!$C$9:$D$43,2,0),0))</f>
        <v>201.43</v>
      </c>
      <c r="J539" t="s">
        <v>1815</v>
      </c>
      <c r="K539" t="s">
        <v>497</v>
      </c>
      <c r="L539" t="s">
        <v>1813</v>
      </c>
      <c r="M539">
        <v>10</v>
      </c>
      <c r="N539"/>
      <c r="O539" t="s">
        <v>1819</v>
      </c>
      <c r="P539" s="12" t="str">
        <f>HYPERLINK("https://b2b.kobi.pl/pl/product/10043,plafon-z-czujnikiem-ruchu-led-nairos-g2-24w-3cct-lx-ip65-czarny-kobi-premium?currency=PLN")</f>
        <v>https://b2b.kobi.pl/pl/product/10043,plafon-z-czujnikiem-ruchu-led-nairos-g2-24w-3cct-lx-ip65-czarny-kobi-premium?currency=PLN</v>
      </c>
      <c r="Q539" s="12" t="str">
        <f>HYPERLINK("https://eprel.ec.europa.eu/qr/2058756")</f>
        <v>https://eprel.ec.europa.eu/qr/2058756</v>
      </c>
      <c r="R539"/>
      <c r="S539" t="s">
        <v>2571</v>
      </c>
      <c r="T539">
        <v>0.67</v>
      </c>
      <c r="U539">
        <v>0.79</v>
      </c>
      <c r="V539">
        <v>0.9</v>
      </c>
      <c r="W539">
        <v>6.1</v>
      </c>
      <c r="X539">
        <v>31.2</v>
      </c>
      <c r="Y539">
        <v>31.2</v>
      </c>
    </row>
    <row r="540" spans="1:25" ht="60" customHeight="1" x14ac:dyDescent="0.25">
      <c r="A540"/>
      <c r="B540" t="s">
        <v>3</v>
      </c>
      <c r="C540" t="s">
        <v>3824</v>
      </c>
      <c r="D540" t="s">
        <v>606</v>
      </c>
      <c r="E540" t="s">
        <v>1078</v>
      </c>
      <c r="F540" t="s">
        <v>1079</v>
      </c>
      <c r="G540" t="s">
        <v>579</v>
      </c>
      <c r="H540" s="11">
        <v>270.08999999999997</v>
      </c>
      <c r="I540" s="10">
        <f>H540*(1-IFERROR(VLOOKUP(G540,Rabat!$C$9:$D$43,2,0),0))</f>
        <v>270.08999999999997</v>
      </c>
      <c r="J540" t="s">
        <v>1815</v>
      </c>
      <c r="K540" t="s">
        <v>498</v>
      </c>
      <c r="L540" t="s">
        <v>1813</v>
      </c>
      <c r="M540">
        <v>10</v>
      </c>
      <c r="N540"/>
      <c r="O540" t="s">
        <v>1819</v>
      </c>
      <c r="P540" s="12" t="str">
        <f>HYPERLINK("https://b2b.kobi.pl/pl/product/10044,plafon-z-czujnikiem-ruchu-led-nairos-g2-36w-3cct-lx-ip65-bialy-kobi-premium?currency=PLN")</f>
        <v>https://b2b.kobi.pl/pl/product/10044,plafon-z-czujnikiem-ruchu-led-nairos-g2-36w-3cct-lx-ip65-bialy-kobi-premium?currency=PLN</v>
      </c>
      <c r="Q540" s="12" t="str">
        <f>HYPERLINK("https://eprel.ec.europa.eu/qr/2058805")</f>
        <v>https://eprel.ec.europa.eu/qr/2058805</v>
      </c>
      <c r="R540"/>
      <c r="S540" t="s">
        <v>2571</v>
      </c>
      <c r="T540">
        <v>1.0900000000000001</v>
      </c>
      <c r="U540">
        <v>1.29</v>
      </c>
      <c r="V540">
        <v>1.35</v>
      </c>
      <c r="W540">
        <v>6.1</v>
      </c>
      <c r="X540">
        <v>31.2</v>
      </c>
      <c r="Y540">
        <v>0.85</v>
      </c>
    </row>
    <row r="541" spans="1:25" ht="60" customHeight="1" x14ac:dyDescent="0.25">
      <c r="A541"/>
      <c r="B541" t="s">
        <v>3</v>
      </c>
      <c r="C541" t="s">
        <v>3824</v>
      </c>
      <c r="D541" t="s">
        <v>606</v>
      </c>
      <c r="E541" t="s">
        <v>1137</v>
      </c>
      <c r="F541" t="s">
        <v>1138</v>
      </c>
      <c r="G541" t="s">
        <v>579</v>
      </c>
      <c r="H541" s="11">
        <v>80</v>
      </c>
      <c r="I541" s="10">
        <f>H541*(1-IFERROR(VLOOKUP(G541,Rabat!$C$9:$D$43,2,0),0))</f>
        <v>80</v>
      </c>
      <c r="J541" t="s">
        <v>1815</v>
      </c>
      <c r="K541" t="s">
        <v>245</v>
      </c>
      <c r="L541" t="s">
        <v>1813</v>
      </c>
      <c r="M541">
        <v>5</v>
      </c>
      <c r="N541">
        <v>120</v>
      </c>
      <c r="O541" t="s">
        <v>1819</v>
      </c>
      <c r="P541" s="12" t="str">
        <f>HYPERLINK("https://b2b.kobi.pl/pl/product/10201,plafon-z-czujnikiem-ruchu-led-sofi-13w-4000k-lx-kobi-premium?currency=PLN")</f>
        <v>https://b2b.kobi.pl/pl/product/10201,plafon-z-czujnikiem-ruchu-led-sofi-13w-4000k-lx-kobi-premium?currency=PLN</v>
      </c>
      <c r="Q541" s="12" t="str">
        <f>HYPERLINK("https://eprel.ec.europa.eu/qr/1998293")</f>
        <v>https://eprel.ec.europa.eu/qr/1998293</v>
      </c>
      <c r="R541"/>
      <c r="S541" t="s">
        <v>2571</v>
      </c>
      <c r="T541">
        <v>0.33</v>
      </c>
      <c r="U541">
        <v>0.39</v>
      </c>
      <c r="V541">
        <v>0.42899999999999999</v>
      </c>
      <c r="W541">
        <v>32.5</v>
      </c>
      <c r="X541">
        <v>8.5</v>
      </c>
      <c r="Y541">
        <v>32.799999999999997</v>
      </c>
    </row>
    <row r="542" spans="1:25" ht="60" customHeight="1" x14ac:dyDescent="0.25">
      <c r="A542"/>
      <c r="B542" t="s">
        <v>3</v>
      </c>
      <c r="C542" t="s">
        <v>3824</v>
      </c>
      <c r="D542" t="s">
        <v>618</v>
      </c>
      <c r="E542" t="s">
        <v>1194</v>
      </c>
      <c r="F542" t="s">
        <v>1195</v>
      </c>
      <c r="G542" t="s">
        <v>579</v>
      </c>
      <c r="H542" s="11">
        <v>67.5</v>
      </c>
      <c r="I542" s="10">
        <f>H542*(1-IFERROR(VLOOKUP(G542,Rabat!$C$9:$D$43,2,0),0))</f>
        <v>67.5</v>
      </c>
      <c r="J542" t="s">
        <v>1815</v>
      </c>
      <c r="K542" t="s">
        <v>173</v>
      </c>
      <c r="L542" t="s">
        <v>1813</v>
      </c>
      <c r="M542">
        <v>10</v>
      </c>
      <c r="N542">
        <v>80</v>
      </c>
      <c r="O542" t="s">
        <v>1818</v>
      </c>
      <c r="P542" s="12" t="str">
        <f>HYPERLINK("https://b2b.kobi.pl/pl/product/10279,plafon-romero-2xe27-chrom-kobi?currency=PLN")</f>
        <v>https://b2b.kobi.pl/pl/product/10279,plafon-romero-2xe27-chrom-kobi?currency=PLN</v>
      </c>
      <c r="Q542" t="s">
        <v>14</v>
      </c>
      <c r="R542"/>
      <c r="S542" t="s">
        <v>2605</v>
      </c>
      <c r="T542">
        <v>0.25</v>
      </c>
      <c r="U542">
        <v>0.64800000000000002</v>
      </c>
      <c r="V542">
        <v>0.82699999999999996</v>
      </c>
      <c r="W542">
        <v>35.299999999999997</v>
      </c>
      <c r="X542">
        <v>35</v>
      </c>
      <c r="Y542">
        <v>9.8000000000000007</v>
      </c>
    </row>
    <row r="543" spans="1:25" ht="60" customHeight="1" x14ac:dyDescent="0.25">
      <c r="A543"/>
      <c r="B543" t="s">
        <v>3</v>
      </c>
      <c r="C543" t="s">
        <v>3824</v>
      </c>
      <c r="D543" t="s">
        <v>618</v>
      </c>
      <c r="E543" t="s">
        <v>1199</v>
      </c>
      <c r="F543" t="s">
        <v>1200</v>
      </c>
      <c r="G543" t="s">
        <v>579</v>
      </c>
      <c r="H543" s="11">
        <v>72.510000000000005</v>
      </c>
      <c r="I543" s="10">
        <f>H543*(1-IFERROR(VLOOKUP(G543,Rabat!$C$9:$D$43,2,0),0))</f>
        <v>72.510000000000005</v>
      </c>
      <c r="J543" t="s">
        <v>1815</v>
      </c>
      <c r="K543" t="s">
        <v>174</v>
      </c>
      <c r="L543" t="s">
        <v>1813</v>
      </c>
      <c r="M543">
        <v>10</v>
      </c>
      <c r="N543">
        <v>80</v>
      </c>
      <c r="O543" t="s">
        <v>1818</v>
      </c>
      <c r="P543" s="12" t="str">
        <f>HYPERLINK("https://b2b.kobi.pl/pl/product/10281,plafon-romero-2xe27-czarna-kobi?currency=PLN")</f>
        <v>https://b2b.kobi.pl/pl/product/10281,plafon-romero-2xe27-czarna-kobi?currency=PLN</v>
      </c>
      <c r="Q543" t="s">
        <v>14</v>
      </c>
      <c r="R543" t="s">
        <v>1945</v>
      </c>
      <c r="S543" t="s">
        <v>2605</v>
      </c>
      <c r="T543">
        <v>0.25</v>
      </c>
      <c r="U543">
        <v>0.64800000000000002</v>
      </c>
      <c r="V543">
        <v>0.82299999999999995</v>
      </c>
      <c r="W543">
        <v>35</v>
      </c>
      <c r="X543">
        <v>34.4</v>
      </c>
      <c r="Y543">
        <v>11</v>
      </c>
    </row>
    <row r="544" spans="1:25" ht="60" customHeight="1" x14ac:dyDescent="0.25">
      <c r="A544"/>
      <c r="B544" t="s">
        <v>3</v>
      </c>
      <c r="C544" t="s">
        <v>3824</v>
      </c>
      <c r="D544" t="s">
        <v>618</v>
      </c>
      <c r="E544" t="s">
        <v>1203</v>
      </c>
      <c r="F544" t="s">
        <v>1204</v>
      </c>
      <c r="G544" t="s">
        <v>579</v>
      </c>
      <c r="H544" s="11">
        <v>102.33</v>
      </c>
      <c r="I544" s="10">
        <f>H544*(1-IFERROR(VLOOKUP(G544,Rabat!$C$9:$D$43,2,0),0))</f>
        <v>102.33</v>
      </c>
      <c r="J544" t="s">
        <v>1815</v>
      </c>
      <c r="K544" t="s">
        <v>176</v>
      </c>
      <c r="L544" t="s">
        <v>1813</v>
      </c>
      <c r="M544">
        <v>10</v>
      </c>
      <c r="N544">
        <v>80</v>
      </c>
      <c r="O544" t="s">
        <v>1818</v>
      </c>
      <c r="P544" s="12" t="str">
        <f>HYPERLINK("https://b2b.kobi.pl/pl/product/10288,plafon-samira-s-2xe27-chrom-kobi?currency=PLN")</f>
        <v>https://b2b.kobi.pl/pl/product/10288,plafon-samira-s-2xe27-chrom-kobi?currency=PLN</v>
      </c>
      <c r="Q544" t="s">
        <v>14</v>
      </c>
      <c r="R544"/>
      <c r="S544" t="s">
        <v>2605</v>
      </c>
      <c r="T544">
        <v>0.27</v>
      </c>
      <c r="U544">
        <v>0.69</v>
      </c>
      <c r="V544">
        <v>0.79300000000000004</v>
      </c>
      <c r="W544">
        <v>33.5</v>
      </c>
      <c r="X544">
        <v>33</v>
      </c>
      <c r="Y544">
        <v>8.9</v>
      </c>
    </row>
    <row r="545" spans="1:25" ht="60" customHeight="1" x14ac:dyDescent="0.25">
      <c r="A545"/>
      <c r="B545" t="s">
        <v>3</v>
      </c>
      <c r="C545" t="s">
        <v>3824</v>
      </c>
      <c r="D545" t="s">
        <v>618</v>
      </c>
      <c r="E545" t="s">
        <v>1205</v>
      </c>
      <c r="F545" t="s">
        <v>1206</v>
      </c>
      <c r="G545" t="s">
        <v>579</v>
      </c>
      <c r="H545" s="11">
        <v>102.23</v>
      </c>
      <c r="I545" s="10">
        <f>H545*(1-IFERROR(VLOOKUP(G545,Rabat!$C$9:$D$43,2,0),0))</f>
        <v>102.23</v>
      </c>
      <c r="J545" t="s">
        <v>1815</v>
      </c>
      <c r="K545" t="s">
        <v>177</v>
      </c>
      <c r="L545" t="s">
        <v>1813</v>
      </c>
      <c r="M545">
        <v>10</v>
      </c>
      <c r="N545">
        <v>80</v>
      </c>
      <c r="O545" t="s">
        <v>1818</v>
      </c>
      <c r="P545" s="12" t="str">
        <f>HYPERLINK("https://b2b.kobi.pl/pl/product/10289,plafon-samira-s-2xe27-czarny-kobi?currency=PLN")</f>
        <v>https://b2b.kobi.pl/pl/product/10289,plafon-samira-s-2xe27-czarny-kobi?currency=PLN</v>
      </c>
      <c r="Q545" t="s">
        <v>14</v>
      </c>
      <c r="R545" t="s">
        <v>1945</v>
      </c>
      <c r="S545" t="s">
        <v>2605</v>
      </c>
      <c r="T545">
        <v>0.27</v>
      </c>
      <c r="U545">
        <v>0.69</v>
      </c>
      <c r="V545">
        <v>0.83599999999999997</v>
      </c>
      <c r="W545">
        <v>33.9</v>
      </c>
      <c r="X545">
        <v>33</v>
      </c>
      <c r="Y545">
        <v>8.5</v>
      </c>
    </row>
    <row r="546" spans="1:25" ht="60" customHeight="1" x14ac:dyDescent="0.25">
      <c r="A546"/>
      <c r="B546" t="s">
        <v>3</v>
      </c>
      <c r="C546" t="s">
        <v>3824</v>
      </c>
      <c r="D546" t="s">
        <v>618</v>
      </c>
      <c r="E546" t="s">
        <v>1201</v>
      </c>
      <c r="F546" t="s">
        <v>1202</v>
      </c>
      <c r="G546" t="s">
        <v>579</v>
      </c>
      <c r="H546" s="11">
        <v>128.9</v>
      </c>
      <c r="I546" s="10">
        <f>H546*(1-IFERROR(VLOOKUP(G546,Rabat!$C$9:$D$43,2,0),0))</f>
        <v>128.9</v>
      </c>
      <c r="J546" t="s">
        <v>1815</v>
      </c>
      <c r="K546" t="s">
        <v>175</v>
      </c>
      <c r="L546" t="s">
        <v>1813</v>
      </c>
      <c r="M546">
        <v>5</v>
      </c>
      <c r="N546">
        <v>40</v>
      </c>
      <c r="O546" t="s">
        <v>1818</v>
      </c>
      <c r="P546" s="12" t="str">
        <f>HYPERLINK("https://b2b.kobi.pl/pl/product/10286,plafon-samira-b-2xe27-chrom-kobi?currency=PLN")</f>
        <v>https://b2b.kobi.pl/pl/product/10286,plafon-samira-b-2xe27-chrom-kobi?currency=PLN</v>
      </c>
      <c r="Q546" t="s">
        <v>14</v>
      </c>
      <c r="R546"/>
      <c r="S546" t="s">
        <v>2605</v>
      </c>
      <c r="T546">
        <v>0.49</v>
      </c>
      <c r="U546">
        <v>1.244</v>
      </c>
      <c r="V546">
        <v>2.0910000000000002</v>
      </c>
      <c r="W546">
        <v>33.4</v>
      </c>
      <c r="X546">
        <v>33</v>
      </c>
      <c r="Y546">
        <v>8.8000000000000007</v>
      </c>
    </row>
    <row r="547" spans="1:25" ht="60" customHeight="1" x14ac:dyDescent="0.25">
      <c r="A547"/>
      <c r="B547" t="s">
        <v>3</v>
      </c>
      <c r="C547" t="s">
        <v>3824</v>
      </c>
      <c r="D547" t="s">
        <v>606</v>
      </c>
      <c r="E547" t="s">
        <v>3827</v>
      </c>
      <c r="F547" t="s">
        <v>2282</v>
      </c>
      <c r="G547" t="s">
        <v>579</v>
      </c>
      <c r="H547" s="11">
        <v>88.43</v>
      </c>
      <c r="I547" s="10">
        <f>H547*(1-IFERROR(VLOOKUP(G547,Rabat!$C$9:$D$43,2,0),0))</f>
        <v>88.43</v>
      </c>
      <c r="J547" t="s">
        <v>1815</v>
      </c>
      <c r="K547" t="s">
        <v>2395</v>
      </c>
      <c r="L547" t="s">
        <v>1813</v>
      </c>
      <c r="M547">
        <v>12</v>
      </c>
      <c r="N547">
        <v>672</v>
      </c>
      <c r="O547" t="s">
        <v>1819</v>
      </c>
      <c r="P547" s="12" t="str">
        <f>HYPERLINK("https://b2b.kobi.pl/pl/product/12586,plafon-elewacyjny-led-bavano-15w-3cct-lx-ip54-czarny-kobi-premium?currency=PLN")</f>
        <v>https://b2b.kobi.pl/pl/product/12586,plafon-elewacyjny-led-bavano-15w-3cct-lx-ip54-czarny-kobi-premium?currency=PLN</v>
      </c>
      <c r="Q547" s="12" t="str">
        <f>HYPERLINK("https://eprel.ec.europa.eu/qr/2365984")</f>
        <v>https://eprel.ec.europa.eu/qr/2365984</v>
      </c>
      <c r="R547"/>
      <c r="S547" t="s">
        <v>2571</v>
      </c>
      <c r="T547">
        <v>0.25</v>
      </c>
      <c r="U547">
        <v>0.29499999999999998</v>
      </c>
      <c r="V547">
        <v>0.36299999999999999</v>
      </c>
      <c r="W547">
        <v>12.5</v>
      </c>
      <c r="X547">
        <v>5.5</v>
      </c>
      <c r="Y547">
        <v>20.2</v>
      </c>
    </row>
    <row r="548" spans="1:25" ht="60" customHeight="1" x14ac:dyDescent="0.25">
      <c r="A548"/>
      <c r="B548" t="s">
        <v>3</v>
      </c>
      <c r="C548" t="s">
        <v>3824</v>
      </c>
      <c r="D548" t="s">
        <v>606</v>
      </c>
      <c r="E548" t="s">
        <v>2283</v>
      </c>
      <c r="F548" t="s">
        <v>2284</v>
      </c>
      <c r="G548" t="s">
        <v>579</v>
      </c>
      <c r="H548" s="11">
        <v>66.39</v>
      </c>
      <c r="I548" s="10">
        <f>H548*(1-IFERROR(VLOOKUP(G548,Rabat!$C$9:$D$43,2,0),0))</f>
        <v>66.39</v>
      </c>
      <c r="J548" t="s">
        <v>1815</v>
      </c>
      <c r="K548" t="s">
        <v>2396</v>
      </c>
      <c r="L548" t="s">
        <v>1813</v>
      </c>
      <c r="M548">
        <v>20</v>
      </c>
      <c r="N548">
        <v>480</v>
      </c>
      <c r="O548" t="s">
        <v>1819</v>
      </c>
      <c r="P548" s="12" t="str">
        <f>HYPERLINK("https://b2b.kobi.pl/pl/product/12530,plafon-led-nivera-circle-12w-3cct-ip54-bialy-kobi-premium?currency=PLN")</f>
        <v>https://b2b.kobi.pl/pl/product/12530,plafon-led-nivera-circle-12w-3cct-ip54-bialy-kobi-premium?currency=PLN</v>
      </c>
      <c r="Q548" s="12" t="str">
        <f>HYPERLINK("https://eprel.ec.europa.eu/qr/2337445")</f>
        <v>https://eprel.ec.europa.eu/qr/2337445</v>
      </c>
      <c r="R548"/>
      <c r="S548" t="s">
        <v>2571</v>
      </c>
      <c r="T548">
        <v>0.35</v>
      </c>
      <c r="U548">
        <v>0.41</v>
      </c>
      <c r="V548">
        <v>0.51</v>
      </c>
      <c r="W548">
        <v>23.5</v>
      </c>
      <c r="X548">
        <v>23.5</v>
      </c>
      <c r="Y548">
        <v>3.3</v>
      </c>
    </row>
    <row r="549" spans="1:25" ht="60" customHeight="1" x14ac:dyDescent="0.25">
      <c r="A549"/>
      <c r="B549" t="s">
        <v>3</v>
      </c>
      <c r="C549" t="s">
        <v>3824</v>
      </c>
      <c r="D549" t="s">
        <v>606</v>
      </c>
      <c r="E549" t="s">
        <v>2285</v>
      </c>
      <c r="F549" t="s">
        <v>2286</v>
      </c>
      <c r="G549" t="s">
        <v>579</v>
      </c>
      <c r="H549" s="11">
        <v>66.39</v>
      </c>
      <c r="I549" s="10">
        <f>H549*(1-IFERROR(VLOOKUP(G549,Rabat!$C$9:$D$43,2,0),0))</f>
        <v>66.39</v>
      </c>
      <c r="J549" t="s">
        <v>1815</v>
      </c>
      <c r="K549" t="s">
        <v>2397</v>
      </c>
      <c r="L549" t="s">
        <v>1813</v>
      </c>
      <c r="M549">
        <v>20</v>
      </c>
      <c r="N549">
        <v>480</v>
      </c>
      <c r="O549" t="s">
        <v>1819</v>
      </c>
      <c r="P549" s="12" t="str">
        <f>HYPERLINK("https://b2b.kobi.pl/pl/product/12531,plafon-led-nivera-circle-12w-3cct-ip54-czarny-kobi-premium?currency=PLN")</f>
        <v>https://b2b.kobi.pl/pl/product/12531,plafon-led-nivera-circle-12w-3cct-ip54-czarny-kobi-premium?currency=PLN</v>
      </c>
      <c r="Q549" s="12" t="str">
        <f>HYPERLINK("https://eprel.ec.europa.eu/qr/2337445")</f>
        <v>https://eprel.ec.europa.eu/qr/2337445</v>
      </c>
      <c r="R549"/>
      <c r="S549" t="s">
        <v>2571</v>
      </c>
      <c r="T549">
        <v>0.35</v>
      </c>
      <c r="U549">
        <v>0.41</v>
      </c>
      <c r="V549">
        <v>0.51</v>
      </c>
      <c r="W549">
        <v>23.5</v>
      </c>
      <c r="X549">
        <v>23.5</v>
      </c>
      <c r="Y549">
        <v>3.3</v>
      </c>
    </row>
    <row r="550" spans="1:25" ht="60" customHeight="1" x14ac:dyDescent="0.25">
      <c r="A550"/>
      <c r="B550" t="s">
        <v>3</v>
      </c>
      <c r="C550" t="s">
        <v>3824</v>
      </c>
      <c r="D550" t="s">
        <v>606</v>
      </c>
      <c r="E550" t="s">
        <v>2287</v>
      </c>
      <c r="F550" t="s">
        <v>2288</v>
      </c>
      <c r="G550" t="s">
        <v>579</v>
      </c>
      <c r="H550" s="11">
        <v>102.63</v>
      </c>
      <c r="I550" s="10">
        <f>H550*(1-IFERROR(VLOOKUP(G550,Rabat!$C$9:$D$43,2,0),0))</f>
        <v>102.63</v>
      </c>
      <c r="J550" t="s">
        <v>1815</v>
      </c>
      <c r="K550" t="s">
        <v>2398</v>
      </c>
      <c r="L550" t="s">
        <v>1813</v>
      </c>
      <c r="M550">
        <v>20</v>
      </c>
      <c r="N550">
        <v>480</v>
      </c>
      <c r="O550" t="s">
        <v>1819</v>
      </c>
      <c r="P550" s="12" t="str">
        <f>HYPERLINK("https://b2b.kobi.pl/pl/product/12546,plafon-led-nivera-circle-12w-3cct-lx-ip54-bialy-kobi-premium?currency=PLN")</f>
        <v>https://b2b.kobi.pl/pl/product/12546,plafon-led-nivera-circle-12w-3cct-lx-ip54-bialy-kobi-premium?currency=PLN</v>
      </c>
      <c r="Q550" s="12" t="str">
        <f>HYPERLINK("https://eprel.ec.europa.eu/qr/2337445")</f>
        <v>https://eprel.ec.europa.eu/qr/2337445</v>
      </c>
      <c r="R550"/>
      <c r="S550" t="s">
        <v>2571</v>
      </c>
      <c r="T550">
        <v>0.36</v>
      </c>
      <c r="U550">
        <v>0.43</v>
      </c>
      <c r="V550">
        <v>0.51</v>
      </c>
      <c r="W550">
        <v>23.5</v>
      </c>
      <c r="X550">
        <v>23.5</v>
      </c>
      <c r="Y550">
        <v>3.3</v>
      </c>
    </row>
    <row r="551" spans="1:25" ht="60" customHeight="1" x14ac:dyDescent="0.25">
      <c r="A551"/>
      <c r="B551" t="s">
        <v>3</v>
      </c>
      <c r="C551" t="s">
        <v>3824</v>
      </c>
      <c r="D551" t="s">
        <v>606</v>
      </c>
      <c r="E551" t="s">
        <v>2289</v>
      </c>
      <c r="F551" t="s">
        <v>2290</v>
      </c>
      <c r="G551" t="s">
        <v>579</v>
      </c>
      <c r="H551" s="11">
        <v>102.63</v>
      </c>
      <c r="I551" s="10">
        <f>H551*(1-IFERROR(VLOOKUP(G551,Rabat!$C$9:$D$43,2,0),0))</f>
        <v>102.63</v>
      </c>
      <c r="J551" t="s">
        <v>1815</v>
      </c>
      <c r="K551" t="s">
        <v>2399</v>
      </c>
      <c r="L551" t="s">
        <v>1813</v>
      </c>
      <c r="M551">
        <v>20</v>
      </c>
      <c r="N551">
        <v>480</v>
      </c>
      <c r="O551" t="s">
        <v>1819</v>
      </c>
      <c r="P551" s="12" t="str">
        <f>HYPERLINK("https://b2b.kobi.pl/pl/product/12547,plafon-led-nivera-circle-12w-3cct-lx-ip54-czarny-kobi-premium?currency=PLN")</f>
        <v>https://b2b.kobi.pl/pl/product/12547,plafon-led-nivera-circle-12w-3cct-lx-ip54-czarny-kobi-premium?currency=PLN</v>
      </c>
      <c r="Q551" s="12" t="str">
        <f>HYPERLINK("https://eprel.ec.europa.eu/qr/2337445")</f>
        <v>https://eprel.ec.europa.eu/qr/2337445</v>
      </c>
      <c r="R551"/>
      <c r="S551" t="s">
        <v>2571</v>
      </c>
      <c r="T551">
        <v>0.36</v>
      </c>
      <c r="U551">
        <v>0.43</v>
      </c>
      <c r="V551">
        <v>0.51</v>
      </c>
      <c r="W551">
        <v>23.5</v>
      </c>
      <c r="X551">
        <v>23.5</v>
      </c>
      <c r="Y551">
        <v>3.3</v>
      </c>
    </row>
    <row r="552" spans="1:25" ht="60" customHeight="1" x14ac:dyDescent="0.25">
      <c r="A552"/>
      <c r="B552" t="s">
        <v>3</v>
      </c>
      <c r="C552" t="s">
        <v>3824</v>
      </c>
      <c r="D552" t="s">
        <v>606</v>
      </c>
      <c r="E552" t="s">
        <v>2291</v>
      </c>
      <c r="F552" t="s">
        <v>2292</v>
      </c>
      <c r="G552" t="s">
        <v>579</v>
      </c>
      <c r="H552" s="11">
        <v>85.17</v>
      </c>
      <c r="I552" s="10">
        <f>H552*(1-IFERROR(VLOOKUP(G552,Rabat!$C$9:$D$43,2,0),0))</f>
        <v>85.17</v>
      </c>
      <c r="J552" t="s">
        <v>1815</v>
      </c>
      <c r="K552" t="s">
        <v>2400</v>
      </c>
      <c r="L552" t="s">
        <v>1813</v>
      </c>
      <c r="M552">
        <v>20</v>
      </c>
      <c r="N552">
        <v>400</v>
      </c>
      <c r="O552" t="s">
        <v>1819</v>
      </c>
      <c r="P552" s="12" t="str">
        <f>HYPERLINK("https://b2b.kobi.pl/pl/product/12532,plafon-led-nivera-circle-18w-3cct-ip54-bialy-kobi-premium?currency=PLN")</f>
        <v>https://b2b.kobi.pl/pl/product/12532,plafon-led-nivera-circle-18w-3cct-ip54-bialy-kobi-premium?currency=PLN</v>
      </c>
      <c r="Q552" s="12" t="str">
        <f>HYPERLINK("https://eprel.ec.europa.eu/qr/2338712")</f>
        <v>https://eprel.ec.europa.eu/qr/2338712</v>
      </c>
      <c r="R552"/>
      <c r="S552" t="s">
        <v>2571</v>
      </c>
      <c r="T552">
        <v>0.55000000000000004</v>
      </c>
      <c r="U552">
        <v>0.65</v>
      </c>
      <c r="V552">
        <v>0.8</v>
      </c>
      <c r="W552">
        <v>31</v>
      </c>
      <c r="X552">
        <v>31</v>
      </c>
      <c r="Y552">
        <v>3.3</v>
      </c>
    </row>
    <row r="553" spans="1:25" ht="60" customHeight="1" x14ac:dyDescent="0.25">
      <c r="A553"/>
      <c r="B553" t="s">
        <v>3</v>
      </c>
      <c r="C553" t="s">
        <v>3824</v>
      </c>
      <c r="D553" t="s">
        <v>606</v>
      </c>
      <c r="E553" t="s">
        <v>2293</v>
      </c>
      <c r="F553" t="s">
        <v>2294</v>
      </c>
      <c r="G553" t="s">
        <v>579</v>
      </c>
      <c r="H553" s="11">
        <v>85.17</v>
      </c>
      <c r="I553" s="10">
        <f>H553*(1-IFERROR(VLOOKUP(G553,Rabat!$C$9:$D$43,2,0),0))</f>
        <v>85.17</v>
      </c>
      <c r="J553" t="s">
        <v>1815</v>
      </c>
      <c r="K553" t="s">
        <v>2401</v>
      </c>
      <c r="L553" t="s">
        <v>1813</v>
      </c>
      <c r="M553">
        <v>20</v>
      </c>
      <c r="N553">
        <v>400</v>
      </c>
      <c r="O553" t="s">
        <v>1819</v>
      </c>
      <c r="P553" s="12" t="str">
        <f>HYPERLINK("https://b2b.kobi.pl/pl/product/12533,plafon-led-nivera-circle-18w-3cct-ip54-czarny-kobi-premium?currency=PLN")</f>
        <v>https://b2b.kobi.pl/pl/product/12533,plafon-led-nivera-circle-18w-3cct-ip54-czarny-kobi-premium?currency=PLN</v>
      </c>
      <c r="Q553" s="12" t="str">
        <f>HYPERLINK("https://eprel.ec.europa.eu/qr/2338712")</f>
        <v>https://eprel.ec.europa.eu/qr/2338712</v>
      </c>
      <c r="R553"/>
      <c r="S553" t="s">
        <v>2571</v>
      </c>
      <c r="T553">
        <v>0.55000000000000004</v>
      </c>
      <c r="U553">
        <v>0.65</v>
      </c>
      <c r="V553">
        <v>0.8</v>
      </c>
      <c r="W553">
        <v>31</v>
      </c>
      <c r="X553">
        <v>31</v>
      </c>
      <c r="Y553">
        <v>3.3</v>
      </c>
    </row>
    <row r="554" spans="1:25" ht="60" customHeight="1" x14ac:dyDescent="0.25">
      <c r="A554"/>
      <c r="B554" t="s">
        <v>3</v>
      </c>
      <c r="C554" t="s">
        <v>3824</v>
      </c>
      <c r="D554" t="s">
        <v>606</v>
      </c>
      <c r="E554" t="s">
        <v>2295</v>
      </c>
      <c r="F554" t="s">
        <v>2296</v>
      </c>
      <c r="G554" t="s">
        <v>579</v>
      </c>
      <c r="H554" s="11">
        <v>122.48</v>
      </c>
      <c r="I554" s="10">
        <f>H554*(1-IFERROR(VLOOKUP(G554,Rabat!$C$9:$D$43,2,0),0))</f>
        <v>122.48</v>
      </c>
      <c r="J554" t="s">
        <v>1815</v>
      </c>
      <c r="K554" t="s">
        <v>2402</v>
      </c>
      <c r="L554" t="s">
        <v>1813</v>
      </c>
      <c r="M554">
        <v>20</v>
      </c>
      <c r="N554">
        <v>400</v>
      </c>
      <c r="O554" t="s">
        <v>1819</v>
      </c>
      <c r="P554" s="12" t="str">
        <f>HYPERLINK("https://b2b.kobi.pl/pl/product/12548,plafon-led-nivera-circle-18w-3cct-lx-ip54-bialy-kobi-premium?currency=PLN")</f>
        <v>https://b2b.kobi.pl/pl/product/12548,plafon-led-nivera-circle-18w-3cct-lx-ip54-bialy-kobi-premium?currency=PLN</v>
      </c>
      <c r="Q554" s="12" t="str">
        <f>HYPERLINK("https://eprel.ec.europa.eu/qr/2338712")</f>
        <v>https://eprel.ec.europa.eu/qr/2338712</v>
      </c>
      <c r="R554"/>
      <c r="S554" t="s">
        <v>2571</v>
      </c>
      <c r="T554">
        <v>0.56999999999999995</v>
      </c>
      <c r="U554">
        <v>0.67</v>
      </c>
      <c r="V554">
        <v>0.8</v>
      </c>
      <c r="W554">
        <v>31</v>
      </c>
      <c r="X554">
        <v>31</v>
      </c>
      <c r="Y554">
        <v>3.3</v>
      </c>
    </row>
    <row r="555" spans="1:25" ht="60" customHeight="1" x14ac:dyDescent="0.25">
      <c r="A555"/>
      <c r="B555" t="s">
        <v>3</v>
      </c>
      <c r="C555" t="s">
        <v>3824</v>
      </c>
      <c r="D555" t="s">
        <v>606</v>
      </c>
      <c r="E555" t="s">
        <v>2297</v>
      </c>
      <c r="F555" t="s">
        <v>2298</v>
      </c>
      <c r="G555" t="s">
        <v>579</v>
      </c>
      <c r="H555" s="11">
        <v>122.48</v>
      </c>
      <c r="I555" s="10">
        <f>H555*(1-IFERROR(VLOOKUP(G555,Rabat!$C$9:$D$43,2,0),0))</f>
        <v>122.48</v>
      </c>
      <c r="J555" t="s">
        <v>1815</v>
      </c>
      <c r="K555" t="s">
        <v>2403</v>
      </c>
      <c r="L555" t="s">
        <v>1813</v>
      </c>
      <c r="M555">
        <v>20</v>
      </c>
      <c r="N555">
        <v>400</v>
      </c>
      <c r="O555" t="s">
        <v>1819</v>
      </c>
      <c r="P555" s="12" t="str">
        <f>HYPERLINK("https://b2b.kobi.pl/pl/product/12549,plafon-led-nivera-circle-18w-3cct-lx-ip54-czarny-kobi-premium?currency=PLN")</f>
        <v>https://b2b.kobi.pl/pl/product/12549,plafon-led-nivera-circle-18w-3cct-lx-ip54-czarny-kobi-premium?currency=PLN</v>
      </c>
      <c r="Q555" s="12" t="str">
        <f>HYPERLINK("https://eprel.ec.europa.eu/qr/2338712")</f>
        <v>https://eprel.ec.europa.eu/qr/2338712</v>
      </c>
      <c r="R555"/>
      <c r="S555" t="s">
        <v>2571</v>
      </c>
      <c r="T555">
        <v>0.56999999999999995</v>
      </c>
      <c r="U555">
        <v>0.67</v>
      </c>
      <c r="V555">
        <v>0.8</v>
      </c>
      <c r="W555">
        <v>31</v>
      </c>
      <c r="X555">
        <v>31</v>
      </c>
      <c r="Y555">
        <v>3.3</v>
      </c>
    </row>
    <row r="556" spans="1:25" ht="60" customHeight="1" x14ac:dyDescent="0.25">
      <c r="A556"/>
      <c r="B556" t="s">
        <v>3</v>
      </c>
      <c r="C556" t="s">
        <v>3824</v>
      </c>
      <c r="D556" t="s">
        <v>606</v>
      </c>
      <c r="E556" t="s">
        <v>2299</v>
      </c>
      <c r="F556" t="s">
        <v>2300</v>
      </c>
      <c r="G556" t="s">
        <v>579</v>
      </c>
      <c r="H556" s="11">
        <v>93.1</v>
      </c>
      <c r="I556" s="10">
        <f>H556*(1-IFERROR(VLOOKUP(G556,Rabat!$C$9:$D$43,2,0),0))</f>
        <v>93.1</v>
      </c>
      <c r="J556" t="s">
        <v>1815</v>
      </c>
      <c r="K556" t="s">
        <v>2404</v>
      </c>
      <c r="L556" t="s">
        <v>1813</v>
      </c>
      <c r="M556">
        <v>20</v>
      </c>
      <c r="N556">
        <v>400</v>
      </c>
      <c r="O556" t="s">
        <v>1819</v>
      </c>
      <c r="P556" s="12" t="str">
        <f>HYPERLINK("https://b2b.kobi.pl/pl/product/12534,plafon-led-nivera-circle-24w-3cct-ip54-bialy-kobi-premium?currency=PLN")</f>
        <v>https://b2b.kobi.pl/pl/product/12534,plafon-led-nivera-circle-24w-3cct-ip54-bialy-kobi-premium?currency=PLN</v>
      </c>
      <c r="Q556" s="12" t="str">
        <f>HYPERLINK("https://eprel.ec.europa.eu/qr/2338798")</f>
        <v>https://eprel.ec.europa.eu/qr/2338798</v>
      </c>
      <c r="R556"/>
      <c r="S556" t="s">
        <v>2571</v>
      </c>
      <c r="T556">
        <v>0.56000000000000005</v>
      </c>
      <c r="U556">
        <v>0.66</v>
      </c>
      <c r="V556">
        <v>0.8</v>
      </c>
      <c r="W556">
        <v>31</v>
      </c>
      <c r="X556">
        <v>31</v>
      </c>
      <c r="Y556">
        <v>3.3</v>
      </c>
    </row>
    <row r="557" spans="1:25" ht="60" customHeight="1" x14ac:dyDescent="0.25">
      <c r="A557"/>
      <c r="B557" t="s">
        <v>3</v>
      </c>
      <c r="C557" t="s">
        <v>3824</v>
      </c>
      <c r="D557" t="s">
        <v>606</v>
      </c>
      <c r="E557" t="s">
        <v>2301</v>
      </c>
      <c r="F557" t="s">
        <v>2302</v>
      </c>
      <c r="G557" t="s">
        <v>579</v>
      </c>
      <c r="H557" s="11">
        <v>93.1</v>
      </c>
      <c r="I557" s="10">
        <f>H557*(1-IFERROR(VLOOKUP(G557,Rabat!$C$9:$D$43,2,0),0))</f>
        <v>93.1</v>
      </c>
      <c r="J557" t="s">
        <v>1815</v>
      </c>
      <c r="K557" t="s">
        <v>2405</v>
      </c>
      <c r="L557" t="s">
        <v>1813</v>
      </c>
      <c r="M557">
        <v>20</v>
      </c>
      <c r="N557">
        <v>400</v>
      </c>
      <c r="O557" t="s">
        <v>1819</v>
      </c>
      <c r="P557" s="12" t="str">
        <f>HYPERLINK("https://b2b.kobi.pl/pl/product/12535,plafon-led-nivera-circle-24w-3cct-ip54-czarny-kobi-premium?currency=PLN")</f>
        <v>https://b2b.kobi.pl/pl/product/12535,plafon-led-nivera-circle-24w-3cct-ip54-czarny-kobi-premium?currency=PLN</v>
      </c>
      <c r="Q557" s="12" t="str">
        <f>HYPERLINK("https://eprel.ec.europa.eu/qr/2338798")</f>
        <v>https://eprel.ec.europa.eu/qr/2338798</v>
      </c>
      <c r="R557"/>
      <c r="S557" t="s">
        <v>2571</v>
      </c>
      <c r="T557">
        <v>0.56000000000000005</v>
      </c>
      <c r="U557">
        <v>0.66</v>
      </c>
      <c r="V557">
        <v>0.8</v>
      </c>
      <c r="W557">
        <v>31</v>
      </c>
      <c r="X557">
        <v>31</v>
      </c>
      <c r="Y557">
        <v>3.3</v>
      </c>
    </row>
    <row r="558" spans="1:25" ht="60" customHeight="1" x14ac:dyDescent="0.25">
      <c r="A558"/>
      <c r="B558" t="s">
        <v>3</v>
      </c>
      <c r="C558" t="s">
        <v>3824</v>
      </c>
      <c r="D558" t="s">
        <v>606</v>
      </c>
      <c r="E558" t="s">
        <v>2303</v>
      </c>
      <c r="F558" t="s">
        <v>2304</v>
      </c>
      <c r="G558" t="s">
        <v>579</v>
      </c>
      <c r="H558" s="11">
        <v>128.1</v>
      </c>
      <c r="I558" s="10">
        <f>H558*(1-IFERROR(VLOOKUP(G558,Rabat!$C$9:$D$43,2,0),0))</f>
        <v>128.1</v>
      </c>
      <c r="J558" t="s">
        <v>1815</v>
      </c>
      <c r="K558" t="s">
        <v>2406</v>
      </c>
      <c r="L558" t="s">
        <v>1813</v>
      </c>
      <c r="M558">
        <v>20</v>
      </c>
      <c r="N558">
        <v>400</v>
      </c>
      <c r="O558" t="s">
        <v>1819</v>
      </c>
      <c r="P558" s="12" t="str">
        <f>HYPERLINK("https://b2b.kobi.pl/pl/product/12550,plafon-led-nivera-circle-24w-3cct-lx-ip54-bialy-kobi-premium?currency=PLN")</f>
        <v>https://b2b.kobi.pl/pl/product/12550,plafon-led-nivera-circle-24w-3cct-lx-ip54-bialy-kobi-premium?currency=PLN</v>
      </c>
      <c r="Q558" s="12" t="str">
        <f>HYPERLINK("https://eprel.ec.europa.eu/qr/2338798")</f>
        <v>https://eprel.ec.europa.eu/qr/2338798</v>
      </c>
      <c r="R558"/>
      <c r="S558" t="s">
        <v>2571</v>
      </c>
      <c r="T558">
        <v>0.56999999999999995</v>
      </c>
      <c r="U558">
        <v>0.68</v>
      </c>
      <c r="V558">
        <v>0.8</v>
      </c>
      <c r="W558">
        <v>31</v>
      </c>
      <c r="X558">
        <v>31</v>
      </c>
      <c r="Y558">
        <v>3.3</v>
      </c>
    </row>
    <row r="559" spans="1:25" ht="60" customHeight="1" x14ac:dyDescent="0.25">
      <c r="A559"/>
      <c r="B559" t="s">
        <v>3</v>
      </c>
      <c r="C559" t="s">
        <v>3824</v>
      </c>
      <c r="D559" t="s">
        <v>606</v>
      </c>
      <c r="E559" t="s">
        <v>2305</v>
      </c>
      <c r="F559" t="s">
        <v>2306</v>
      </c>
      <c r="G559" t="s">
        <v>579</v>
      </c>
      <c r="H559" s="11">
        <v>128.1</v>
      </c>
      <c r="I559" s="10">
        <f>H559*(1-IFERROR(VLOOKUP(G559,Rabat!$C$9:$D$43,2,0),0))</f>
        <v>128.1</v>
      </c>
      <c r="J559" t="s">
        <v>1815</v>
      </c>
      <c r="K559" t="s">
        <v>2407</v>
      </c>
      <c r="L559" t="s">
        <v>1813</v>
      </c>
      <c r="M559">
        <v>20</v>
      </c>
      <c r="N559">
        <v>400</v>
      </c>
      <c r="O559" t="s">
        <v>1819</v>
      </c>
      <c r="P559" s="12" t="str">
        <f>HYPERLINK("https://b2b.kobi.pl/pl/product/12551,plafon-led-nivera-circle-24w-3cct-lx-ip54-czarny-kobi-premium?currency=PLN")</f>
        <v>https://b2b.kobi.pl/pl/product/12551,plafon-led-nivera-circle-24w-3cct-lx-ip54-czarny-kobi-premium?currency=PLN</v>
      </c>
      <c r="Q559" s="12" t="str">
        <f>HYPERLINK("https://eprel.ec.europa.eu/qr/2338798")</f>
        <v>https://eprel.ec.europa.eu/qr/2338798</v>
      </c>
      <c r="R559"/>
      <c r="S559" t="s">
        <v>2571</v>
      </c>
      <c r="T559">
        <v>0.56999999999999995</v>
      </c>
      <c r="U559">
        <v>0.68</v>
      </c>
      <c r="V559">
        <v>0.8</v>
      </c>
      <c r="W559">
        <v>31</v>
      </c>
      <c r="X559">
        <v>31</v>
      </c>
      <c r="Y559">
        <v>3.3</v>
      </c>
    </row>
    <row r="560" spans="1:25" ht="60" customHeight="1" x14ac:dyDescent="0.25">
      <c r="A560"/>
      <c r="B560" t="s">
        <v>3</v>
      </c>
      <c r="C560" t="s">
        <v>3824</v>
      </c>
      <c r="D560" t="s">
        <v>606</v>
      </c>
      <c r="E560" t="s">
        <v>2307</v>
      </c>
      <c r="F560" t="s">
        <v>2308</v>
      </c>
      <c r="G560" t="s">
        <v>579</v>
      </c>
      <c r="H560" s="11">
        <v>151.80000000000001</v>
      </c>
      <c r="I560" s="10">
        <f>H560*(1-IFERROR(VLOOKUP(G560,Rabat!$C$9:$D$43,2,0),0))</f>
        <v>151.80000000000001</v>
      </c>
      <c r="J560" t="s">
        <v>1815</v>
      </c>
      <c r="K560" t="s">
        <v>2408</v>
      </c>
      <c r="L560" t="s">
        <v>1813</v>
      </c>
      <c r="M560">
        <v>10</v>
      </c>
      <c r="N560">
        <v>160</v>
      </c>
      <c r="O560" t="s">
        <v>1819</v>
      </c>
      <c r="P560" s="12" t="str">
        <f>HYPERLINK("https://b2b.kobi.pl/pl/product/12536,plafon-led-nivera-circle-32w-3cct-ip54-bialy-kobi-premium?currency=PLN")</f>
        <v>https://b2b.kobi.pl/pl/product/12536,plafon-led-nivera-circle-32w-3cct-ip54-bialy-kobi-premium?currency=PLN</v>
      </c>
      <c r="Q560" s="12" t="str">
        <f>HYPERLINK("https://eprel.ec.europa.eu/qr/2338842")</f>
        <v>https://eprel.ec.europa.eu/qr/2338842</v>
      </c>
      <c r="R560"/>
      <c r="S560" t="s">
        <v>2571</v>
      </c>
      <c r="T560">
        <v>0.93</v>
      </c>
      <c r="U560">
        <v>1.1000000000000001</v>
      </c>
      <c r="V560">
        <v>1.35</v>
      </c>
      <c r="W560">
        <v>42.8</v>
      </c>
      <c r="X560">
        <v>42.8</v>
      </c>
      <c r="Y560">
        <v>3.3</v>
      </c>
    </row>
    <row r="561" spans="1:25" ht="60" customHeight="1" x14ac:dyDescent="0.25">
      <c r="A561"/>
      <c r="B561" t="s">
        <v>3</v>
      </c>
      <c r="C561" t="s">
        <v>3824</v>
      </c>
      <c r="D561" t="s">
        <v>606</v>
      </c>
      <c r="E561" t="s">
        <v>2309</v>
      </c>
      <c r="F561" t="s">
        <v>2310</v>
      </c>
      <c r="G561" t="s">
        <v>579</v>
      </c>
      <c r="H561" s="11">
        <v>151.80000000000001</v>
      </c>
      <c r="I561" s="10">
        <f>H561*(1-IFERROR(VLOOKUP(G561,Rabat!$C$9:$D$43,2,0),0))</f>
        <v>151.80000000000001</v>
      </c>
      <c r="J561" t="s">
        <v>1815</v>
      </c>
      <c r="K561" t="s">
        <v>2409</v>
      </c>
      <c r="L561" t="s">
        <v>1813</v>
      </c>
      <c r="M561">
        <v>10</v>
      </c>
      <c r="N561">
        <v>160</v>
      </c>
      <c r="O561" t="s">
        <v>1819</v>
      </c>
      <c r="P561" s="12" t="str">
        <f>HYPERLINK("https://b2b.kobi.pl/pl/product/12537,plafon-led-nivera-circle-32w-3cct-ip54-czarny-kobi-premium?currency=PLN")</f>
        <v>https://b2b.kobi.pl/pl/product/12537,plafon-led-nivera-circle-32w-3cct-ip54-czarny-kobi-premium?currency=PLN</v>
      </c>
      <c r="Q561" s="12" t="str">
        <f>HYPERLINK("https://eprel.ec.europa.eu/qr/2338842")</f>
        <v>https://eprel.ec.europa.eu/qr/2338842</v>
      </c>
      <c r="R561"/>
      <c r="S561" t="s">
        <v>2571</v>
      </c>
      <c r="T561">
        <v>0.93</v>
      </c>
      <c r="U561">
        <v>1.1000000000000001</v>
      </c>
      <c r="V561">
        <v>1.35</v>
      </c>
      <c r="W561">
        <v>42.8</v>
      </c>
      <c r="X561">
        <v>42.8</v>
      </c>
      <c r="Y561">
        <v>3.3</v>
      </c>
    </row>
    <row r="562" spans="1:25" ht="60" customHeight="1" x14ac:dyDescent="0.25">
      <c r="A562"/>
      <c r="B562" t="s">
        <v>3</v>
      </c>
      <c r="C562" t="s">
        <v>3824</v>
      </c>
      <c r="D562" t="s">
        <v>606</v>
      </c>
      <c r="E562" t="s">
        <v>2311</v>
      </c>
      <c r="F562" t="s">
        <v>2312</v>
      </c>
      <c r="G562" t="s">
        <v>579</v>
      </c>
      <c r="H562" s="11">
        <v>187.98</v>
      </c>
      <c r="I562" s="10">
        <f>H562*(1-IFERROR(VLOOKUP(G562,Rabat!$C$9:$D$43,2,0),0))</f>
        <v>187.98</v>
      </c>
      <c r="J562" t="s">
        <v>1815</v>
      </c>
      <c r="K562" t="s">
        <v>2410</v>
      </c>
      <c r="L562" t="s">
        <v>1813</v>
      </c>
      <c r="M562">
        <v>10</v>
      </c>
      <c r="N562">
        <v>160</v>
      </c>
      <c r="O562" t="s">
        <v>1819</v>
      </c>
      <c r="P562" s="12" t="str">
        <f>HYPERLINK("https://b2b.kobi.pl/pl/product/12552,plafon-led-nivera-circle-32w-3cct-lx-ip54-bialy-kobi-premium?currency=PLN")</f>
        <v>https://b2b.kobi.pl/pl/product/12552,plafon-led-nivera-circle-32w-3cct-lx-ip54-bialy-kobi-premium?currency=PLN</v>
      </c>
      <c r="Q562" s="12" t="str">
        <f>HYPERLINK("https://eprel.ec.europa.eu/qr/2338842")</f>
        <v>https://eprel.ec.europa.eu/qr/2338842</v>
      </c>
      <c r="R562"/>
      <c r="S562" t="s">
        <v>2571</v>
      </c>
      <c r="T562">
        <v>0.95</v>
      </c>
      <c r="U562">
        <v>1.1299999999999999</v>
      </c>
      <c r="V562">
        <v>1.35</v>
      </c>
      <c r="W562">
        <v>42.8</v>
      </c>
      <c r="X562">
        <v>42.8</v>
      </c>
      <c r="Y562">
        <v>3.3</v>
      </c>
    </row>
    <row r="563" spans="1:25" ht="60" customHeight="1" x14ac:dyDescent="0.25">
      <c r="A563"/>
      <c r="B563" t="s">
        <v>3</v>
      </c>
      <c r="C563" t="s">
        <v>3824</v>
      </c>
      <c r="D563" t="s">
        <v>606</v>
      </c>
      <c r="E563" t="s">
        <v>2313</v>
      </c>
      <c r="F563" t="s">
        <v>2314</v>
      </c>
      <c r="G563" t="s">
        <v>579</v>
      </c>
      <c r="H563" s="11">
        <v>187.98</v>
      </c>
      <c r="I563" s="10">
        <f>H563*(1-IFERROR(VLOOKUP(G563,Rabat!$C$9:$D$43,2,0),0))</f>
        <v>187.98</v>
      </c>
      <c r="J563" t="s">
        <v>1815</v>
      </c>
      <c r="K563" t="s">
        <v>2411</v>
      </c>
      <c r="L563" t="s">
        <v>1813</v>
      </c>
      <c r="M563">
        <v>10</v>
      </c>
      <c r="N563">
        <v>160</v>
      </c>
      <c r="O563" t="s">
        <v>1819</v>
      </c>
      <c r="P563" s="12" t="str">
        <f>HYPERLINK("https://b2b.kobi.pl/pl/product/12553,plafon-led-nivera-circle-32w-3cct-lx-ip54-czarny-kobi-premium?currency=PLN")</f>
        <v>https://b2b.kobi.pl/pl/product/12553,plafon-led-nivera-circle-32w-3cct-lx-ip54-czarny-kobi-premium?currency=PLN</v>
      </c>
      <c r="Q563" s="12" t="str">
        <f>HYPERLINK("https://eprel.ec.europa.eu/qr/2338842")</f>
        <v>https://eprel.ec.europa.eu/qr/2338842</v>
      </c>
      <c r="R563"/>
      <c r="S563" t="s">
        <v>2571</v>
      </c>
      <c r="T563">
        <v>0.95</v>
      </c>
      <c r="U563">
        <v>1.1299999999999999</v>
      </c>
      <c r="V563">
        <v>1.35</v>
      </c>
      <c r="W563">
        <v>42.8</v>
      </c>
      <c r="X563">
        <v>42.8</v>
      </c>
      <c r="Y563">
        <v>3.3</v>
      </c>
    </row>
    <row r="564" spans="1:25" ht="60" customHeight="1" x14ac:dyDescent="0.25">
      <c r="A564"/>
      <c r="B564" t="s">
        <v>3</v>
      </c>
      <c r="C564" t="s">
        <v>3824</v>
      </c>
      <c r="D564" t="s">
        <v>606</v>
      </c>
      <c r="E564" t="s">
        <v>2315</v>
      </c>
      <c r="F564" t="s">
        <v>2316</v>
      </c>
      <c r="G564" t="s">
        <v>579</v>
      </c>
      <c r="H564" s="11">
        <v>68.989999999999995</v>
      </c>
      <c r="I564" s="10">
        <f>H564*(1-IFERROR(VLOOKUP(G564,Rabat!$C$9:$D$43,2,0),0))</f>
        <v>68.989999999999995</v>
      </c>
      <c r="J564" t="s">
        <v>1815</v>
      </c>
      <c r="K564" t="s">
        <v>2412</v>
      </c>
      <c r="L564" t="s">
        <v>1813</v>
      </c>
      <c r="M564">
        <v>20</v>
      </c>
      <c r="N564">
        <v>480</v>
      </c>
      <c r="O564" t="s">
        <v>1819</v>
      </c>
      <c r="P564" s="12" t="str">
        <f>HYPERLINK("https://b2b.kobi.pl/pl/product/12538,plafon-led-nivera-square-12w-3cct-ip54-bialy-kobi-premium?currency=PLN")</f>
        <v>https://b2b.kobi.pl/pl/product/12538,plafon-led-nivera-square-12w-3cct-ip54-bialy-kobi-premium?currency=PLN</v>
      </c>
      <c r="Q564" s="12" t="str">
        <f>HYPERLINK("https://eprel.ec.europa.eu/qr/2338861")</f>
        <v>https://eprel.ec.europa.eu/qr/2338861</v>
      </c>
      <c r="R564"/>
      <c r="S564" t="s">
        <v>2571</v>
      </c>
      <c r="T564">
        <v>0.42</v>
      </c>
      <c r="U564">
        <v>0.5</v>
      </c>
      <c r="V564">
        <v>0.59</v>
      </c>
      <c r="W564">
        <v>23.5</v>
      </c>
      <c r="X564">
        <v>23.5</v>
      </c>
      <c r="Y564">
        <v>3.3</v>
      </c>
    </row>
    <row r="565" spans="1:25" ht="60" customHeight="1" x14ac:dyDescent="0.25">
      <c r="A565"/>
      <c r="B565" t="s">
        <v>3</v>
      </c>
      <c r="C565" t="s">
        <v>3824</v>
      </c>
      <c r="D565" t="s">
        <v>606</v>
      </c>
      <c r="E565" t="s">
        <v>2317</v>
      </c>
      <c r="F565" t="s">
        <v>2318</v>
      </c>
      <c r="G565" t="s">
        <v>579</v>
      </c>
      <c r="H565" s="11">
        <v>68.989999999999995</v>
      </c>
      <c r="I565" s="10">
        <f>H565*(1-IFERROR(VLOOKUP(G565,Rabat!$C$9:$D$43,2,0),0))</f>
        <v>68.989999999999995</v>
      </c>
      <c r="J565" t="s">
        <v>1815</v>
      </c>
      <c r="K565" t="s">
        <v>2413</v>
      </c>
      <c r="L565" t="s">
        <v>1813</v>
      </c>
      <c r="M565">
        <v>20</v>
      </c>
      <c r="N565">
        <v>480</v>
      </c>
      <c r="O565" t="s">
        <v>1819</v>
      </c>
      <c r="P565" s="12" t="str">
        <f>HYPERLINK("https://b2b.kobi.pl/pl/product/12539,plafon-led-nivera-square-12w-3cct-ip54-czarny-kobi-premium?currency=PLN")</f>
        <v>https://b2b.kobi.pl/pl/product/12539,plafon-led-nivera-square-12w-3cct-ip54-czarny-kobi-premium?currency=PLN</v>
      </c>
      <c r="Q565" s="12" t="str">
        <f>HYPERLINK("https://eprel.ec.europa.eu/qr/2338861")</f>
        <v>https://eprel.ec.europa.eu/qr/2338861</v>
      </c>
      <c r="R565"/>
      <c r="S565" t="s">
        <v>2571</v>
      </c>
      <c r="T565">
        <v>0.42</v>
      </c>
      <c r="U565">
        <v>0.5</v>
      </c>
      <c r="V565">
        <v>0.59</v>
      </c>
      <c r="W565">
        <v>23.5</v>
      </c>
      <c r="X565">
        <v>23.5</v>
      </c>
      <c r="Y565">
        <v>3.3</v>
      </c>
    </row>
    <row r="566" spans="1:25" ht="60" customHeight="1" x14ac:dyDescent="0.25">
      <c r="A566"/>
      <c r="B566" t="s">
        <v>3</v>
      </c>
      <c r="C566" t="s">
        <v>3824</v>
      </c>
      <c r="D566" t="s">
        <v>606</v>
      </c>
      <c r="E566" t="s">
        <v>2319</v>
      </c>
      <c r="F566" t="s">
        <v>2320</v>
      </c>
      <c r="G566" t="s">
        <v>579</v>
      </c>
      <c r="H566" s="11">
        <v>105.21</v>
      </c>
      <c r="I566" s="10">
        <f>H566*(1-IFERROR(VLOOKUP(G566,Rabat!$C$9:$D$43,2,0),0))</f>
        <v>105.21</v>
      </c>
      <c r="J566" t="s">
        <v>1815</v>
      </c>
      <c r="K566" t="s">
        <v>2414</v>
      </c>
      <c r="L566" t="s">
        <v>1813</v>
      </c>
      <c r="M566">
        <v>20</v>
      </c>
      <c r="N566">
        <v>480</v>
      </c>
      <c r="O566" t="s">
        <v>1819</v>
      </c>
      <c r="P566" s="12" t="str">
        <f>HYPERLINK("https://b2b.kobi.pl/pl/product/12554,plafon-led-nivera-square-12w-3cct-lx-ip54-bialy-kobi-premium?currency=PLN")</f>
        <v>https://b2b.kobi.pl/pl/product/12554,plafon-led-nivera-square-12w-3cct-lx-ip54-bialy-kobi-premium?currency=PLN</v>
      </c>
      <c r="Q566" s="12" t="str">
        <f>HYPERLINK("https://eprel.ec.europa.eu/qr/2338861")</f>
        <v>https://eprel.ec.europa.eu/qr/2338861</v>
      </c>
      <c r="R566"/>
      <c r="S566" t="s">
        <v>2571</v>
      </c>
      <c r="T566">
        <v>0.45</v>
      </c>
      <c r="U566">
        <v>0.53</v>
      </c>
      <c r="V566">
        <v>0.62</v>
      </c>
      <c r="W566">
        <v>23.5</v>
      </c>
      <c r="X566">
        <v>23.5</v>
      </c>
      <c r="Y566">
        <v>3.3</v>
      </c>
    </row>
    <row r="567" spans="1:25" ht="60" customHeight="1" x14ac:dyDescent="0.25">
      <c r="A567"/>
      <c r="B567" t="s">
        <v>3</v>
      </c>
      <c r="C567" t="s">
        <v>3824</v>
      </c>
      <c r="D567" t="s">
        <v>606</v>
      </c>
      <c r="E567" t="s">
        <v>2321</v>
      </c>
      <c r="F567" t="s">
        <v>2322</v>
      </c>
      <c r="G567" t="s">
        <v>579</v>
      </c>
      <c r="H567" s="11">
        <v>105.21</v>
      </c>
      <c r="I567" s="10">
        <f>H567*(1-IFERROR(VLOOKUP(G567,Rabat!$C$9:$D$43,2,0),0))</f>
        <v>105.21</v>
      </c>
      <c r="J567" t="s">
        <v>1815</v>
      </c>
      <c r="K567" t="s">
        <v>2415</v>
      </c>
      <c r="L567" t="s">
        <v>1813</v>
      </c>
      <c r="M567">
        <v>20</v>
      </c>
      <c r="N567">
        <v>480</v>
      </c>
      <c r="O567" t="s">
        <v>1819</v>
      </c>
      <c r="P567" s="12" t="str">
        <f>HYPERLINK("https://b2b.kobi.pl/pl/product/12555,plafon-led-nivera-square-12w-3cct-lx-ip54-czarny-kobi-premium?currency=PLN")</f>
        <v>https://b2b.kobi.pl/pl/product/12555,plafon-led-nivera-square-12w-3cct-lx-ip54-czarny-kobi-premium?currency=PLN</v>
      </c>
      <c r="Q567" s="12" t="str">
        <f>HYPERLINK("https://eprel.ec.europa.eu/qr/2338861")</f>
        <v>https://eprel.ec.europa.eu/qr/2338861</v>
      </c>
      <c r="R567"/>
      <c r="S567" t="s">
        <v>2571</v>
      </c>
      <c r="T567">
        <v>0.45</v>
      </c>
      <c r="U567">
        <v>0.53</v>
      </c>
      <c r="V567">
        <v>0.62</v>
      </c>
      <c r="W567">
        <v>23.5</v>
      </c>
      <c r="X567">
        <v>23.5</v>
      </c>
      <c r="Y567">
        <v>3.3</v>
      </c>
    </row>
    <row r="568" spans="1:25" ht="60" customHeight="1" x14ac:dyDescent="0.25">
      <c r="A568"/>
      <c r="B568" t="s">
        <v>3</v>
      </c>
      <c r="C568" t="s">
        <v>3824</v>
      </c>
      <c r="D568" t="s">
        <v>606</v>
      </c>
      <c r="E568" t="s">
        <v>2323</v>
      </c>
      <c r="F568" t="s">
        <v>2324</v>
      </c>
      <c r="G568" t="s">
        <v>579</v>
      </c>
      <c r="H568" s="11">
        <v>89.68</v>
      </c>
      <c r="I568" s="10">
        <f>H568*(1-IFERROR(VLOOKUP(G568,Rabat!$C$9:$D$43,2,0),0))</f>
        <v>89.68</v>
      </c>
      <c r="J568" t="s">
        <v>1815</v>
      </c>
      <c r="K568" t="s">
        <v>2416</v>
      </c>
      <c r="L568" t="s">
        <v>1813</v>
      </c>
      <c r="M568">
        <v>20</v>
      </c>
      <c r="N568"/>
      <c r="O568" t="s">
        <v>1819</v>
      </c>
      <c r="P568" s="12" t="str">
        <f>HYPERLINK("https://b2b.kobi.pl/pl/product/12540,plafon-led-nivera-square-18w-3cct-ip54-bialy-kobi-premium?currency=PLN")</f>
        <v>https://b2b.kobi.pl/pl/product/12540,plafon-led-nivera-square-18w-3cct-ip54-bialy-kobi-premium?currency=PLN</v>
      </c>
      <c r="Q568" s="12" t="str">
        <f>HYPERLINK("https://eprel.ec.europa.eu/qr/2338868")</f>
        <v>https://eprel.ec.europa.eu/qr/2338868</v>
      </c>
      <c r="R568"/>
      <c r="S568" t="s">
        <v>2571</v>
      </c>
      <c r="T568">
        <v>0.68</v>
      </c>
      <c r="U568">
        <v>0.8</v>
      </c>
      <c r="V568">
        <v>0.96</v>
      </c>
      <c r="W568">
        <v>31</v>
      </c>
      <c r="X568">
        <v>31</v>
      </c>
      <c r="Y568">
        <v>3.3</v>
      </c>
    </row>
    <row r="569" spans="1:25" ht="60" customHeight="1" x14ac:dyDescent="0.25">
      <c r="A569"/>
      <c r="B569" t="s">
        <v>3</v>
      </c>
      <c r="C569" t="s">
        <v>3824</v>
      </c>
      <c r="D569" t="s">
        <v>606</v>
      </c>
      <c r="E569" t="s">
        <v>2325</v>
      </c>
      <c r="F569" t="s">
        <v>2326</v>
      </c>
      <c r="G569" t="s">
        <v>579</v>
      </c>
      <c r="H569" s="11">
        <v>89.68</v>
      </c>
      <c r="I569" s="10">
        <f>H569*(1-IFERROR(VLOOKUP(G569,Rabat!$C$9:$D$43,2,0),0))</f>
        <v>89.68</v>
      </c>
      <c r="J569" t="s">
        <v>1815</v>
      </c>
      <c r="K569" t="s">
        <v>2417</v>
      </c>
      <c r="L569" t="s">
        <v>1813</v>
      </c>
      <c r="M569">
        <v>20</v>
      </c>
      <c r="N569">
        <v>400</v>
      </c>
      <c r="O569" t="s">
        <v>1819</v>
      </c>
      <c r="P569" s="12" t="str">
        <f>HYPERLINK("https://b2b.kobi.pl/pl/product/12541,plafon-led-nivera-square-18w-3cct-ip54-czarny-kobi-premium?currency=PLN")</f>
        <v>https://b2b.kobi.pl/pl/product/12541,plafon-led-nivera-square-18w-3cct-ip54-czarny-kobi-premium?currency=PLN</v>
      </c>
      <c r="Q569" s="12" t="str">
        <f>HYPERLINK("https://eprel.ec.europa.eu/qr/2338868")</f>
        <v>https://eprel.ec.europa.eu/qr/2338868</v>
      </c>
      <c r="R569"/>
      <c r="S569" t="s">
        <v>2571</v>
      </c>
      <c r="T569">
        <v>0.68</v>
      </c>
      <c r="U569">
        <v>0.8</v>
      </c>
      <c r="V569">
        <v>0.96</v>
      </c>
      <c r="W569">
        <v>31</v>
      </c>
      <c r="X569">
        <v>31</v>
      </c>
      <c r="Y569">
        <v>3.3</v>
      </c>
    </row>
    <row r="570" spans="1:25" ht="60" customHeight="1" x14ac:dyDescent="0.25">
      <c r="A570"/>
      <c r="B570" t="s">
        <v>3</v>
      </c>
      <c r="C570" t="s">
        <v>3824</v>
      </c>
      <c r="D570" t="s">
        <v>606</v>
      </c>
      <c r="E570" t="s">
        <v>2327</v>
      </c>
      <c r="F570" t="s">
        <v>2328</v>
      </c>
      <c r="G570" t="s">
        <v>579</v>
      </c>
      <c r="H570" s="11">
        <v>125.92</v>
      </c>
      <c r="I570" s="10">
        <f>H570*(1-IFERROR(VLOOKUP(G570,Rabat!$C$9:$D$43,2,0),0))</f>
        <v>125.92</v>
      </c>
      <c r="J570" t="s">
        <v>1815</v>
      </c>
      <c r="K570" t="s">
        <v>2418</v>
      </c>
      <c r="L570" t="s">
        <v>1813</v>
      </c>
      <c r="M570">
        <v>20</v>
      </c>
      <c r="N570">
        <v>400</v>
      </c>
      <c r="O570" t="s">
        <v>1819</v>
      </c>
      <c r="P570" s="12" t="str">
        <f>HYPERLINK("https://b2b.kobi.pl/pl/product/12556,plafon-led-nivera-square-18w-3cct-lx-ip54-bialy-kobi-premium?currency=PLN")</f>
        <v>https://b2b.kobi.pl/pl/product/12556,plafon-led-nivera-square-18w-3cct-lx-ip54-bialy-kobi-premium?currency=PLN</v>
      </c>
      <c r="Q570" s="12" t="str">
        <f>HYPERLINK("https://eprel.ec.europa.eu/qr/2338868")</f>
        <v>https://eprel.ec.europa.eu/qr/2338868</v>
      </c>
      <c r="R570"/>
      <c r="S570" t="s">
        <v>2571</v>
      </c>
      <c r="T570">
        <v>0.7</v>
      </c>
      <c r="U570">
        <v>0.83</v>
      </c>
      <c r="V570">
        <v>0.97</v>
      </c>
      <c r="W570">
        <v>31</v>
      </c>
      <c r="X570">
        <v>31</v>
      </c>
      <c r="Y570">
        <v>3.3</v>
      </c>
    </row>
    <row r="571" spans="1:25" ht="60" customHeight="1" x14ac:dyDescent="0.25">
      <c r="A571"/>
      <c r="B571" t="s">
        <v>3</v>
      </c>
      <c r="C571" t="s">
        <v>3824</v>
      </c>
      <c r="D571" t="s">
        <v>606</v>
      </c>
      <c r="E571" t="s">
        <v>2329</v>
      </c>
      <c r="F571" t="s">
        <v>2330</v>
      </c>
      <c r="G571" t="s">
        <v>579</v>
      </c>
      <c r="H571" s="11">
        <v>125.92</v>
      </c>
      <c r="I571" s="10">
        <f>H571*(1-IFERROR(VLOOKUP(G571,Rabat!$C$9:$D$43,2,0),0))</f>
        <v>125.92</v>
      </c>
      <c r="J571" t="s">
        <v>1815</v>
      </c>
      <c r="K571" t="s">
        <v>2419</v>
      </c>
      <c r="L571" t="s">
        <v>1813</v>
      </c>
      <c r="M571">
        <v>20</v>
      </c>
      <c r="N571">
        <v>400</v>
      </c>
      <c r="O571" t="s">
        <v>1819</v>
      </c>
      <c r="P571" s="12" t="str">
        <f>HYPERLINK("https://b2b.kobi.pl/pl/product/12557,plafon-led-nivera-square-18w-3cct-lx-ip54-czarny-kobi-premium?currency=PLN")</f>
        <v>https://b2b.kobi.pl/pl/product/12557,plafon-led-nivera-square-18w-3cct-lx-ip54-czarny-kobi-premium?currency=PLN</v>
      </c>
      <c r="Q571" s="12" t="str">
        <f>HYPERLINK("https://eprel.ec.europa.eu/qr/2338868")</f>
        <v>https://eprel.ec.europa.eu/qr/2338868</v>
      </c>
      <c r="R571"/>
      <c r="S571" t="s">
        <v>2571</v>
      </c>
      <c r="T571">
        <v>0.7</v>
      </c>
      <c r="U571">
        <v>0.83</v>
      </c>
      <c r="V571">
        <v>0.97</v>
      </c>
      <c r="W571">
        <v>31</v>
      </c>
      <c r="X571">
        <v>31</v>
      </c>
      <c r="Y571">
        <v>3.3</v>
      </c>
    </row>
    <row r="572" spans="1:25" ht="60" customHeight="1" x14ac:dyDescent="0.25">
      <c r="A572"/>
      <c r="B572" t="s">
        <v>3</v>
      </c>
      <c r="C572" t="s">
        <v>3824</v>
      </c>
      <c r="D572" t="s">
        <v>606</v>
      </c>
      <c r="E572" t="s">
        <v>2331</v>
      </c>
      <c r="F572" t="s">
        <v>2332</v>
      </c>
      <c r="G572" t="s">
        <v>579</v>
      </c>
      <c r="H572" s="11">
        <v>94.5</v>
      </c>
      <c r="I572" s="10">
        <f>H572*(1-IFERROR(VLOOKUP(G572,Rabat!$C$9:$D$43,2,0),0))</f>
        <v>94.5</v>
      </c>
      <c r="J572" t="s">
        <v>1815</v>
      </c>
      <c r="K572" t="s">
        <v>2420</v>
      </c>
      <c r="L572" t="s">
        <v>1813</v>
      </c>
      <c r="M572">
        <v>20</v>
      </c>
      <c r="N572">
        <v>400</v>
      </c>
      <c r="O572" t="s">
        <v>1819</v>
      </c>
      <c r="P572" s="12" t="str">
        <f>HYPERLINK("https://b2b.kobi.pl/pl/product/12542,plafon-led-nivera-square-24w-3cct-ip54-bialy-kobi-premium?currency=PLN")</f>
        <v>https://b2b.kobi.pl/pl/product/12542,plafon-led-nivera-square-24w-3cct-ip54-bialy-kobi-premium?currency=PLN</v>
      </c>
      <c r="Q572" s="12" t="str">
        <f>HYPERLINK("https://eprel.ec.europa.eu/qr/2338876")</f>
        <v>https://eprel.ec.europa.eu/qr/2338876</v>
      </c>
      <c r="R572"/>
      <c r="S572" t="s">
        <v>2571</v>
      </c>
      <c r="T572">
        <v>0.68</v>
      </c>
      <c r="U572">
        <v>0.81</v>
      </c>
      <c r="V572">
        <v>0.96</v>
      </c>
      <c r="W572">
        <v>31</v>
      </c>
      <c r="X572">
        <v>31</v>
      </c>
      <c r="Y572">
        <v>3.3</v>
      </c>
    </row>
    <row r="573" spans="1:25" ht="60" customHeight="1" x14ac:dyDescent="0.25">
      <c r="A573"/>
      <c r="B573" t="s">
        <v>3</v>
      </c>
      <c r="C573" t="s">
        <v>3824</v>
      </c>
      <c r="D573" t="s">
        <v>606</v>
      </c>
      <c r="E573" t="s">
        <v>2333</v>
      </c>
      <c r="F573" t="s">
        <v>2334</v>
      </c>
      <c r="G573" t="s">
        <v>579</v>
      </c>
      <c r="H573" s="11">
        <v>94.5</v>
      </c>
      <c r="I573" s="10">
        <f>H573*(1-IFERROR(VLOOKUP(G573,Rabat!$C$9:$D$43,2,0),0))</f>
        <v>94.5</v>
      </c>
      <c r="J573" t="s">
        <v>1815</v>
      </c>
      <c r="K573" t="s">
        <v>2421</v>
      </c>
      <c r="L573" t="s">
        <v>1813</v>
      </c>
      <c r="M573">
        <v>20</v>
      </c>
      <c r="N573">
        <v>400</v>
      </c>
      <c r="O573" t="s">
        <v>1819</v>
      </c>
      <c r="P573" s="12" t="str">
        <f>HYPERLINK("https://b2b.kobi.pl/pl/product/12543,plafon-led-nivera-square-24w-3cct-ip54-czarny-kobi-premium?currency=PLN")</f>
        <v>https://b2b.kobi.pl/pl/product/12543,plafon-led-nivera-square-24w-3cct-ip54-czarny-kobi-premium?currency=PLN</v>
      </c>
      <c r="Q573" s="12" t="str">
        <f>HYPERLINK("https://eprel.ec.europa.eu/qr/2338876")</f>
        <v>https://eprel.ec.europa.eu/qr/2338876</v>
      </c>
      <c r="R573"/>
      <c r="S573" t="s">
        <v>2571</v>
      </c>
      <c r="T573">
        <v>0.68</v>
      </c>
      <c r="U573">
        <v>0.81</v>
      </c>
      <c r="V573">
        <v>0.96</v>
      </c>
      <c r="W573">
        <v>31</v>
      </c>
      <c r="X573">
        <v>31</v>
      </c>
      <c r="Y573">
        <v>3.3</v>
      </c>
    </row>
    <row r="574" spans="1:25" ht="60" customHeight="1" x14ac:dyDescent="0.25">
      <c r="A574"/>
      <c r="B574" t="s">
        <v>3</v>
      </c>
      <c r="C574" t="s">
        <v>3824</v>
      </c>
      <c r="D574" t="s">
        <v>606</v>
      </c>
      <c r="E574" t="s">
        <v>2335</v>
      </c>
      <c r="F574" t="s">
        <v>2336</v>
      </c>
      <c r="G574" t="s">
        <v>579</v>
      </c>
      <c r="H574" s="11">
        <v>130.43</v>
      </c>
      <c r="I574" s="10">
        <f>H574*(1-IFERROR(VLOOKUP(G574,Rabat!$C$9:$D$43,2,0),0))</f>
        <v>130.43</v>
      </c>
      <c r="J574" t="s">
        <v>1815</v>
      </c>
      <c r="K574" t="s">
        <v>2422</v>
      </c>
      <c r="L574" t="s">
        <v>1813</v>
      </c>
      <c r="M574">
        <v>20</v>
      </c>
      <c r="N574">
        <v>400</v>
      </c>
      <c r="O574" t="s">
        <v>1819</v>
      </c>
      <c r="P574" s="12" t="str">
        <f>HYPERLINK("https://b2b.kobi.pl/pl/product/12558,plafon-led-nivera-square-24w-3cct-lx-ip54-bialy-kobi-premium?currency=PLN")</f>
        <v>https://b2b.kobi.pl/pl/product/12558,plafon-led-nivera-square-24w-3cct-lx-ip54-bialy-kobi-premium?currency=PLN</v>
      </c>
      <c r="Q574" s="12" t="str">
        <f>HYPERLINK("https://eprel.ec.europa.eu/qr/2338876")</f>
        <v>https://eprel.ec.europa.eu/qr/2338876</v>
      </c>
      <c r="R574"/>
      <c r="S574" t="s">
        <v>2571</v>
      </c>
      <c r="T574">
        <v>0.72</v>
      </c>
      <c r="U574">
        <v>0.85</v>
      </c>
      <c r="V574">
        <v>0.98</v>
      </c>
      <c r="W574">
        <v>31</v>
      </c>
      <c r="X574">
        <v>31</v>
      </c>
      <c r="Y574">
        <v>3.3</v>
      </c>
    </row>
    <row r="575" spans="1:25" ht="60" customHeight="1" x14ac:dyDescent="0.25">
      <c r="A575"/>
      <c r="B575" t="s">
        <v>3</v>
      </c>
      <c r="C575" t="s">
        <v>3824</v>
      </c>
      <c r="D575" t="s">
        <v>606</v>
      </c>
      <c r="E575" t="s">
        <v>2337</v>
      </c>
      <c r="F575" t="s">
        <v>2338</v>
      </c>
      <c r="G575" t="s">
        <v>579</v>
      </c>
      <c r="H575" s="11">
        <v>130.43</v>
      </c>
      <c r="I575" s="10">
        <f>H575*(1-IFERROR(VLOOKUP(G575,Rabat!$C$9:$D$43,2,0),0))</f>
        <v>130.43</v>
      </c>
      <c r="J575" t="s">
        <v>1815</v>
      </c>
      <c r="K575" t="s">
        <v>2423</v>
      </c>
      <c r="L575" t="s">
        <v>1813</v>
      </c>
      <c r="M575">
        <v>20</v>
      </c>
      <c r="N575">
        <v>400</v>
      </c>
      <c r="O575" t="s">
        <v>1819</v>
      </c>
      <c r="P575" s="12" t="str">
        <f>HYPERLINK("https://b2b.kobi.pl/pl/product/12559,plafon-led-nivera-square-24w-3cct-lx-ip54-czarny-kobi-premium?currency=PLN")</f>
        <v>https://b2b.kobi.pl/pl/product/12559,plafon-led-nivera-square-24w-3cct-lx-ip54-czarny-kobi-premium?currency=PLN</v>
      </c>
      <c r="Q575" s="12" t="str">
        <f>HYPERLINK("https://eprel.ec.europa.eu/qr/2338876")</f>
        <v>https://eprel.ec.europa.eu/qr/2338876</v>
      </c>
      <c r="R575"/>
      <c r="S575" t="s">
        <v>2571</v>
      </c>
      <c r="T575">
        <v>0.72</v>
      </c>
      <c r="U575">
        <v>0.85</v>
      </c>
      <c r="V575">
        <v>0.98</v>
      </c>
      <c r="W575">
        <v>31</v>
      </c>
      <c r="X575">
        <v>31</v>
      </c>
      <c r="Y575">
        <v>3.3</v>
      </c>
    </row>
    <row r="576" spans="1:25" ht="60" customHeight="1" x14ac:dyDescent="0.25">
      <c r="A576"/>
      <c r="B576" t="s">
        <v>3</v>
      </c>
      <c r="C576" t="s">
        <v>3824</v>
      </c>
      <c r="D576" t="s">
        <v>606</v>
      </c>
      <c r="E576" t="s">
        <v>2339</v>
      </c>
      <c r="F576" t="s">
        <v>2340</v>
      </c>
      <c r="G576" t="s">
        <v>579</v>
      </c>
      <c r="H576" s="11">
        <v>187.98</v>
      </c>
      <c r="I576" s="10">
        <f>H576*(1-IFERROR(VLOOKUP(G576,Rabat!$C$9:$D$43,2,0),0))</f>
        <v>187.98</v>
      </c>
      <c r="J576" t="s">
        <v>1815</v>
      </c>
      <c r="K576" t="s">
        <v>2424</v>
      </c>
      <c r="L576" t="s">
        <v>1813</v>
      </c>
      <c r="M576">
        <v>5</v>
      </c>
      <c r="N576">
        <v>160</v>
      </c>
      <c r="O576" t="s">
        <v>1819</v>
      </c>
      <c r="P576" s="12" t="str">
        <f>HYPERLINK("https://b2b.kobi.pl/pl/product/12544,plafon-led-nivera-square-32w-3cct-ip54-bialy-kobi-premium?currency=PLN")</f>
        <v>https://b2b.kobi.pl/pl/product/12544,plafon-led-nivera-square-32w-3cct-ip54-bialy-kobi-premium?currency=PLN</v>
      </c>
      <c r="Q576" s="12" t="str">
        <f>HYPERLINK("https://eprel.ec.europa.eu/qr/2359915")</f>
        <v>https://eprel.ec.europa.eu/qr/2359915</v>
      </c>
      <c r="R576"/>
      <c r="S576" t="s">
        <v>2571</v>
      </c>
      <c r="T576">
        <v>1.23</v>
      </c>
      <c r="U576">
        <v>1.46</v>
      </c>
      <c r="V576">
        <v>1.73</v>
      </c>
      <c r="W576">
        <v>61</v>
      </c>
      <c r="X576">
        <v>31</v>
      </c>
      <c r="Y576">
        <v>3.3</v>
      </c>
    </row>
    <row r="577" spans="1:25" ht="60" customHeight="1" x14ac:dyDescent="0.25">
      <c r="A577"/>
      <c r="B577" t="s">
        <v>3</v>
      </c>
      <c r="C577" t="s">
        <v>3824</v>
      </c>
      <c r="D577" t="s">
        <v>606</v>
      </c>
      <c r="E577" t="s">
        <v>2341</v>
      </c>
      <c r="F577" t="s">
        <v>2342</v>
      </c>
      <c r="G577" t="s">
        <v>579</v>
      </c>
      <c r="H577" s="11">
        <v>187.98</v>
      </c>
      <c r="I577" s="10">
        <f>H577*(1-IFERROR(VLOOKUP(G577,Rabat!$C$9:$D$43,2,0),0))</f>
        <v>187.98</v>
      </c>
      <c r="J577" t="s">
        <v>1815</v>
      </c>
      <c r="K577" t="s">
        <v>2425</v>
      </c>
      <c r="L577" t="s">
        <v>1813</v>
      </c>
      <c r="M577">
        <v>5</v>
      </c>
      <c r="N577">
        <v>160</v>
      </c>
      <c r="O577" t="s">
        <v>1819</v>
      </c>
      <c r="P577" s="12" t="str">
        <f>HYPERLINK("https://b2b.kobi.pl/pl/product/12545,plafon-led-nivera-square-32w-3cct-ip54-czarny-kobi-premium?currency=PLN")</f>
        <v>https://b2b.kobi.pl/pl/product/12545,plafon-led-nivera-square-32w-3cct-ip54-czarny-kobi-premium?currency=PLN</v>
      </c>
      <c r="Q577" s="12" t="str">
        <f>HYPERLINK("https://eprel.ec.europa.eu/qr/2359915")</f>
        <v>https://eprel.ec.europa.eu/qr/2359915</v>
      </c>
      <c r="R577"/>
      <c r="S577" t="s">
        <v>2571</v>
      </c>
      <c r="T577">
        <v>1.23</v>
      </c>
      <c r="U577">
        <v>1.46</v>
      </c>
      <c r="V577">
        <v>1.73</v>
      </c>
      <c r="W577">
        <v>61</v>
      </c>
      <c r="X577">
        <v>31</v>
      </c>
      <c r="Y577">
        <v>3.3</v>
      </c>
    </row>
    <row r="578" spans="1:25" ht="60" customHeight="1" x14ac:dyDescent="0.25">
      <c r="A578"/>
      <c r="B578" t="s">
        <v>3</v>
      </c>
      <c r="C578" t="s">
        <v>3824</v>
      </c>
      <c r="D578" t="s">
        <v>618</v>
      </c>
      <c r="E578" t="s">
        <v>3534</v>
      </c>
      <c r="F578" t="s">
        <v>3535</v>
      </c>
      <c r="G578" t="s">
        <v>579</v>
      </c>
      <c r="H578" s="11">
        <v>32.67</v>
      </c>
      <c r="I578" s="10">
        <f>H578*(1-IFERROR(VLOOKUP(G578,Rabat!$C$9:$D$43,2,0),0))</f>
        <v>32.67</v>
      </c>
      <c r="J578" t="s">
        <v>1815</v>
      </c>
      <c r="K578" t="s">
        <v>3542</v>
      </c>
      <c r="L578" t="s">
        <v>1813</v>
      </c>
      <c r="M578">
        <v>20</v>
      </c>
      <c r="N578"/>
      <c r="O578" t="s">
        <v>1818</v>
      </c>
      <c r="P578" s="12" t="str">
        <f>HYPERLINK("https://b2b.kobi.pl/pl/product/13103,plafon-led-sofi-12w-4000k-ip20-kobi?currency=PLN")</f>
        <v>https://b2b.kobi.pl/pl/product/13103,plafon-led-sofi-12w-4000k-ip20-kobi?currency=PLN</v>
      </c>
      <c r="Q578" s="12" t="str">
        <f>HYPERLINK("https://eprel.ec.europa.eu/qr/2483348")</f>
        <v>https://eprel.ec.europa.eu/qr/2483348</v>
      </c>
      <c r="R578"/>
      <c r="S578" t="s">
        <v>2610</v>
      </c>
      <c r="T578">
        <v>0.17</v>
      </c>
      <c r="U578">
        <v>0.2</v>
      </c>
      <c r="V578">
        <v>0.35</v>
      </c>
      <c r="W578">
        <v>26.5</v>
      </c>
      <c r="X578">
        <v>6.5</v>
      </c>
      <c r="Y578">
        <v>26.5</v>
      </c>
    </row>
    <row r="579" spans="1:25" ht="60" customHeight="1" x14ac:dyDescent="0.25">
      <c r="A579"/>
      <c r="B579" t="s">
        <v>3</v>
      </c>
      <c r="C579" t="s">
        <v>3824</v>
      </c>
      <c r="D579" t="s">
        <v>618</v>
      </c>
      <c r="E579" t="s">
        <v>3536</v>
      </c>
      <c r="F579" t="s">
        <v>3537</v>
      </c>
      <c r="G579" t="s">
        <v>579</v>
      </c>
      <c r="H579" s="11">
        <v>37.1</v>
      </c>
      <c r="I579" s="10">
        <f>H579*(1-IFERROR(VLOOKUP(G579,Rabat!$C$9:$D$43,2,0),0))</f>
        <v>37.1</v>
      </c>
      <c r="J579" t="s">
        <v>1815</v>
      </c>
      <c r="K579" t="s">
        <v>3543</v>
      </c>
      <c r="L579" t="s">
        <v>1813</v>
      </c>
      <c r="M579">
        <v>20</v>
      </c>
      <c r="N579">
        <v>240</v>
      </c>
      <c r="O579" t="s">
        <v>1818</v>
      </c>
      <c r="P579" s="12" t="str">
        <f>HYPERLINK("https://b2b.kobi.pl/pl/product/13104,plafon-led-sofi-18w-4000k-ip20-kobi?currency=PLN")</f>
        <v>https://b2b.kobi.pl/pl/product/13104,plafon-led-sofi-18w-4000k-ip20-kobi?currency=PLN</v>
      </c>
      <c r="Q579" s="12" t="str">
        <f>HYPERLINK("https://eprel.ec.europa.eu/qr/2483367")</f>
        <v>https://eprel.ec.europa.eu/qr/2483367</v>
      </c>
      <c r="R579"/>
      <c r="S579" t="s">
        <v>2571</v>
      </c>
      <c r="T579">
        <v>0.17</v>
      </c>
      <c r="U579">
        <v>0.2</v>
      </c>
      <c r="V579">
        <v>0.35</v>
      </c>
      <c r="W579">
        <v>26.5</v>
      </c>
      <c r="X579">
        <v>6.5</v>
      </c>
      <c r="Y579">
        <v>26.5</v>
      </c>
    </row>
    <row r="580" spans="1:25" ht="60" customHeight="1" x14ac:dyDescent="0.25">
      <c r="A580"/>
      <c r="B580" t="s">
        <v>3</v>
      </c>
      <c r="C580" t="s">
        <v>17</v>
      </c>
      <c r="D580" t="s">
        <v>618</v>
      </c>
      <c r="E580" t="s">
        <v>1096</v>
      </c>
      <c r="F580" t="s">
        <v>1097</v>
      </c>
      <c r="G580" t="s">
        <v>578</v>
      </c>
      <c r="H580" s="11">
        <v>122.22</v>
      </c>
      <c r="I580" s="10">
        <f>H580*(1-IFERROR(VLOOKUP(G580,Rabat!$C$9:$D$43,2,0),0))</f>
        <v>122.22</v>
      </c>
      <c r="J580" t="s">
        <v>1815</v>
      </c>
      <c r="K580" t="s">
        <v>211</v>
      </c>
      <c r="L580" t="s">
        <v>1813</v>
      </c>
      <c r="M580">
        <v>18</v>
      </c>
      <c r="N580">
        <v>576</v>
      </c>
      <c r="O580" t="s">
        <v>1818</v>
      </c>
      <c r="P580" s="12" t="str">
        <f>HYPERLINK("https://b2b.kobi.pl/pl/product/10144,naswietlacz-z-czujnikiem-ruchu-solar-led-mhc-5w-4000k-ip65-kobi?currency=PLN")</f>
        <v>https://b2b.kobi.pl/pl/product/10144,naswietlacz-z-czujnikiem-ruchu-solar-led-mhc-5w-4000k-ip65-kobi?currency=PLN</v>
      </c>
      <c r="Q580" t="s">
        <v>14</v>
      </c>
      <c r="R580"/>
      <c r="S580" t="s">
        <v>2609</v>
      </c>
      <c r="T580">
        <v>0.55000000000000004</v>
      </c>
      <c r="U580">
        <v>0.65400000000000003</v>
      </c>
      <c r="V580">
        <v>0.72</v>
      </c>
      <c r="W580">
        <v>23.9</v>
      </c>
      <c r="X580">
        <v>4</v>
      </c>
      <c r="Y580">
        <v>16.2</v>
      </c>
    </row>
    <row r="581" spans="1:25" ht="60" customHeight="1" x14ac:dyDescent="0.25">
      <c r="A581"/>
      <c r="B581" t="s">
        <v>3</v>
      </c>
      <c r="C581" t="s">
        <v>17</v>
      </c>
      <c r="D581" t="s">
        <v>618</v>
      </c>
      <c r="E581" t="s">
        <v>1098</v>
      </c>
      <c r="F581" t="s">
        <v>1099</v>
      </c>
      <c r="G581" t="s">
        <v>578</v>
      </c>
      <c r="H581" s="11">
        <v>286.67</v>
      </c>
      <c r="I581" s="10">
        <f>H581*(1-IFERROR(VLOOKUP(G581,Rabat!$C$9:$D$43,2,0),0))</f>
        <v>286.67</v>
      </c>
      <c r="J581" t="s">
        <v>1815</v>
      </c>
      <c r="K581" t="s">
        <v>212</v>
      </c>
      <c r="L581" t="s">
        <v>1813</v>
      </c>
      <c r="M581">
        <v>8</v>
      </c>
      <c r="N581">
        <v>240</v>
      </c>
      <c r="O581" t="s">
        <v>1818</v>
      </c>
      <c r="P581" s="12" t="str">
        <f>HYPERLINK("https://b2b.kobi.pl/pl/product/10142,naswietlacz-z-czujnikiem-ruchu-solar-led-mhc-10w-4000k-ip65-kobi?currency=PLN")</f>
        <v>https://b2b.kobi.pl/pl/product/10142,naswietlacz-z-czujnikiem-ruchu-solar-led-mhc-10w-4000k-ip65-kobi?currency=PLN</v>
      </c>
      <c r="Q581" t="s">
        <v>14</v>
      </c>
      <c r="R581"/>
      <c r="S581" t="s">
        <v>2609</v>
      </c>
      <c r="T581">
        <v>1.18</v>
      </c>
      <c r="U581">
        <v>1.395</v>
      </c>
      <c r="V581">
        <v>1.65</v>
      </c>
      <c r="W581">
        <v>30.5</v>
      </c>
      <c r="X581">
        <v>5.2</v>
      </c>
      <c r="Y581">
        <v>23</v>
      </c>
    </row>
    <row r="582" spans="1:25" ht="60" customHeight="1" x14ac:dyDescent="0.25">
      <c r="A582"/>
      <c r="B582" t="s">
        <v>3</v>
      </c>
      <c r="C582" t="s">
        <v>17</v>
      </c>
      <c r="D582" t="s">
        <v>618</v>
      </c>
      <c r="E582" t="s">
        <v>1094</v>
      </c>
      <c r="F582" t="s">
        <v>1095</v>
      </c>
      <c r="G582" t="s">
        <v>578</v>
      </c>
      <c r="H582" s="11">
        <v>219.12</v>
      </c>
      <c r="I582" s="10">
        <f>H582*(1-IFERROR(VLOOKUP(G582,Rabat!$C$9:$D$43,2,0),0))</f>
        <v>219.12</v>
      </c>
      <c r="J582" t="s">
        <v>1815</v>
      </c>
      <c r="K582" t="s">
        <v>468</v>
      </c>
      <c r="L582" t="s">
        <v>1813</v>
      </c>
      <c r="M582">
        <v>8</v>
      </c>
      <c r="N582">
        <v>288</v>
      </c>
      <c r="O582" t="s">
        <v>1818</v>
      </c>
      <c r="P582" s="12" t="str">
        <f>HYPERLINK("https://b2b.kobi.pl/pl/product/10147,naswietlacz-z-czujnikiem-ruchu-solar-led-kobi-new-phoenix-13w-4000k-ip65-kobi?currency=PLN")</f>
        <v>https://b2b.kobi.pl/pl/product/10147,naswietlacz-z-czujnikiem-ruchu-solar-led-kobi-new-phoenix-13w-4000k-ip65-kobi?currency=PLN</v>
      </c>
      <c r="Q582" t="s">
        <v>14</v>
      </c>
      <c r="R582"/>
      <c r="S582" t="s">
        <v>2609</v>
      </c>
      <c r="T582">
        <v>0.5</v>
      </c>
      <c r="U582">
        <v>0.59</v>
      </c>
      <c r="V582">
        <v>0.7</v>
      </c>
      <c r="W582">
        <v>22.8</v>
      </c>
      <c r="X582">
        <v>9.9</v>
      </c>
      <c r="Y582">
        <v>13.3</v>
      </c>
    </row>
    <row r="583" spans="1:25" ht="60" customHeight="1" x14ac:dyDescent="0.25">
      <c r="A583"/>
      <c r="B583" t="s">
        <v>4</v>
      </c>
      <c r="C583" t="s">
        <v>3819</v>
      </c>
      <c r="D583" t="s">
        <v>644</v>
      </c>
      <c r="E583" t="s">
        <v>645</v>
      </c>
      <c r="F583" t="s">
        <v>646</v>
      </c>
      <c r="G583" t="s">
        <v>647</v>
      </c>
      <c r="H583" s="11">
        <v>175</v>
      </c>
      <c r="I583" s="10">
        <f>H583*(1-IFERROR(VLOOKUP(G583,Rabat!$C$9:$D$43,2,0),0))</f>
        <v>175</v>
      </c>
      <c r="J583" t="s">
        <v>1815</v>
      </c>
      <c r="K583" t="s">
        <v>300</v>
      </c>
      <c r="L583" t="s">
        <v>1813</v>
      </c>
      <c r="M583">
        <v>4</v>
      </c>
      <c r="N583">
        <v>100</v>
      </c>
      <c r="O583" t="s">
        <v>1818</v>
      </c>
      <c r="P583" s="12" t="str">
        <f>HYPERLINK("https://b2b.kobi.pl/pl/product/10555,girlanda-baja-led-set-10x1w-10m-e27-kobi-design?currency=PLN")</f>
        <v>https://b2b.kobi.pl/pl/product/10555,girlanda-baja-led-set-10x1w-10m-e27-kobi-design?currency=PLN</v>
      </c>
      <c r="Q583" t="s">
        <v>14</v>
      </c>
      <c r="R583"/>
      <c r="S583" t="s">
        <v>2605</v>
      </c>
      <c r="T583">
        <v>1.47</v>
      </c>
      <c r="U583">
        <v>1.74</v>
      </c>
      <c r="V583">
        <v>2</v>
      </c>
      <c r="W583">
        <v>30</v>
      </c>
      <c r="X583">
        <v>21</v>
      </c>
      <c r="Y583">
        <v>14.5</v>
      </c>
    </row>
    <row r="584" spans="1:25" ht="60" customHeight="1" x14ac:dyDescent="0.25">
      <c r="A584"/>
      <c r="B584" t="s">
        <v>4</v>
      </c>
      <c r="C584" t="s">
        <v>3819</v>
      </c>
      <c r="D584" t="s">
        <v>644</v>
      </c>
      <c r="E584" t="s">
        <v>652</v>
      </c>
      <c r="F584" t="s">
        <v>653</v>
      </c>
      <c r="G584" t="s">
        <v>647</v>
      </c>
      <c r="H584" s="11">
        <v>272.5</v>
      </c>
      <c r="I584" s="10">
        <f>H584*(1-IFERROR(VLOOKUP(G584,Rabat!$C$9:$D$43,2,0),0))</f>
        <v>272.5</v>
      </c>
      <c r="J584" t="s">
        <v>1815</v>
      </c>
      <c r="K584" t="s">
        <v>301</v>
      </c>
      <c r="L584" t="s">
        <v>1813</v>
      </c>
      <c r="M584">
        <v>4</v>
      </c>
      <c r="N584">
        <v>96</v>
      </c>
      <c r="O584" t="s">
        <v>1818</v>
      </c>
      <c r="P584" s="12" t="str">
        <f>HYPERLINK("https://b2b.kobi.pl/pl/product/10556,girlanda-baja-led-set-20x1w-e27-10m-kobi-design?currency=PLN")</f>
        <v>https://b2b.kobi.pl/pl/product/10556,girlanda-baja-led-set-20x1w-e27-10m-kobi-design?currency=PLN</v>
      </c>
      <c r="Q584" t="s">
        <v>14</v>
      </c>
      <c r="R584"/>
      <c r="S584" t="s">
        <v>2605</v>
      </c>
      <c r="T584">
        <v>2.2000000000000002</v>
      </c>
      <c r="U584">
        <v>2.6</v>
      </c>
      <c r="V584">
        <v>3.1</v>
      </c>
      <c r="W584">
        <v>25</v>
      </c>
      <c r="X584">
        <v>30</v>
      </c>
      <c r="Y584">
        <v>21.5</v>
      </c>
    </row>
    <row r="585" spans="1:25" ht="60" customHeight="1" x14ac:dyDescent="0.25">
      <c r="A585"/>
      <c r="B585" t="s">
        <v>4</v>
      </c>
      <c r="C585" t="s">
        <v>3819</v>
      </c>
      <c r="D585" t="s">
        <v>644</v>
      </c>
      <c r="E585" t="s">
        <v>648</v>
      </c>
      <c r="F585" t="s">
        <v>649</v>
      </c>
      <c r="G585" t="s">
        <v>647</v>
      </c>
      <c r="H585" s="11">
        <v>230</v>
      </c>
      <c r="I585" s="10">
        <f>H585*(1-IFERROR(VLOOKUP(G585,Rabat!$C$9:$D$43,2,0),0))</f>
        <v>230</v>
      </c>
      <c r="J585" t="s">
        <v>1815</v>
      </c>
      <c r="K585" t="s">
        <v>302</v>
      </c>
      <c r="L585" t="s">
        <v>1813</v>
      </c>
      <c r="M585">
        <v>4</v>
      </c>
      <c r="N585"/>
      <c r="O585" t="s">
        <v>1818</v>
      </c>
      <c r="P585" s="12" t="str">
        <f>HYPERLINK("https://b2b.kobi.pl/pl/product/10557,girlanda-baja-led-set-15x1w-15m-e27-kobi-design?currency=PLN")</f>
        <v>https://b2b.kobi.pl/pl/product/10557,girlanda-baja-led-set-15x1w-15m-e27-kobi-design?currency=PLN</v>
      </c>
      <c r="Q585" t="s">
        <v>14</v>
      </c>
      <c r="R585"/>
      <c r="S585" t="s">
        <v>2605</v>
      </c>
      <c r="T585">
        <v>2.15</v>
      </c>
      <c r="U585">
        <v>2.5499999999999998</v>
      </c>
      <c r="V585">
        <v>2.58</v>
      </c>
      <c r="W585">
        <v>30</v>
      </c>
      <c r="X585">
        <v>21</v>
      </c>
      <c r="Y585">
        <v>18.5</v>
      </c>
    </row>
    <row r="586" spans="1:25" ht="60" customHeight="1" x14ac:dyDescent="0.25">
      <c r="A586"/>
      <c r="B586" t="s">
        <v>4</v>
      </c>
      <c r="C586" t="s">
        <v>3819</v>
      </c>
      <c r="D586" t="s">
        <v>644</v>
      </c>
      <c r="E586" t="s">
        <v>650</v>
      </c>
      <c r="F586" t="s">
        <v>651</v>
      </c>
      <c r="G586" t="s">
        <v>647</v>
      </c>
      <c r="H586" s="11">
        <v>307.5</v>
      </c>
      <c r="I586" s="10">
        <f>H586*(1-IFERROR(VLOOKUP(G586,Rabat!$C$9:$D$43,2,0),0))</f>
        <v>307.5</v>
      </c>
      <c r="J586" t="s">
        <v>1815</v>
      </c>
      <c r="K586" t="s">
        <v>303</v>
      </c>
      <c r="L586" t="s">
        <v>1813</v>
      </c>
      <c r="M586">
        <v>4</v>
      </c>
      <c r="N586">
        <v>60</v>
      </c>
      <c r="O586" t="s">
        <v>1818</v>
      </c>
      <c r="P586" s="12" t="str">
        <f>HYPERLINK("https://b2b.kobi.pl/pl/product/10558,girlanda-baja-led-set-20x1w-20m-e27-kobi-design?currency=PLN")</f>
        <v>https://b2b.kobi.pl/pl/product/10558,girlanda-baja-led-set-20x1w-20m-e27-kobi-design?currency=PLN</v>
      </c>
      <c r="Q586" t="s">
        <v>14</v>
      </c>
      <c r="R586"/>
      <c r="S586" t="s">
        <v>2605</v>
      </c>
      <c r="T586">
        <v>2.62</v>
      </c>
      <c r="U586">
        <v>3.1</v>
      </c>
      <c r="V586">
        <v>3.4750000000000001</v>
      </c>
      <c r="W586">
        <v>20</v>
      </c>
      <c r="X586">
        <v>22</v>
      </c>
      <c r="Y586">
        <v>25</v>
      </c>
    </row>
    <row r="587" spans="1:25" ht="60" customHeight="1" x14ac:dyDescent="0.25">
      <c r="A587"/>
      <c r="B587" t="s">
        <v>4</v>
      </c>
      <c r="C587" t="s">
        <v>3819</v>
      </c>
      <c r="D587" t="s">
        <v>618</v>
      </c>
      <c r="E587" t="s">
        <v>660</v>
      </c>
      <c r="F587" t="s">
        <v>661</v>
      </c>
      <c r="G587" t="s">
        <v>647</v>
      </c>
      <c r="H587" s="11">
        <v>175</v>
      </c>
      <c r="I587" s="10">
        <f>H587*(1-IFERROR(VLOOKUP(G587,Rabat!$C$9:$D$43,2,0),0))</f>
        <v>175</v>
      </c>
      <c r="J587" t="s">
        <v>1815</v>
      </c>
      <c r="K587" t="s">
        <v>297</v>
      </c>
      <c r="L587" t="s">
        <v>1813</v>
      </c>
      <c r="M587">
        <v>4</v>
      </c>
      <c r="N587"/>
      <c r="O587" t="s">
        <v>1818</v>
      </c>
      <c r="P587" s="12" t="str">
        <f>HYPERLINK("https://b2b.kobi.pl/pl/product/10658,girlanda-mimosa-led-set-10m-10x1w-e27-kobi?currency=PLN")</f>
        <v>https://b2b.kobi.pl/pl/product/10658,girlanda-mimosa-led-set-10m-10x1w-e27-kobi?currency=PLN</v>
      </c>
      <c r="Q587" t="s">
        <v>14</v>
      </c>
      <c r="R587" t="s">
        <v>1945</v>
      </c>
      <c r="S587" t="s">
        <v>2605</v>
      </c>
      <c r="T587">
        <v>1.47</v>
      </c>
      <c r="U587">
        <v>1.74</v>
      </c>
      <c r="V587">
        <v>1.79</v>
      </c>
      <c r="W587">
        <v>14.5</v>
      </c>
      <c r="X587">
        <v>21</v>
      </c>
      <c r="Y587">
        <v>30</v>
      </c>
    </row>
    <row r="588" spans="1:25" ht="60" customHeight="1" x14ac:dyDescent="0.25">
      <c r="A588"/>
      <c r="B588" t="s">
        <v>4</v>
      </c>
      <c r="C588" t="s">
        <v>3819</v>
      </c>
      <c r="D588" t="s">
        <v>618</v>
      </c>
      <c r="E588" t="s">
        <v>656</v>
      </c>
      <c r="F588" t="s">
        <v>657</v>
      </c>
      <c r="G588" t="s">
        <v>647</v>
      </c>
      <c r="H588" s="11">
        <v>186.67</v>
      </c>
      <c r="I588" s="10">
        <f>H588*(1-IFERROR(VLOOKUP(G588,Rabat!$C$9:$D$43,2,0),0))</f>
        <v>186.67</v>
      </c>
      <c r="J588" t="s">
        <v>1815</v>
      </c>
      <c r="K588" t="s">
        <v>295</v>
      </c>
      <c r="L588" t="s">
        <v>1813</v>
      </c>
      <c r="M588">
        <v>8</v>
      </c>
      <c r="N588">
        <v>128</v>
      </c>
      <c r="O588" t="s">
        <v>1818</v>
      </c>
      <c r="P588" s="12" t="str">
        <f>HYPERLINK("https://b2b.kobi.pl/pl/product/10659,girlanda-mimosa-10m-20xe27-kobi?currency=PLN")</f>
        <v>https://b2b.kobi.pl/pl/product/10659,girlanda-mimosa-10m-20xe27-kobi?currency=PLN</v>
      </c>
      <c r="Q588" t="s">
        <v>14</v>
      </c>
      <c r="R588"/>
      <c r="S588" t="s">
        <v>2605</v>
      </c>
      <c r="T588">
        <v>0.75</v>
      </c>
      <c r="U588">
        <v>1.93</v>
      </c>
      <c r="V588">
        <v>2.1</v>
      </c>
      <c r="W588">
        <v>30.5</v>
      </c>
      <c r="X588">
        <v>16.5</v>
      </c>
      <c r="Y588">
        <v>20</v>
      </c>
    </row>
    <row r="589" spans="1:25" ht="60" customHeight="1" x14ac:dyDescent="0.25">
      <c r="A589"/>
      <c r="B589" t="s">
        <v>4</v>
      </c>
      <c r="C589" t="s">
        <v>3819</v>
      </c>
      <c r="D589" t="s">
        <v>618</v>
      </c>
      <c r="E589" t="s">
        <v>658</v>
      </c>
      <c r="F589" t="s">
        <v>659</v>
      </c>
      <c r="G589" t="s">
        <v>647</v>
      </c>
      <c r="H589" s="11">
        <v>251.11</v>
      </c>
      <c r="I589" s="10">
        <f>H589*(1-IFERROR(VLOOKUP(G589,Rabat!$C$9:$D$43,2,0),0))</f>
        <v>251.11</v>
      </c>
      <c r="J589" t="s">
        <v>1815</v>
      </c>
      <c r="K589" t="s">
        <v>296</v>
      </c>
      <c r="L589" t="s">
        <v>1813</v>
      </c>
      <c r="M589">
        <v>8</v>
      </c>
      <c r="N589">
        <v>96</v>
      </c>
      <c r="O589" t="s">
        <v>1818</v>
      </c>
      <c r="P589" s="12" t="str">
        <f>HYPERLINK("https://b2b.kobi.pl/pl/product/10661,girlanda-mimosa-20m-20xe27-kobi?currency=PLN")</f>
        <v>https://b2b.kobi.pl/pl/product/10661,girlanda-mimosa-20m-20xe27-kobi?currency=PLN</v>
      </c>
      <c r="Q589" t="s">
        <v>14</v>
      </c>
      <c r="R589"/>
      <c r="S589" t="s">
        <v>2605</v>
      </c>
      <c r="T589">
        <v>1.01</v>
      </c>
      <c r="U589">
        <v>2.5979999999999999</v>
      </c>
      <c r="V589">
        <v>2.9329999999999998</v>
      </c>
      <c r="W589">
        <v>31</v>
      </c>
      <c r="X589">
        <v>16.5</v>
      </c>
      <c r="Y589">
        <v>18</v>
      </c>
    </row>
    <row r="590" spans="1:25" ht="60" customHeight="1" x14ac:dyDescent="0.25">
      <c r="A590"/>
      <c r="B590" t="s">
        <v>4</v>
      </c>
      <c r="C590" t="s">
        <v>3819</v>
      </c>
      <c r="D590" t="s">
        <v>618</v>
      </c>
      <c r="E590" t="s">
        <v>662</v>
      </c>
      <c r="F590" t="s">
        <v>663</v>
      </c>
      <c r="G590" t="s">
        <v>647</v>
      </c>
      <c r="H590" s="11">
        <v>307.51</v>
      </c>
      <c r="I590" s="10">
        <f>H590*(1-IFERROR(VLOOKUP(G590,Rabat!$C$9:$D$43,2,0),0))</f>
        <v>307.51</v>
      </c>
      <c r="J590" t="s">
        <v>1815</v>
      </c>
      <c r="K590" t="s">
        <v>298</v>
      </c>
      <c r="L590" t="s">
        <v>1813</v>
      </c>
      <c r="M590">
        <v>4</v>
      </c>
      <c r="N590">
        <v>60</v>
      </c>
      <c r="O590" t="s">
        <v>1818</v>
      </c>
      <c r="P590" s="12" t="str">
        <f>HYPERLINK("https://b2b.kobi.pl/pl/product/10662,girlanda-mimosa-led-set-20m-20x1w-e27-kobi?currency=PLN")</f>
        <v>https://b2b.kobi.pl/pl/product/10662,girlanda-mimosa-led-set-20m-20x1w-e27-kobi?currency=PLN</v>
      </c>
      <c r="Q590" t="s">
        <v>14</v>
      </c>
      <c r="R590" t="s">
        <v>1945</v>
      </c>
      <c r="S590" t="s">
        <v>2605</v>
      </c>
      <c r="T590">
        <v>2.62</v>
      </c>
      <c r="U590">
        <v>3.1</v>
      </c>
      <c r="V590">
        <v>3.15</v>
      </c>
      <c r="W590">
        <v>25</v>
      </c>
      <c r="X590">
        <v>30</v>
      </c>
      <c r="Y590">
        <v>21.5</v>
      </c>
    </row>
    <row r="591" spans="1:25" ht="60" customHeight="1" x14ac:dyDescent="0.25">
      <c r="A591"/>
      <c r="B591" t="s">
        <v>4</v>
      </c>
      <c r="C591" t="s">
        <v>3819</v>
      </c>
      <c r="D591" t="s">
        <v>618</v>
      </c>
      <c r="E591" t="s">
        <v>654</v>
      </c>
      <c r="F591" t="s">
        <v>655</v>
      </c>
      <c r="G591" t="s">
        <v>647</v>
      </c>
      <c r="H591" s="11">
        <v>160</v>
      </c>
      <c r="I591" s="10">
        <f>H591*(1-IFERROR(VLOOKUP(G591,Rabat!$C$9:$D$43,2,0),0))</f>
        <v>160</v>
      </c>
      <c r="J591" t="s">
        <v>1815</v>
      </c>
      <c r="K591" t="s">
        <v>299</v>
      </c>
      <c r="L591" t="s">
        <v>1813</v>
      </c>
      <c r="M591">
        <v>8</v>
      </c>
      <c r="N591">
        <v>160</v>
      </c>
      <c r="O591" t="s">
        <v>1818</v>
      </c>
      <c r="P591" s="12" t="str">
        <f>HYPERLINK("https://b2b.kobi.pl/pl/product/10663,girlanda-mimosa-2-10m-10xe27-kobi?currency=PLN")</f>
        <v>https://b2b.kobi.pl/pl/product/10663,girlanda-mimosa-2-10m-10xe27-kobi?currency=PLN</v>
      </c>
      <c r="Q591" t="s">
        <v>14</v>
      </c>
      <c r="R591"/>
      <c r="S591" t="s">
        <v>2605</v>
      </c>
      <c r="T591">
        <v>0.56999999999999995</v>
      </c>
      <c r="U591">
        <v>1.462</v>
      </c>
      <c r="V591">
        <v>1.63</v>
      </c>
      <c r="W591">
        <v>22.5</v>
      </c>
      <c r="X591">
        <v>16.5</v>
      </c>
      <c r="Y591">
        <v>18.5</v>
      </c>
    </row>
    <row r="592" spans="1:25" ht="60" customHeight="1" x14ac:dyDescent="0.25">
      <c r="A592"/>
      <c r="B592" t="s">
        <v>3</v>
      </c>
      <c r="C592" t="s">
        <v>3824</v>
      </c>
      <c r="D592" t="s">
        <v>575</v>
      </c>
      <c r="E592" t="s">
        <v>607</v>
      </c>
      <c r="F592" t="s">
        <v>608</v>
      </c>
      <c r="G592" t="s">
        <v>609</v>
      </c>
      <c r="H592" s="11">
        <v>102.67</v>
      </c>
      <c r="I592" s="10">
        <f>H592*(1-IFERROR(VLOOKUP(G592,Rabat!$C$9:$D$43,2,0),0))</f>
        <v>102.67</v>
      </c>
      <c r="J592" t="s">
        <v>1812</v>
      </c>
      <c r="K592" t="s">
        <v>155</v>
      </c>
      <c r="L592" t="s">
        <v>1813</v>
      </c>
      <c r="M592">
        <v>24</v>
      </c>
      <c r="N592">
        <v>384</v>
      </c>
      <c r="O592" t="s">
        <v>1814</v>
      </c>
      <c r="P592" s="12" t="str">
        <f>HYPERLINK("https://b2b.kobi.pl/pl/product/8398,downlight-led-nexeye-ne1-15w-4000k-ip44-kobi-pro?currency=PLN")</f>
        <v>https://b2b.kobi.pl/pl/product/8398,downlight-led-nexeye-ne1-15w-4000k-ip44-kobi-pro?currency=PLN</v>
      </c>
      <c r="Q592" s="12" t="str">
        <f>HYPERLINK("https://eprel.ec.europa.eu/qr/669368")</f>
        <v>https://eprel.ec.europa.eu/qr/669368</v>
      </c>
      <c r="R592" t="s">
        <v>1945</v>
      </c>
      <c r="S592" t="s">
        <v>2610</v>
      </c>
      <c r="T592">
        <v>0.28999999999999998</v>
      </c>
      <c r="U592">
        <v>0.34</v>
      </c>
      <c r="V592">
        <v>0.37</v>
      </c>
      <c r="W592">
        <v>15</v>
      </c>
      <c r="X592">
        <v>9</v>
      </c>
      <c r="Y592">
        <v>15.5</v>
      </c>
    </row>
    <row r="593" spans="1:25" ht="60" customHeight="1" x14ac:dyDescent="0.25">
      <c r="A593"/>
      <c r="B593" t="s">
        <v>3</v>
      </c>
      <c r="C593" t="s">
        <v>3824</v>
      </c>
      <c r="D593" t="s">
        <v>575</v>
      </c>
      <c r="E593" t="s">
        <v>2728</v>
      </c>
      <c r="F593" t="s">
        <v>2729</v>
      </c>
      <c r="G593" t="s">
        <v>609</v>
      </c>
      <c r="H593" s="11">
        <v>104.77</v>
      </c>
      <c r="I593" s="10">
        <f>H593*(1-IFERROR(VLOOKUP(G593,Rabat!$C$9:$D$43,2,0),0))</f>
        <v>104.77</v>
      </c>
      <c r="J593" t="s">
        <v>1815</v>
      </c>
      <c r="K593" t="s">
        <v>2732</v>
      </c>
      <c r="L593" t="s">
        <v>1813</v>
      </c>
      <c r="M593">
        <v>24</v>
      </c>
      <c r="N593">
        <v>576</v>
      </c>
      <c r="O593" t="s">
        <v>1814</v>
      </c>
      <c r="P593" s="12" t="str">
        <f>HYPERLINK("https://b2b.kobi.pl/pl/product/12855,downlight-led-nexeye-15w-3cct-ip44-kobi-pro?currency=PLN")</f>
        <v>https://b2b.kobi.pl/pl/product/12855,downlight-led-nexeye-15w-3cct-ip44-kobi-pro?currency=PLN</v>
      </c>
      <c r="Q593" s="12" t="str">
        <f>HYPERLINK("https://eprel.ec.europa.eu/qr/2480123")</f>
        <v>https://eprel.ec.europa.eu/qr/2480123</v>
      </c>
      <c r="R593"/>
      <c r="S593" t="s">
        <v>2610</v>
      </c>
      <c r="T593">
        <v>0.26</v>
      </c>
      <c r="U593">
        <v>0.30499999999999999</v>
      </c>
      <c r="V593">
        <v>0.374</v>
      </c>
      <c r="W593">
        <v>15</v>
      </c>
      <c r="X593">
        <v>6.5</v>
      </c>
      <c r="Y593">
        <v>16.5</v>
      </c>
    </row>
    <row r="594" spans="1:25" ht="60" customHeight="1" x14ac:dyDescent="0.25">
      <c r="A594"/>
      <c r="B594" t="s">
        <v>3</v>
      </c>
      <c r="C594" t="s">
        <v>3824</v>
      </c>
      <c r="D594" t="s">
        <v>575</v>
      </c>
      <c r="E594" t="s">
        <v>2730</v>
      </c>
      <c r="F594" t="s">
        <v>2731</v>
      </c>
      <c r="G594" t="s">
        <v>609</v>
      </c>
      <c r="H594" s="11">
        <v>151.43</v>
      </c>
      <c r="I594" s="10">
        <f>H594*(1-IFERROR(VLOOKUP(G594,Rabat!$C$9:$D$43,2,0),0))</f>
        <v>151.43</v>
      </c>
      <c r="J594" t="s">
        <v>1815</v>
      </c>
      <c r="K594" t="s">
        <v>2733</v>
      </c>
      <c r="L594" t="s">
        <v>1813</v>
      </c>
      <c r="M594">
        <v>16</v>
      </c>
      <c r="N594">
        <v>288</v>
      </c>
      <c r="O594" t="s">
        <v>1814</v>
      </c>
      <c r="P594" s="12" t="str">
        <f>HYPERLINK("https://b2b.kobi.pl/pl/product/12856,downlight-led-nexeye-20w-3cct-ip44-kobi-pro?currency=PLN")</f>
        <v>https://b2b.kobi.pl/pl/product/12856,downlight-led-nexeye-20w-3cct-ip44-kobi-pro?currency=PLN</v>
      </c>
      <c r="Q594" s="12" t="str">
        <f>HYPERLINK("https://eprel.ec.europa.eu/qr/2480111")</f>
        <v>https://eprel.ec.europa.eu/qr/2480111</v>
      </c>
      <c r="R594"/>
      <c r="S594" t="s">
        <v>2610</v>
      </c>
      <c r="T594">
        <v>0.41</v>
      </c>
      <c r="U594">
        <v>0.48399999999999999</v>
      </c>
      <c r="V594">
        <v>0.56799999999999995</v>
      </c>
      <c r="W594">
        <v>20</v>
      </c>
      <c r="X594">
        <v>6.5</v>
      </c>
      <c r="Y594">
        <v>21.5</v>
      </c>
    </row>
    <row r="595" spans="1:25" ht="60" customHeight="1" x14ac:dyDescent="0.25">
      <c r="A595"/>
      <c r="B595" t="s">
        <v>3</v>
      </c>
      <c r="C595" t="s">
        <v>3824</v>
      </c>
      <c r="D595" t="s">
        <v>575</v>
      </c>
      <c r="E595" t="s">
        <v>610</v>
      </c>
      <c r="F595" t="s">
        <v>611</v>
      </c>
      <c r="G595" t="s">
        <v>609</v>
      </c>
      <c r="H595" s="11">
        <v>198.33</v>
      </c>
      <c r="I595" s="10">
        <f>H595*(1-IFERROR(VLOOKUP(G595,Rabat!$C$9:$D$43,2,0),0))</f>
        <v>198.33</v>
      </c>
      <c r="J595" t="s">
        <v>1812</v>
      </c>
      <c r="K595" t="s">
        <v>156</v>
      </c>
      <c r="L595" t="s">
        <v>1813</v>
      </c>
      <c r="M595">
        <v>10</v>
      </c>
      <c r="N595">
        <v>190</v>
      </c>
      <c r="O595" t="s">
        <v>1814</v>
      </c>
      <c r="P595" s="12" t="str">
        <f>HYPERLINK("https://b2b.kobi.pl/pl/product/8402,downlight-led-nexeye-ne1-30w-4000k-ip44-kobi-pro?currency=PLN")</f>
        <v>https://b2b.kobi.pl/pl/product/8402,downlight-led-nexeye-ne1-30w-4000k-ip44-kobi-pro?currency=PLN</v>
      </c>
      <c r="Q595" s="12" t="str">
        <f>HYPERLINK("https://eprel.ec.europa.eu/qr/669371")</f>
        <v>https://eprel.ec.europa.eu/qr/669371</v>
      </c>
      <c r="R595" t="s">
        <v>1945</v>
      </c>
      <c r="S595" t="s">
        <v>2610</v>
      </c>
      <c r="T595">
        <v>0.67</v>
      </c>
      <c r="U595">
        <v>0.79</v>
      </c>
      <c r="V595">
        <v>0.8</v>
      </c>
      <c r="W595">
        <v>24</v>
      </c>
      <c r="X595">
        <v>9</v>
      </c>
      <c r="Y595">
        <v>25.5</v>
      </c>
    </row>
    <row r="596" spans="1:25" ht="60" customHeight="1" x14ac:dyDescent="0.25">
      <c r="A596"/>
      <c r="B596" t="s">
        <v>3</v>
      </c>
      <c r="C596" t="s">
        <v>3824</v>
      </c>
      <c r="D596" t="s">
        <v>575</v>
      </c>
      <c r="E596" t="s">
        <v>3828</v>
      </c>
      <c r="F596" t="s">
        <v>3829</v>
      </c>
      <c r="G596" t="s">
        <v>609</v>
      </c>
      <c r="H596" s="11">
        <v>198.35</v>
      </c>
      <c r="I596" s="10">
        <f>H596*(1-IFERROR(VLOOKUP(G596,Rabat!$C$9:$D$43,2,0),0))</f>
        <v>198.35</v>
      </c>
      <c r="J596" t="s">
        <v>1815</v>
      </c>
      <c r="K596" t="s">
        <v>4138</v>
      </c>
      <c r="L596" t="s">
        <v>1813</v>
      </c>
      <c r="M596">
        <v>10</v>
      </c>
      <c r="N596">
        <v>260</v>
      </c>
      <c r="O596" t="s">
        <v>1814</v>
      </c>
      <c r="P596" s="12" t="str">
        <f>HYPERLINK("https://b2b.kobi.pl/pl/product/13106,downlight-led-nexeye-30w-3cct-ip44-kobi-pro?currency=PLN")</f>
        <v>https://b2b.kobi.pl/pl/product/13106,downlight-led-nexeye-30w-3cct-ip44-kobi-pro?currency=PLN</v>
      </c>
      <c r="Q596" s="12" t="str">
        <f>HYPERLINK("https://eprel.ec.europa.eu/qr/2477435")</f>
        <v>https://eprel.ec.europa.eu/qr/2477435</v>
      </c>
      <c r="R596"/>
      <c r="S596" t="s">
        <v>2610</v>
      </c>
      <c r="T596">
        <v>0.55000000000000004</v>
      </c>
      <c r="U596">
        <v>0.65</v>
      </c>
      <c r="V596">
        <v>0.70699999999999996</v>
      </c>
      <c r="W596">
        <v>24</v>
      </c>
      <c r="X596">
        <v>24.5</v>
      </c>
      <c r="Y596">
        <v>9</v>
      </c>
    </row>
    <row r="597" spans="1:25" ht="60" customHeight="1" x14ac:dyDescent="0.25">
      <c r="A597"/>
      <c r="B597" t="s">
        <v>3</v>
      </c>
      <c r="C597" t="s">
        <v>3824</v>
      </c>
      <c r="D597" t="s">
        <v>606</v>
      </c>
      <c r="E597" t="s">
        <v>1119</v>
      </c>
      <c r="F597" t="s">
        <v>1120</v>
      </c>
      <c r="G597" t="s">
        <v>609</v>
      </c>
      <c r="H597" s="11">
        <v>48.67</v>
      </c>
      <c r="I597" s="10">
        <f>H597*(1-IFERROR(VLOOKUP(G597,Rabat!$C$9:$D$43,2,0),0))</f>
        <v>48.67</v>
      </c>
      <c r="J597" t="s">
        <v>1816</v>
      </c>
      <c r="K597" t="s">
        <v>238</v>
      </c>
      <c r="L597" t="s">
        <v>1813</v>
      </c>
      <c r="M597">
        <v>20</v>
      </c>
      <c r="N597">
        <v>400</v>
      </c>
      <c r="O597" t="s">
        <v>1819</v>
      </c>
      <c r="P597" s="12" t="str">
        <f>HYPERLINK("https://b2b.kobi.pl/pl/product/10185,plafon-led-sigaro-circle-24w-4000k-kobi-premium?currency=PLN")</f>
        <v>https://b2b.kobi.pl/pl/product/10185,plafon-led-sigaro-circle-24w-4000k-kobi-premium?currency=PLN</v>
      </c>
      <c r="Q597" s="12" t="str">
        <f>HYPERLINK("https://eprel.ec.europa.eu/qr/850598")</f>
        <v>https://eprel.ec.europa.eu/qr/850598</v>
      </c>
      <c r="R597"/>
      <c r="S597" t="s">
        <v>2610</v>
      </c>
      <c r="T597">
        <v>0.25</v>
      </c>
      <c r="U597">
        <v>0.3</v>
      </c>
      <c r="V597">
        <v>0.374</v>
      </c>
      <c r="W597">
        <v>23</v>
      </c>
      <c r="X597">
        <v>23</v>
      </c>
      <c r="Y597">
        <v>3.5</v>
      </c>
    </row>
    <row r="598" spans="1:25" ht="60" customHeight="1" x14ac:dyDescent="0.25">
      <c r="A598"/>
      <c r="B598" t="s">
        <v>3</v>
      </c>
      <c r="C598" t="s">
        <v>3824</v>
      </c>
      <c r="D598" t="s">
        <v>606</v>
      </c>
      <c r="E598" t="s">
        <v>612</v>
      </c>
      <c r="F598" t="s">
        <v>613</v>
      </c>
      <c r="G598" t="s">
        <v>609</v>
      </c>
      <c r="H598" s="11">
        <v>19.78</v>
      </c>
      <c r="I598" s="10">
        <f>H598*(1-IFERROR(VLOOKUP(G598,Rabat!$C$9:$D$43,2,0),0))</f>
        <v>19.78</v>
      </c>
      <c r="J598" t="s">
        <v>1816</v>
      </c>
      <c r="K598" t="s">
        <v>241</v>
      </c>
      <c r="L598" t="s">
        <v>1813</v>
      </c>
      <c r="M598">
        <v>40</v>
      </c>
      <c r="N598">
        <v>1000</v>
      </c>
      <c r="O598" t="s">
        <v>1819</v>
      </c>
      <c r="P598" s="12" t="str">
        <f>HYPERLINK("https://b2b.kobi.pl/pl/product/10189,downlight-led-sigaro-circle-pt-6w-4000k-kobi-premium?currency=PLN")</f>
        <v>https://b2b.kobi.pl/pl/product/10189,downlight-led-sigaro-circle-pt-6w-4000k-kobi-premium?currency=PLN</v>
      </c>
      <c r="Q598" s="12" t="str">
        <f>HYPERLINK("https://eprel.ec.europa.eu/qr/850354")</f>
        <v>https://eprel.ec.europa.eu/qr/850354</v>
      </c>
      <c r="R598"/>
      <c r="S598" t="s">
        <v>2610</v>
      </c>
      <c r="T598">
        <v>7.0000000000000007E-2</v>
      </c>
      <c r="U598">
        <v>7.9000000000000001E-2</v>
      </c>
      <c r="V598">
        <v>0.113</v>
      </c>
      <c r="W598">
        <v>13</v>
      </c>
      <c r="X598">
        <v>13</v>
      </c>
      <c r="Y598">
        <v>3.5</v>
      </c>
    </row>
    <row r="599" spans="1:25" ht="60" customHeight="1" x14ac:dyDescent="0.25">
      <c r="A599"/>
      <c r="B599" t="s">
        <v>3</v>
      </c>
      <c r="C599" t="s">
        <v>3824</v>
      </c>
      <c r="D599" t="s">
        <v>606</v>
      </c>
      <c r="E599" t="s">
        <v>614</v>
      </c>
      <c r="F599" t="s">
        <v>615</v>
      </c>
      <c r="G599" t="s">
        <v>609</v>
      </c>
      <c r="H599" s="11">
        <v>28.67</v>
      </c>
      <c r="I599" s="10">
        <f>H599*(1-IFERROR(VLOOKUP(G599,Rabat!$C$9:$D$43,2,0),0))</f>
        <v>28.67</v>
      </c>
      <c r="J599" t="s">
        <v>1816</v>
      </c>
      <c r="K599" t="s">
        <v>242</v>
      </c>
      <c r="L599" t="s">
        <v>1813</v>
      </c>
      <c r="M599">
        <v>20</v>
      </c>
      <c r="N599">
        <v>960</v>
      </c>
      <c r="O599" t="s">
        <v>1819</v>
      </c>
      <c r="P599" s="12" t="str">
        <f>HYPERLINK("https://b2b.kobi.pl/pl/product/10186,downlight-led-sigaro-circle-pt-12w-4000k-kobi-premium?currency=PLN")</f>
        <v>https://b2b.kobi.pl/pl/product/10186,downlight-led-sigaro-circle-pt-12w-4000k-kobi-premium?currency=PLN</v>
      </c>
      <c r="Q599" s="12" t="str">
        <f>HYPERLINK("https://eprel.ec.europa.eu/qr/850485")</f>
        <v>https://eprel.ec.europa.eu/qr/850485</v>
      </c>
      <c r="R599"/>
      <c r="S599" t="s">
        <v>2610</v>
      </c>
      <c r="T599">
        <v>0.12</v>
      </c>
      <c r="U599">
        <v>0.14199999999999999</v>
      </c>
      <c r="V599">
        <v>0.187</v>
      </c>
      <c r="W599">
        <v>17</v>
      </c>
      <c r="X599">
        <v>17</v>
      </c>
      <c r="Y599">
        <v>4</v>
      </c>
    </row>
    <row r="600" spans="1:25" ht="60" customHeight="1" x14ac:dyDescent="0.25">
      <c r="A600"/>
      <c r="B600" t="s">
        <v>3</v>
      </c>
      <c r="C600" t="s">
        <v>3824</v>
      </c>
      <c r="D600" t="s">
        <v>606</v>
      </c>
      <c r="E600" t="s">
        <v>616</v>
      </c>
      <c r="F600" t="s">
        <v>617</v>
      </c>
      <c r="G600" t="s">
        <v>609</v>
      </c>
      <c r="H600" s="11">
        <v>45.56</v>
      </c>
      <c r="I600" s="10">
        <f>H600*(1-IFERROR(VLOOKUP(G600,Rabat!$C$9:$D$43,2,0),0))</f>
        <v>45.56</v>
      </c>
      <c r="J600" t="s">
        <v>1816</v>
      </c>
      <c r="K600" t="s">
        <v>243</v>
      </c>
      <c r="L600" t="s">
        <v>1813</v>
      </c>
      <c r="M600">
        <v>20</v>
      </c>
      <c r="N600">
        <v>520</v>
      </c>
      <c r="O600" t="s">
        <v>1819</v>
      </c>
      <c r="P600" s="12" t="str">
        <f>HYPERLINK("https://b2b.kobi.pl/pl/product/10188,downlight-led-sigaro-circle-pt-24w-4000k-kobi-premium?currency=PLN")</f>
        <v>https://b2b.kobi.pl/pl/product/10188,downlight-led-sigaro-circle-pt-24w-4000k-kobi-premium?currency=PLN</v>
      </c>
      <c r="Q600" s="12" t="str">
        <f>HYPERLINK("https://eprel.ec.europa.eu/qr/850541")</f>
        <v>https://eprel.ec.europa.eu/qr/850541</v>
      </c>
      <c r="R600"/>
      <c r="S600" t="s">
        <v>2610</v>
      </c>
      <c r="T600">
        <v>0.21</v>
      </c>
      <c r="U600">
        <v>0.251</v>
      </c>
      <c r="V600">
        <v>0.33</v>
      </c>
      <c r="W600">
        <v>23</v>
      </c>
      <c r="X600">
        <v>23</v>
      </c>
      <c r="Y600">
        <v>3.5</v>
      </c>
    </row>
    <row r="601" spans="1:25" ht="60" customHeight="1" x14ac:dyDescent="0.25">
      <c r="A601"/>
      <c r="B601" t="s">
        <v>3</v>
      </c>
      <c r="C601" t="s">
        <v>3824</v>
      </c>
      <c r="D601" t="s">
        <v>606</v>
      </c>
      <c r="E601" t="s">
        <v>3830</v>
      </c>
      <c r="F601" t="s">
        <v>3831</v>
      </c>
      <c r="G601" t="s">
        <v>609</v>
      </c>
      <c r="H601" s="11">
        <v>38.22</v>
      </c>
      <c r="I601" s="10">
        <f>H601*(1-IFERROR(VLOOKUP(G601,Rabat!$C$9:$D$43,2,0),0))</f>
        <v>38.22</v>
      </c>
      <c r="J601" t="s">
        <v>1815</v>
      </c>
      <c r="K601" t="s">
        <v>4139</v>
      </c>
      <c r="L601" t="s">
        <v>1813</v>
      </c>
      <c r="M601">
        <v>20</v>
      </c>
      <c r="N601">
        <v>480</v>
      </c>
      <c r="O601" t="s">
        <v>1819</v>
      </c>
      <c r="P601" s="12" t="str">
        <f>HYPERLINK("https://b2b.kobi.pl/pl/product/13352,downlight-led-sigaro-circle-pt-18w-3cct-kobi-premium?currency=PLN")</f>
        <v>https://b2b.kobi.pl/pl/product/13352,downlight-led-sigaro-circle-pt-18w-3cct-kobi-premium?currency=PLN</v>
      </c>
      <c r="Q601" s="12" t="str">
        <f>HYPERLINK("https://eprel.ec.europa.eu/qr/2612917")</f>
        <v>https://eprel.ec.europa.eu/qr/2612917</v>
      </c>
      <c r="R601" t="s">
        <v>4101</v>
      </c>
      <c r="S601" t="s">
        <v>2610</v>
      </c>
      <c r="T601">
        <v>0.24</v>
      </c>
      <c r="U601">
        <v>0.28000000000000003</v>
      </c>
      <c r="V601">
        <v>0.35499999999999998</v>
      </c>
      <c r="W601">
        <v>22.5</v>
      </c>
      <c r="X601">
        <v>22.5</v>
      </c>
      <c r="Y601">
        <v>4</v>
      </c>
    </row>
    <row r="602" spans="1:25" ht="60" customHeight="1" x14ac:dyDescent="0.25">
      <c r="A602"/>
      <c r="B602" t="s">
        <v>3</v>
      </c>
      <c r="C602" t="s">
        <v>3824</v>
      </c>
      <c r="D602" t="s">
        <v>606</v>
      </c>
      <c r="E602" t="s">
        <v>3832</v>
      </c>
      <c r="F602" t="s">
        <v>3833</v>
      </c>
      <c r="G602" t="s">
        <v>609</v>
      </c>
      <c r="H602" s="11">
        <v>42.22</v>
      </c>
      <c r="I602" s="10">
        <f>H602*(1-IFERROR(VLOOKUP(G602,Rabat!$C$9:$D$43,2,0),0))</f>
        <v>42.22</v>
      </c>
      <c r="J602" t="s">
        <v>1815</v>
      </c>
      <c r="K602" t="s">
        <v>4140</v>
      </c>
      <c r="L602" t="s">
        <v>1813</v>
      </c>
      <c r="M602">
        <v>20</v>
      </c>
      <c r="N602">
        <v>480</v>
      </c>
      <c r="O602" t="s">
        <v>1819</v>
      </c>
      <c r="P602" s="12" t="str">
        <f>HYPERLINK("https://b2b.kobi.pl/pl/product/13353,downlight-led-sigaro-circle-pt-24w-3cct-kobi-premium?currency=PLN")</f>
        <v>https://b2b.kobi.pl/pl/product/13353,downlight-led-sigaro-circle-pt-24w-3cct-kobi-premium?currency=PLN</v>
      </c>
      <c r="Q602" s="12" t="str">
        <f>HYPERLINK("https://eprel.ec.europa.eu/qr/2613005")</f>
        <v>https://eprel.ec.europa.eu/qr/2613005</v>
      </c>
      <c r="R602" t="s">
        <v>4101</v>
      </c>
      <c r="S602" t="s">
        <v>2610</v>
      </c>
      <c r="T602">
        <v>0.24</v>
      </c>
      <c r="U602">
        <v>0.28399999999999997</v>
      </c>
      <c r="V602">
        <v>0.36199999999999999</v>
      </c>
      <c r="W602">
        <v>22.5</v>
      </c>
      <c r="X602">
        <v>22.5</v>
      </c>
      <c r="Y602">
        <v>4</v>
      </c>
    </row>
    <row r="603" spans="1:25" ht="60" customHeight="1" x14ac:dyDescent="0.25">
      <c r="A603"/>
      <c r="B603" t="s">
        <v>3</v>
      </c>
      <c r="C603" t="s">
        <v>3824</v>
      </c>
      <c r="D603" t="s">
        <v>606</v>
      </c>
      <c r="E603" t="s">
        <v>1131</v>
      </c>
      <c r="F603" t="s">
        <v>1132</v>
      </c>
      <c r="G603" t="s">
        <v>609</v>
      </c>
      <c r="H603" s="11">
        <v>46.44</v>
      </c>
      <c r="I603" s="10">
        <f>H603*(1-IFERROR(VLOOKUP(G603,Rabat!$C$9:$D$43,2,0),0))</f>
        <v>46.44</v>
      </c>
      <c r="J603" t="s">
        <v>1816</v>
      </c>
      <c r="K603" t="s">
        <v>239</v>
      </c>
      <c r="L603" t="s">
        <v>1813</v>
      </c>
      <c r="M603">
        <v>20</v>
      </c>
      <c r="N603">
        <v>520</v>
      </c>
      <c r="O603" t="s">
        <v>1819</v>
      </c>
      <c r="P603" s="12" t="str">
        <f>HYPERLINK("https://b2b.kobi.pl/pl/product/10199,plafon-led-sigaro-square-18w-4000k-kobi-premium?currency=PLN")</f>
        <v>https://b2b.kobi.pl/pl/product/10199,plafon-led-sigaro-square-18w-4000k-kobi-premium?currency=PLN</v>
      </c>
      <c r="Q603" s="12" t="str">
        <f>HYPERLINK("https://eprel.ec.europa.eu/qr/850607")</f>
        <v>https://eprel.ec.europa.eu/qr/850607</v>
      </c>
      <c r="R603"/>
      <c r="S603" t="s">
        <v>2610</v>
      </c>
      <c r="T603">
        <v>0.24</v>
      </c>
      <c r="U603">
        <v>0.28699999999999998</v>
      </c>
      <c r="V603">
        <v>0.37</v>
      </c>
      <c r="W603">
        <v>23</v>
      </c>
      <c r="X603">
        <v>23</v>
      </c>
      <c r="Y603">
        <v>3.5</v>
      </c>
    </row>
    <row r="604" spans="1:25" ht="60" customHeight="1" x14ac:dyDescent="0.25">
      <c r="A604"/>
      <c r="B604" t="s">
        <v>3</v>
      </c>
      <c r="C604" t="s">
        <v>3824</v>
      </c>
      <c r="D604" t="s">
        <v>606</v>
      </c>
      <c r="E604" t="s">
        <v>1133</v>
      </c>
      <c r="F604" t="s">
        <v>1134</v>
      </c>
      <c r="G604" t="s">
        <v>609</v>
      </c>
      <c r="H604" s="11">
        <v>50</v>
      </c>
      <c r="I604" s="10">
        <f>H604*(1-IFERROR(VLOOKUP(G604,Rabat!$C$9:$D$43,2,0),0))</f>
        <v>50</v>
      </c>
      <c r="J604" t="s">
        <v>1816</v>
      </c>
      <c r="K604" t="s">
        <v>240</v>
      </c>
      <c r="L604" t="s">
        <v>1813</v>
      </c>
      <c r="M604">
        <v>20</v>
      </c>
      <c r="N604">
        <v>400</v>
      </c>
      <c r="O604" t="s">
        <v>1819</v>
      </c>
      <c r="P604" s="12" t="str">
        <f>HYPERLINK("https://b2b.kobi.pl/pl/product/10200,plafon-led-sigaro-square-24w-4000k-kobi-premium?currency=PLN")</f>
        <v>https://b2b.kobi.pl/pl/product/10200,plafon-led-sigaro-square-24w-4000k-kobi-premium?currency=PLN</v>
      </c>
      <c r="Q604" s="12" t="str">
        <f>HYPERLINK("https://eprel.ec.europa.eu/qr/850609")</f>
        <v>https://eprel.ec.europa.eu/qr/850609</v>
      </c>
      <c r="R604"/>
      <c r="S604" t="s">
        <v>2610</v>
      </c>
      <c r="T604">
        <v>0.27</v>
      </c>
      <c r="U604">
        <v>0.32400000000000001</v>
      </c>
      <c r="V604">
        <v>0.40200000000000002</v>
      </c>
      <c r="W604">
        <v>23</v>
      </c>
      <c r="X604">
        <v>23</v>
      </c>
      <c r="Y604">
        <v>3</v>
      </c>
    </row>
    <row r="605" spans="1:25" ht="60" customHeight="1" x14ac:dyDescent="0.25">
      <c r="A605"/>
      <c r="B605" t="s">
        <v>3</v>
      </c>
      <c r="C605" t="s">
        <v>3824</v>
      </c>
      <c r="D605" t="s">
        <v>606</v>
      </c>
      <c r="E605" t="s">
        <v>3834</v>
      </c>
      <c r="F605" t="s">
        <v>3835</v>
      </c>
      <c r="G605" t="s">
        <v>609</v>
      </c>
      <c r="H605" s="11">
        <v>40.869999999999997</v>
      </c>
      <c r="I605" s="10">
        <f>H605*(1-IFERROR(VLOOKUP(G605,Rabat!$C$9:$D$43,2,0),0))</f>
        <v>40.869999999999997</v>
      </c>
      <c r="J605" t="s">
        <v>1815</v>
      </c>
      <c r="K605" t="s">
        <v>4141</v>
      </c>
      <c r="L605" t="s">
        <v>1813</v>
      </c>
      <c r="M605">
        <v>20</v>
      </c>
      <c r="N605">
        <v>400</v>
      </c>
      <c r="O605" t="s">
        <v>1819</v>
      </c>
      <c r="P605" s="12" t="str">
        <f>HYPERLINK("https://b2b.kobi.pl/pl/product/13350,plafon-led-sigaro-circle-18w-3cct-kobi-premium?currency=PLN")</f>
        <v>https://b2b.kobi.pl/pl/product/13350,plafon-led-sigaro-circle-18w-3cct-kobi-premium?currency=PLN</v>
      </c>
      <c r="Q605" s="12" t="str">
        <f>HYPERLINK("https://eprel.ec.europa.eu/qr/2612917")</f>
        <v>https://eprel.ec.europa.eu/qr/2612917</v>
      </c>
      <c r="R605" t="s">
        <v>4101</v>
      </c>
      <c r="S605" t="s">
        <v>2610</v>
      </c>
      <c r="T605">
        <v>0.26</v>
      </c>
      <c r="U605">
        <v>0.309</v>
      </c>
      <c r="V605">
        <v>0.42399999999999999</v>
      </c>
      <c r="W605">
        <v>23</v>
      </c>
      <c r="X605">
        <v>23</v>
      </c>
      <c r="Y605">
        <v>4</v>
      </c>
    </row>
    <row r="606" spans="1:25" ht="60" customHeight="1" x14ac:dyDescent="0.25">
      <c r="A606"/>
      <c r="B606" t="s">
        <v>3</v>
      </c>
      <c r="C606" t="s">
        <v>3824</v>
      </c>
      <c r="D606" t="s">
        <v>606</v>
      </c>
      <c r="E606" t="s">
        <v>3836</v>
      </c>
      <c r="F606" t="s">
        <v>3837</v>
      </c>
      <c r="G606" t="s">
        <v>609</v>
      </c>
      <c r="H606" s="11">
        <v>45.53</v>
      </c>
      <c r="I606" s="10">
        <f>H606*(1-IFERROR(VLOOKUP(G606,Rabat!$C$9:$D$43,2,0),0))</f>
        <v>45.53</v>
      </c>
      <c r="J606" t="s">
        <v>1815</v>
      </c>
      <c r="K606" t="s">
        <v>4142</v>
      </c>
      <c r="L606" t="s">
        <v>1813</v>
      </c>
      <c r="M606">
        <v>20</v>
      </c>
      <c r="N606">
        <v>400</v>
      </c>
      <c r="O606" t="s">
        <v>1819</v>
      </c>
      <c r="P606" s="12" t="str">
        <f>HYPERLINK("https://b2b.kobi.pl/pl/product/13351,plafon-led-sigaro-circle-24w-3cct-kobi-premium?currency=PLN")</f>
        <v>https://b2b.kobi.pl/pl/product/13351,plafon-led-sigaro-circle-24w-3cct-kobi-premium?currency=PLN</v>
      </c>
      <c r="Q606" s="12" t="str">
        <f>HYPERLINK("https://eprel.ec.europa.eu/qr/2613005")</f>
        <v>https://eprel.ec.europa.eu/qr/2613005</v>
      </c>
      <c r="R606" t="s">
        <v>4101</v>
      </c>
      <c r="S606" t="s">
        <v>2610</v>
      </c>
      <c r="T606">
        <v>0.27</v>
      </c>
      <c r="U606">
        <v>0.318</v>
      </c>
      <c r="V606">
        <v>0.42899999999999999</v>
      </c>
      <c r="W606">
        <v>23</v>
      </c>
      <c r="X606">
        <v>23</v>
      </c>
      <c r="Y606">
        <v>4</v>
      </c>
    </row>
    <row r="607" spans="1:25" ht="60" customHeight="1" x14ac:dyDescent="0.25">
      <c r="A607"/>
      <c r="B607" t="s">
        <v>4</v>
      </c>
      <c r="C607" t="s">
        <v>3815</v>
      </c>
      <c r="D607" t="s">
        <v>618</v>
      </c>
      <c r="E607" t="s">
        <v>3347</v>
      </c>
      <c r="F607" t="s">
        <v>3348</v>
      </c>
      <c r="G607" t="s">
        <v>609</v>
      </c>
      <c r="H607" s="11">
        <v>15.11</v>
      </c>
      <c r="I607" s="10">
        <f>H607*(1-IFERROR(VLOOKUP(G607,Rabat!$C$9:$D$43,2,0),0))</f>
        <v>15.11</v>
      </c>
      <c r="J607" t="s">
        <v>1820</v>
      </c>
      <c r="K607" t="s">
        <v>3351</v>
      </c>
      <c r="L607" t="s">
        <v>1813</v>
      </c>
      <c r="M607">
        <v>100</v>
      </c>
      <c r="N607">
        <v>2300</v>
      </c>
      <c r="O607" t="s">
        <v>1818</v>
      </c>
      <c r="P607" s="12" t="str">
        <f>HYPERLINK("https://b2b.kobi.pl/pl/product/12790,downlight-led-brino-3-5-7w-3cct-bialy-kobi?currency=PLN")</f>
        <v>https://b2b.kobi.pl/pl/product/12790,downlight-led-brino-3-5-7w-3cct-bialy-kobi?currency=PLN</v>
      </c>
      <c r="Q607" s="12" t="str">
        <f>HYPERLINK("https://eprel.ec.europa.eu/qr/2370303")</f>
        <v>https://eprel.ec.europa.eu/qr/2370303</v>
      </c>
      <c r="R607"/>
      <c r="S607" t="s">
        <v>2610</v>
      </c>
      <c r="T607">
        <v>0.05</v>
      </c>
      <c r="U607">
        <v>5.8000000000000003E-2</v>
      </c>
      <c r="V607">
        <v>6.9000000000000006E-2</v>
      </c>
      <c r="W607">
        <v>9.1999999999999993</v>
      </c>
      <c r="X607">
        <v>4</v>
      </c>
      <c r="Y607">
        <v>9.1999999999999993</v>
      </c>
    </row>
    <row r="608" spans="1:25" ht="60" customHeight="1" x14ac:dyDescent="0.25">
      <c r="A608"/>
      <c r="B608" t="s">
        <v>4</v>
      </c>
      <c r="C608" t="s">
        <v>3815</v>
      </c>
      <c r="D608" t="s">
        <v>618</v>
      </c>
      <c r="E608" t="s">
        <v>3349</v>
      </c>
      <c r="F608" t="s">
        <v>3350</v>
      </c>
      <c r="G608" t="s">
        <v>609</v>
      </c>
      <c r="H608" s="11">
        <v>15.11</v>
      </c>
      <c r="I608" s="10">
        <f>H608*(1-IFERROR(VLOOKUP(G608,Rabat!$C$9:$D$43,2,0),0))</f>
        <v>15.11</v>
      </c>
      <c r="J608" t="s">
        <v>1820</v>
      </c>
      <c r="K608" t="s">
        <v>3352</v>
      </c>
      <c r="L608" t="s">
        <v>1813</v>
      </c>
      <c r="M608">
        <v>100</v>
      </c>
      <c r="N608">
        <v>2300</v>
      </c>
      <c r="O608" t="s">
        <v>1818</v>
      </c>
      <c r="P608" s="12" t="str">
        <f>HYPERLINK("https://b2b.kobi.pl/pl/product/12791,downlight-led-brino-3-5-7w-3cct-czarny-kobi?currency=PLN")</f>
        <v>https://b2b.kobi.pl/pl/product/12791,downlight-led-brino-3-5-7w-3cct-czarny-kobi?currency=PLN</v>
      </c>
      <c r="Q608" s="12" t="str">
        <f>HYPERLINK("https://eprel.ec.europa.eu/qr/2370361")</f>
        <v>https://eprel.ec.europa.eu/qr/2370361</v>
      </c>
      <c r="R608"/>
      <c r="S608" t="s">
        <v>2610</v>
      </c>
      <c r="T608">
        <v>0.05</v>
      </c>
      <c r="U608">
        <v>5.8000000000000003E-2</v>
      </c>
      <c r="V608">
        <v>6.9000000000000006E-2</v>
      </c>
      <c r="W608">
        <v>9.1999999999999993</v>
      </c>
      <c r="X608">
        <v>4</v>
      </c>
      <c r="Y608">
        <v>9.1999999999999993</v>
      </c>
    </row>
    <row r="609" spans="1:25" ht="60" customHeight="1" x14ac:dyDescent="0.25">
      <c r="A609"/>
      <c r="B609" t="s">
        <v>4</v>
      </c>
      <c r="C609" t="s">
        <v>15</v>
      </c>
      <c r="D609" t="s">
        <v>618</v>
      </c>
      <c r="E609" t="s">
        <v>1217</v>
      </c>
      <c r="F609" t="s">
        <v>1218</v>
      </c>
      <c r="G609" t="s">
        <v>1219</v>
      </c>
      <c r="H609" s="11">
        <v>37.56</v>
      </c>
      <c r="I609" s="10">
        <f>H609*(1-IFERROR(VLOOKUP(G609,Rabat!$C$9:$D$43,2,0),0))</f>
        <v>37.56</v>
      </c>
      <c r="J609" t="s">
        <v>1815</v>
      </c>
      <c r="K609" t="s">
        <v>276</v>
      </c>
      <c r="L609" t="s">
        <v>1813</v>
      </c>
      <c r="M609">
        <v>20</v>
      </c>
      <c r="N609">
        <v>1400</v>
      </c>
      <c r="O609" t="s">
        <v>1818</v>
      </c>
      <c r="P609" s="12" t="str">
        <f>HYPERLINK("https://b2b.kobi.pl/pl/product/10321,oprawa-meblowa-led-correa-3-4w-3000k-lx-kobi?currency=PLN")</f>
        <v>https://b2b.kobi.pl/pl/product/10321,oprawa-meblowa-led-correa-3-4w-3000k-lx-kobi?currency=PLN</v>
      </c>
      <c r="Q609" t="s">
        <v>14</v>
      </c>
      <c r="R609"/>
      <c r="S609" t="s">
        <v>2607</v>
      </c>
      <c r="T609">
        <v>0.04</v>
      </c>
      <c r="U609">
        <v>0.05</v>
      </c>
      <c r="V609">
        <v>0.1</v>
      </c>
      <c r="W609">
        <v>15</v>
      </c>
      <c r="X609">
        <v>21</v>
      </c>
      <c r="Y609">
        <v>4</v>
      </c>
    </row>
    <row r="610" spans="1:25" ht="60" customHeight="1" x14ac:dyDescent="0.25">
      <c r="A610"/>
      <c r="B610" t="s">
        <v>4</v>
      </c>
      <c r="C610" t="s">
        <v>15</v>
      </c>
      <c r="D610" t="s">
        <v>606</v>
      </c>
      <c r="E610" t="s">
        <v>1220</v>
      </c>
      <c r="F610" t="s">
        <v>1221</v>
      </c>
      <c r="G610" t="s">
        <v>1219</v>
      </c>
      <c r="H610" s="11">
        <v>49.2</v>
      </c>
      <c r="I610" s="10">
        <f>H610*(1-IFERROR(VLOOKUP(G610,Rabat!$C$9:$D$43,2,0),0))</f>
        <v>49.2</v>
      </c>
      <c r="J610" t="s">
        <v>1815</v>
      </c>
      <c r="K610" t="s">
        <v>277</v>
      </c>
      <c r="L610" t="s">
        <v>1813</v>
      </c>
      <c r="M610">
        <v>50</v>
      </c>
      <c r="N610">
        <v>1200</v>
      </c>
      <c r="O610" t="s">
        <v>1819</v>
      </c>
      <c r="P610" s="12" t="str">
        <f>HYPERLINK("https://b2b.kobi.pl/pl/product/10323,oprawa-meblowa-led-click-1-5w-cct-kobi-premium?currency=PLN")</f>
        <v>https://b2b.kobi.pl/pl/product/10323,oprawa-meblowa-led-click-1-5w-cct-kobi-premium?currency=PLN</v>
      </c>
      <c r="Q610" t="s">
        <v>14</v>
      </c>
      <c r="R610" t="s">
        <v>1945</v>
      </c>
      <c r="S610" t="s">
        <v>2611</v>
      </c>
      <c r="T610">
        <v>0.13</v>
      </c>
      <c r="U610">
        <v>0.15</v>
      </c>
      <c r="V610">
        <v>0.2</v>
      </c>
      <c r="W610">
        <v>27.7</v>
      </c>
      <c r="X610">
        <v>7.5</v>
      </c>
      <c r="Y610">
        <v>4.0999999999999996</v>
      </c>
    </row>
    <row r="611" spans="1:25" ht="60" customHeight="1" x14ac:dyDescent="0.25">
      <c r="A611"/>
      <c r="B611" t="s">
        <v>4</v>
      </c>
      <c r="C611" t="s">
        <v>3819</v>
      </c>
      <c r="D611" t="s">
        <v>618</v>
      </c>
      <c r="E611" t="s">
        <v>761</v>
      </c>
      <c r="F611" t="s">
        <v>762</v>
      </c>
      <c r="G611" t="s">
        <v>692</v>
      </c>
      <c r="H611" s="11">
        <v>35.33</v>
      </c>
      <c r="I611" s="10">
        <f>H611*(1-IFERROR(VLOOKUP(G611,Rabat!$C$9:$D$43,2,0),0))</f>
        <v>35.33</v>
      </c>
      <c r="J611" t="s">
        <v>1815</v>
      </c>
      <c r="K611" t="s">
        <v>290</v>
      </c>
      <c r="L611" t="s">
        <v>1813</v>
      </c>
      <c r="M611">
        <v>24</v>
      </c>
      <c r="N611">
        <v>600</v>
      </c>
      <c r="O611" t="s">
        <v>1818</v>
      </c>
      <c r="P611" s="12" t="str">
        <f>HYPERLINK("https://b2b.kobi.pl/pl/product/10600,lampa-ogrodowa-blake-2-1xgu10-ip65-czarna-kobi?currency=PLN")</f>
        <v>https://b2b.kobi.pl/pl/product/10600,lampa-ogrodowa-blake-2-1xgu10-ip65-czarna-kobi?currency=PLN</v>
      </c>
      <c r="Q611" t="s">
        <v>14</v>
      </c>
      <c r="R611"/>
      <c r="S611" t="s">
        <v>2605</v>
      </c>
      <c r="T611">
        <v>0.12</v>
      </c>
      <c r="U611">
        <v>0.29499999999999998</v>
      </c>
      <c r="V611">
        <v>0.36499999999999999</v>
      </c>
      <c r="W611">
        <v>10.6</v>
      </c>
      <c r="X611">
        <v>10.6</v>
      </c>
      <c r="Y611">
        <v>14.5</v>
      </c>
    </row>
    <row r="612" spans="1:25" ht="60" customHeight="1" x14ac:dyDescent="0.25">
      <c r="A612"/>
      <c r="B612" t="s">
        <v>4</v>
      </c>
      <c r="C612" t="s">
        <v>3819</v>
      </c>
      <c r="D612" t="s">
        <v>618</v>
      </c>
      <c r="E612" t="s">
        <v>3183</v>
      </c>
      <c r="F612" t="s">
        <v>3184</v>
      </c>
      <c r="G612" t="s">
        <v>692</v>
      </c>
      <c r="H612" s="11">
        <v>22.48</v>
      </c>
      <c r="I612" s="10">
        <f>H612*(1-IFERROR(VLOOKUP(G612,Rabat!$C$9:$D$43,2,0),0))</f>
        <v>22.48</v>
      </c>
      <c r="J612" t="s">
        <v>1815</v>
      </c>
      <c r="K612" t="s">
        <v>3206</v>
      </c>
      <c r="L612" t="s">
        <v>1813</v>
      </c>
      <c r="M612">
        <v>50</v>
      </c>
      <c r="N612">
        <v>1500</v>
      </c>
      <c r="O612" t="s">
        <v>1818</v>
      </c>
      <c r="P612" s="12" t="str">
        <f>HYPERLINK("https://b2b.kobi.pl/pl/product/12925,lampa-ogrodowa-led-blake-5w-4000k-ip65-czarna-kobi?currency=PLN")</f>
        <v>https://b2b.kobi.pl/pl/product/12925,lampa-ogrodowa-led-blake-5w-4000k-ip65-czarna-kobi?currency=PLN</v>
      </c>
      <c r="Q612" s="12" t="str">
        <f>HYPERLINK("https://eprel.ec.europa.eu/qr/2426911")</f>
        <v>https://eprel.ec.europa.eu/qr/2426911</v>
      </c>
      <c r="R612"/>
      <c r="S612" t="s">
        <v>2610</v>
      </c>
      <c r="T612">
        <v>0.11</v>
      </c>
      <c r="U612">
        <v>0.129</v>
      </c>
      <c r="V612">
        <v>0.185</v>
      </c>
      <c r="W612">
        <v>7.2</v>
      </c>
      <c r="X612">
        <v>7.2</v>
      </c>
      <c r="Y612">
        <v>15.8</v>
      </c>
    </row>
    <row r="613" spans="1:25" ht="60" customHeight="1" x14ac:dyDescent="0.25">
      <c r="A613"/>
      <c r="B613" t="s">
        <v>4</v>
      </c>
      <c r="C613" t="s">
        <v>3819</v>
      </c>
      <c r="D613" t="s">
        <v>618</v>
      </c>
      <c r="E613" t="s">
        <v>3185</v>
      </c>
      <c r="F613" t="s">
        <v>3186</v>
      </c>
      <c r="G613" t="s">
        <v>692</v>
      </c>
      <c r="H613" s="11">
        <v>22.48</v>
      </c>
      <c r="I613" s="10">
        <f>H613*(1-IFERROR(VLOOKUP(G613,Rabat!$C$9:$D$43,2,0),0))</f>
        <v>22.48</v>
      </c>
      <c r="J613" t="s">
        <v>1815</v>
      </c>
      <c r="K613" t="s">
        <v>3207</v>
      </c>
      <c r="L613" t="s">
        <v>1813</v>
      </c>
      <c r="M613">
        <v>50</v>
      </c>
      <c r="N613">
        <v>1500</v>
      </c>
      <c r="O613" t="s">
        <v>1818</v>
      </c>
      <c r="P613" s="12" t="str">
        <f>HYPERLINK("https://b2b.kobi.pl/pl/product/12926,lampa-ogrodowa-led-blake-5w-3000k-ip65-czarna-kobi?currency=PLN")</f>
        <v>https://b2b.kobi.pl/pl/product/12926,lampa-ogrodowa-led-blake-5w-3000k-ip65-czarna-kobi?currency=PLN</v>
      </c>
      <c r="Q613" t="s">
        <v>14</v>
      </c>
      <c r="R613"/>
      <c r="S613" t="s">
        <v>2610</v>
      </c>
      <c r="T613">
        <v>0.11</v>
      </c>
      <c r="U613">
        <v>0.129</v>
      </c>
      <c r="V613">
        <v>0.185</v>
      </c>
      <c r="W613">
        <v>7.2</v>
      </c>
      <c r="X613">
        <v>7.2</v>
      </c>
      <c r="Y613">
        <v>15.8</v>
      </c>
    </row>
    <row r="614" spans="1:25" ht="60" customHeight="1" x14ac:dyDescent="0.25">
      <c r="A614"/>
      <c r="B614" t="s">
        <v>4</v>
      </c>
      <c r="C614" t="s">
        <v>3819</v>
      </c>
      <c r="D614" t="s">
        <v>618</v>
      </c>
      <c r="E614" t="s">
        <v>3187</v>
      </c>
      <c r="F614" t="s">
        <v>3188</v>
      </c>
      <c r="G614" t="s">
        <v>692</v>
      </c>
      <c r="H614" s="11">
        <v>27.25</v>
      </c>
      <c r="I614" s="10">
        <f>H614*(1-IFERROR(VLOOKUP(G614,Rabat!$C$9:$D$43,2,0),0))</f>
        <v>27.25</v>
      </c>
      <c r="J614" t="s">
        <v>1815</v>
      </c>
      <c r="K614" t="s">
        <v>3208</v>
      </c>
      <c r="L614" t="s">
        <v>1813</v>
      </c>
      <c r="M614">
        <v>50</v>
      </c>
      <c r="N614">
        <v>1500</v>
      </c>
      <c r="O614" t="s">
        <v>1818</v>
      </c>
      <c r="P614" s="12" t="str">
        <f>HYPERLINK("https://b2b.kobi.pl/pl/product/12927,lampa-ogrodowa-blake-uno-1xgu10-ip65-czarna-kobi?currency=PLN")</f>
        <v>https://b2b.kobi.pl/pl/product/12927,lampa-ogrodowa-blake-uno-1xgu10-ip65-czarna-kobi?currency=PLN</v>
      </c>
      <c r="Q614" t="s">
        <v>14</v>
      </c>
      <c r="R614"/>
      <c r="S614" t="s">
        <v>2605</v>
      </c>
      <c r="T614">
        <v>0.08</v>
      </c>
      <c r="U614">
        <v>0.20100000000000001</v>
      </c>
      <c r="V614">
        <v>0.255</v>
      </c>
      <c r="W614">
        <v>7.2</v>
      </c>
      <c r="X614">
        <v>7.2</v>
      </c>
      <c r="Y614">
        <v>15.8</v>
      </c>
    </row>
    <row r="615" spans="1:25" ht="60" customHeight="1" x14ac:dyDescent="0.25">
      <c r="A615"/>
      <c r="B615" t="s">
        <v>4</v>
      </c>
      <c r="C615" t="s">
        <v>3819</v>
      </c>
      <c r="D615" t="s">
        <v>618</v>
      </c>
      <c r="E615" t="s">
        <v>1224</v>
      </c>
      <c r="F615" t="s">
        <v>1225</v>
      </c>
      <c r="G615" t="s">
        <v>692</v>
      </c>
      <c r="H615" s="11">
        <v>81.25</v>
      </c>
      <c r="I615" s="10">
        <f>H615*(1-IFERROR(VLOOKUP(G615,Rabat!$C$9:$D$43,2,0),0))</f>
        <v>81.25</v>
      </c>
      <c r="J615" t="s">
        <v>1815</v>
      </c>
      <c r="K615" t="s">
        <v>291</v>
      </c>
      <c r="L615" t="s">
        <v>1813</v>
      </c>
      <c r="M615">
        <v>18</v>
      </c>
      <c r="N615">
        <v>540</v>
      </c>
      <c r="O615" t="s">
        <v>1818</v>
      </c>
      <c r="P615" s="12" t="str">
        <f>HYPERLINK("https://b2b.kobi.pl/pl/product/10669,oprawa-najazdowa-entrada-1-1xgu10-kwadrat-kobi?currency=PLN")</f>
        <v>https://b2b.kobi.pl/pl/product/10669,oprawa-najazdowa-entrada-1-1xgu10-kwadrat-kobi?currency=PLN</v>
      </c>
      <c r="Q615" t="s">
        <v>14</v>
      </c>
      <c r="R615"/>
      <c r="S615" t="s">
        <v>2605</v>
      </c>
      <c r="T615">
        <v>0.23</v>
      </c>
      <c r="U615">
        <v>0.58899999999999997</v>
      </c>
      <c r="V615">
        <v>0.64400000000000002</v>
      </c>
      <c r="W615">
        <v>11.6</v>
      </c>
      <c r="X615">
        <v>11.7</v>
      </c>
      <c r="Y615">
        <v>13</v>
      </c>
    </row>
    <row r="616" spans="1:25" ht="60" customHeight="1" x14ac:dyDescent="0.25">
      <c r="A616"/>
      <c r="B616" t="s">
        <v>4</v>
      </c>
      <c r="C616" t="s">
        <v>3819</v>
      </c>
      <c r="D616" t="s">
        <v>618</v>
      </c>
      <c r="E616" t="s">
        <v>1226</v>
      </c>
      <c r="F616" t="s">
        <v>1227</v>
      </c>
      <c r="G616" t="s">
        <v>692</v>
      </c>
      <c r="H616" s="11">
        <v>74.98</v>
      </c>
      <c r="I616" s="10">
        <f>H616*(1-IFERROR(VLOOKUP(G616,Rabat!$C$9:$D$43,2,0),0))</f>
        <v>74.98</v>
      </c>
      <c r="J616" t="s">
        <v>1815</v>
      </c>
      <c r="K616" t="s">
        <v>292</v>
      </c>
      <c r="L616" t="s">
        <v>1813</v>
      </c>
      <c r="M616">
        <v>18</v>
      </c>
      <c r="N616">
        <v>540</v>
      </c>
      <c r="O616" t="s">
        <v>1818</v>
      </c>
      <c r="P616" s="12" t="str">
        <f>HYPERLINK("https://b2b.kobi.pl/pl/product/10670,oprawa-najazdowa-entrada-2-1xgu10-okragla-kobi?currency=PLN")</f>
        <v>https://b2b.kobi.pl/pl/product/10670,oprawa-najazdowa-entrada-2-1xgu10-okragla-kobi?currency=PLN</v>
      </c>
      <c r="Q616" t="s">
        <v>14</v>
      </c>
      <c r="R616"/>
      <c r="S616" t="s">
        <v>2605</v>
      </c>
      <c r="T616">
        <v>0.2</v>
      </c>
      <c r="U616">
        <v>0.51100000000000001</v>
      </c>
      <c r="V616">
        <v>0.62</v>
      </c>
      <c r="W616">
        <v>11.6</v>
      </c>
      <c r="X616">
        <v>11.5</v>
      </c>
      <c r="Y616">
        <v>13</v>
      </c>
    </row>
    <row r="617" spans="1:25" ht="60" customHeight="1" x14ac:dyDescent="0.25">
      <c r="A617"/>
      <c r="B617" t="s">
        <v>3</v>
      </c>
      <c r="C617" t="s">
        <v>3810</v>
      </c>
      <c r="D617" t="s">
        <v>618</v>
      </c>
      <c r="E617" t="s">
        <v>2781</v>
      </c>
      <c r="F617" t="s">
        <v>1427</v>
      </c>
      <c r="G617" t="s">
        <v>620</v>
      </c>
      <c r="H617" s="11">
        <v>162.5</v>
      </c>
      <c r="I617" s="10">
        <f>H617*(1-IFERROR(VLOOKUP(G617,Rabat!$C$9:$D$43,2,0),0))</f>
        <v>162.5</v>
      </c>
      <c r="J617" t="s">
        <v>1815</v>
      </c>
      <c r="K617" t="s">
        <v>1897</v>
      </c>
      <c r="L617" t="s">
        <v>1813</v>
      </c>
      <c r="M617">
        <v>11</v>
      </c>
      <c r="N617">
        <v>198</v>
      </c>
      <c r="O617" t="s">
        <v>1818</v>
      </c>
      <c r="P617" s="12" t="str">
        <f>HYPERLINK("https://b2b.kobi.pl/pl/product/12135,uchwyt-montazowy-base-tp-360mm-fi-60mm-kobi?currency=PLN")</f>
        <v>https://b2b.kobi.pl/pl/product/12135,uchwyt-montazowy-base-tp-360mm-fi-60mm-kobi?currency=PLN</v>
      </c>
      <c r="Q617" t="s">
        <v>14</v>
      </c>
      <c r="R617"/>
      <c r="S617" t="s">
        <v>2574</v>
      </c>
      <c r="T617">
        <v>0</v>
      </c>
      <c r="U617">
        <v>1.284</v>
      </c>
      <c r="V617">
        <v>1.306</v>
      </c>
      <c r="W617">
        <v>36</v>
      </c>
      <c r="X617">
        <v>18</v>
      </c>
      <c r="Y617">
        <v>6</v>
      </c>
    </row>
    <row r="618" spans="1:25" ht="60" customHeight="1" x14ac:dyDescent="0.25">
      <c r="A618"/>
      <c r="B618" t="s">
        <v>4</v>
      </c>
      <c r="C618" t="s">
        <v>3819</v>
      </c>
      <c r="D618" t="s">
        <v>16</v>
      </c>
      <c r="E618" t="s">
        <v>1234</v>
      </c>
      <c r="F618" t="s">
        <v>1235</v>
      </c>
      <c r="G618" t="s">
        <v>692</v>
      </c>
      <c r="H618" s="11">
        <v>49.75</v>
      </c>
      <c r="I618" s="10">
        <f>H618*(1-IFERROR(VLOOKUP(G618,Rabat!$C$9:$D$43,2,0),0))</f>
        <v>49.75</v>
      </c>
      <c r="J618" t="s">
        <v>1815</v>
      </c>
      <c r="K618" t="s">
        <v>293</v>
      </c>
      <c r="L618" t="s">
        <v>1813</v>
      </c>
      <c r="M618">
        <v>20</v>
      </c>
      <c r="N618">
        <v>500</v>
      </c>
      <c r="O618" t="s">
        <v>1818</v>
      </c>
      <c r="P618" s="12" t="str">
        <f>HYPERLINK("https://b2b.kobi.pl/pl/product/10579,oprawa-najazdowa-ingress-1xgu10-okragla-ip67-led2b?currency=PLN")</f>
        <v>https://b2b.kobi.pl/pl/product/10579,oprawa-najazdowa-ingress-1xgu10-okragla-ip67-led2b?currency=PLN</v>
      </c>
      <c r="Q618" t="s">
        <v>14</v>
      </c>
      <c r="R618"/>
      <c r="S618" t="s">
        <v>2605</v>
      </c>
      <c r="T618">
        <v>0.15</v>
      </c>
      <c r="U618">
        <v>0.39</v>
      </c>
      <c r="V618">
        <v>0.42899999999999999</v>
      </c>
      <c r="W618">
        <v>0</v>
      </c>
      <c r="X618">
        <v>0</v>
      </c>
      <c r="Y618">
        <v>0</v>
      </c>
    </row>
    <row r="619" spans="1:25" ht="60" customHeight="1" x14ac:dyDescent="0.25">
      <c r="A619"/>
      <c r="B619" t="s">
        <v>4</v>
      </c>
      <c r="C619" t="s">
        <v>3819</v>
      </c>
      <c r="D619" t="s">
        <v>16</v>
      </c>
      <c r="E619" t="s">
        <v>1230</v>
      </c>
      <c r="F619" t="s">
        <v>1231</v>
      </c>
      <c r="G619" t="s">
        <v>692</v>
      </c>
      <c r="H619" s="11">
        <v>49.98</v>
      </c>
      <c r="I619" s="10">
        <f>H619*(1-IFERROR(VLOOKUP(G619,Rabat!$C$9:$D$43,2,0),0))</f>
        <v>49.98</v>
      </c>
      <c r="J619" t="s">
        <v>1815</v>
      </c>
      <c r="K619" t="s">
        <v>294</v>
      </c>
      <c r="L619" t="s">
        <v>1813</v>
      </c>
      <c r="M619">
        <v>20</v>
      </c>
      <c r="N619">
        <v>600</v>
      </c>
      <c r="O619" t="s">
        <v>1818</v>
      </c>
      <c r="P619" s="12" t="str">
        <f>HYPERLINK("https://b2b.kobi.pl/pl/product/10580,oprawa-najazdowa-ingress-1xgu10-kwadratowa-ip67-led2b?currency=PLN")</f>
        <v>https://b2b.kobi.pl/pl/product/10580,oprawa-najazdowa-ingress-1xgu10-kwadratowa-ip67-led2b?currency=PLN</v>
      </c>
      <c r="Q619" t="s">
        <v>14</v>
      </c>
      <c r="R619"/>
      <c r="S619" t="s">
        <v>2605</v>
      </c>
      <c r="T619">
        <v>0.19</v>
      </c>
      <c r="U619">
        <v>0.49</v>
      </c>
      <c r="V619">
        <v>0.53</v>
      </c>
      <c r="W619">
        <v>11</v>
      </c>
      <c r="X619">
        <v>11</v>
      </c>
      <c r="Y619">
        <v>14</v>
      </c>
    </row>
    <row r="620" spans="1:25" ht="60" customHeight="1" x14ac:dyDescent="0.25">
      <c r="A620"/>
      <c r="B620" t="s">
        <v>3</v>
      </c>
      <c r="C620" t="s">
        <v>3810</v>
      </c>
      <c r="D620" t="s">
        <v>16</v>
      </c>
      <c r="E620" t="s">
        <v>1428</v>
      </c>
      <c r="F620" t="s">
        <v>1429</v>
      </c>
      <c r="G620" t="s">
        <v>620</v>
      </c>
      <c r="H620" s="11">
        <v>47.5</v>
      </c>
      <c r="I620" s="10">
        <f>H620*(1-IFERROR(VLOOKUP(G620,Rabat!$C$9:$D$43,2,0),0))</f>
        <v>47.5</v>
      </c>
      <c r="J620" t="s">
        <v>1815</v>
      </c>
      <c r="K620" t="s">
        <v>1898</v>
      </c>
      <c r="L620" t="s">
        <v>1813</v>
      </c>
      <c r="M620">
        <v>10</v>
      </c>
      <c r="N620"/>
      <c r="O620" t="s">
        <v>1818</v>
      </c>
      <c r="P620" s="12" t="str">
        <f>HYPERLINK("https://b2b.kobi.pl/pl/product/12126,uchwyt-scienny-base-se-500mm-fi-48mm-led2b?currency=PLN")</f>
        <v>https://b2b.kobi.pl/pl/product/12126,uchwyt-scienny-base-se-500mm-fi-48mm-led2b?currency=PLN</v>
      </c>
      <c r="Q620" t="s">
        <v>14</v>
      </c>
      <c r="R620"/>
      <c r="S620" t="s">
        <v>2574</v>
      </c>
      <c r="T620">
        <v>0</v>
      </c>
      <c r="U620">
        <v>0.7</v>
      </c>
      <c r="V620">
        <v>0.8</v>
      </c>
      <c r="W620">
        <v>51</v>
      </c>
      <c r="X620">
        <v>14.5</v>
      </c>
      <c r="Y620">
        <v>7</v>
      </c>
    </row>
    <row r="621" spans="1:25" ht="60" customHeight="1" x14ac:dyDescent="0.25">
      <c r="A621"/>
      <c r="B621" t="s">
        <v>3</v>
      </c>
      <c r="C621" t="s">
        <v>3810</v>
      </c>
      <c r="D621" t="s">
        <v>618</v>
      </c>
      <c r="E621" t="s">
        <v>3838</v>
      </c>
      <c r="F621" t="s">
        <v>2480</v>
      </c>
      <c r="G621" t="s">
        <v>620</v>
      </c>
      <c r="H621" s="11">
        <v>74.75</v>
      </c>
      <c r="I621" s="10">
        <f>H621*(1-IFERROR(VLOOKUP(G621,Rabat!$C$9:$D$43,2,0),0))</f>
        <v>74.75</v>
      </c>
      <c r="J621" t="s">
        <v>1815</v>
      </c>
      <c r="K621" t="s">
        <v>2487</v>
      </c>
      <c r="L621" t="s">
        <v>1813</v>
      </c>
      <c r="M621">
        <v>6</v>
      </c>
      <c r="N621">
        <v>144</v>
      </c>
      <c r="O621" t="s">
        <v>1818</v>
      </c>
      <c r="P621" s="12" t="str">
        <f>HYPERLINK("https://b2b.kobi.pl/pl/product/12794,modul-base-sg-1m-fi-60mm-kobi?currency=PLN")</f>
        <v>https://b2b.kobi.pl/pl/product/12794,modul-base-sg-1m-fi-60mm-kobi?currency=PLN</v>
      </c>
      <c r="Q621" t="s">
        <v>14</v>
      </c>
      <c r="R621"/>
      <c r="S621" t="s">
        <v>2574</v>
      </c>
      <c r="T621">
        <v>0</v>
      </c>
      <c r="U621">
        <v>1.81</v>
      </c>
      <c r="V621">
        <v>2.04</v>
      </c>
      <c r="W621">
        <v>111</v>
      </c>
      <c r="X621">
        <v>7.5</v>
      </c>
      <c r="Y621">
        <v>8</v>
      </c>
    </row>
    <row r="622" spans="1:25" ht="60" customHeight="1" x14ac:dyDescent="0.25">
      <c r="A622"/>
      <c r="B622" t="s">
        <v>3</v>
      </c>
      <c r="C622" t="s">
        <v>3810</v>
      </c>
      <c r="D622" t="s">
        <v>618</v>
      </c>
      <c r="E622" t="s">
        <v>1349</v>
      </c>
      <c r="F622" t="s">
        <v>1350</v>
      </c>
      <c r="G622" t="s">
        <v>620</v>
      </c>
      <c r="H622" s="11">
        <v>372.5</v>
      </c>
      <c r="I622" s="10">
        <f>H622*(1-IFERROR(VLOOKUP(G622,Rabat!$C$9:$D$43,2,0),0))</f>
        <v>372.5</v>
      </c>
      <c r="J622" t="s">
        <v>1815</v>
      </c>
      <c r="K622" t="s">
        <v>1885</v>
      </c>
      <c r="L622" t="s">
        <v>1813</v>
      </c>
      <c r="M622">
        <v>1</v>
      </c>
      <c r="N622">
        <v>32</v>
      </c>
      <c r="O622" t="s">
        <v>1818</v>
      </c>
      <c r="P622" s="12" t="str">
        <f>HYPERLINK("https://b2b.kobi.pl/pl/product/12128,slup-base-sg-3m-fi-60mm-kobi?currency=PLN")</f>
        <v>https://b2b.kobi.pl/pl/product/12128,slup-base-sg-3m-fi-60mm-kobi?currency=PLN</v>
      </c>
      <c r="Q622" t="s">
        <v>14</v>
      </c>
      <c r="R622"/>
      <c r="S622" t="s">
        <v>2574</v>
      </c>
      <c r="T622">
        <v>0</v>
      </c>
      <c r="U622">
        <v>7.69</v>
      </c>
      <c r="V622">
        <v>8.69</v>
      </c>
      <c r="W622">
        <v>113.5</v>
      </c>
      <c r="X622">
        <v>17.5</v>
      </c>
      <c r="Y622">
        <v>17.5</v>
      </c>
    </row>
    <row r="623" spans="1:25" ht="60" customHeight="1" x14ac:dyDescent="0.25">
      <c r="A623"/>
      <c r="B623" t="s">
        <v>3</v>
      </c>
      <c r="C623" t="s">
        <v>3810</v>
      </c>
      <c r="D623" t="s">
        <v>618</v>
      </c>
      <c r="E623" t="s">
        <v>1351</v>
      </c>
      <c r="F623" t="s">
        <v>1352</v>
      </c>
      <c r="G623" t="s">
        <v>620</v>
      </c>
      <c r="H623" s="11">
        <v>450</v>
      </c>
      <c r="I623" s="10">
        <f>H623*(1-IFERROR(VLOOKUP(G623,Rabat!$C$9:$D$43,2,0),0))</f>
        <v>450</v>
      </c>
      <c r="J623" t="s">
        <v>1815</v>
      </c>
      <c r="K623" t="s">
        <v>1886</v>
      </c>
      <c r="L623" t="s">
        <v>1813</v>
      </c>
      <c r="M623">
        <v>1</v>
      </c>
      <c r="N623">
        <v>32</v>
      </c>
      <c r="O623" t="s">
        <v>1818</v>
      </c>
      <c r="P623" s="12" t="str">
        <f>HYPERLINK("https://b2b.kobi.pl/pl/product/12129,slup-base-sg-4m-fi-60mm-kobi?currency=PLN")</f>
        <v>https://b2b.kobi.pl/pl/product/12129,slup-base-sg-4m-fi-60mm-kobi?currency=PLN</v>
      </c>
      <c r="Q623" t="s">
        <v>14</v>
      </c>
      <c r="R623"/>
      <c r="S623" t="s">
        <v>2574</v>
      </c>
      <c r="T623">
        <v>0</v>
      </c>
      <c r="U623">
        <v>9.4</v>
      </c>
      <c r="V623">
        <v>10.61</v>
      </c>
      <c r="W623">
        <v>113.5</v>
      </c>
      <c r="X623">
        <v>17.5</v>
      </c>
      <c r="Y623">
        <v>17.5</v>
      </c>
    </row>
    <row r="624" spans="1:25" ht="60" customHeight="1" x14ac:dyDescent="0.25">
      <c r="A624"/>
      <c r="B624" t="s">
        <v>3</v>
      </c>
      <c r="C624" t="s">
        <v>3810</v>
      </c>
      <c r="D624" t="s">
        <v>618</v>
      </c>
      <c r="E624" t="s">
        <v>2691</v>
      </c>
      <c r="F624" t="s">
        <v>2692</v>
      </c>
      <c r="G624" t="s">
        <v>620</v>
      </c>
      <c r="H624" s="11">
        <v>412.5</v>
      </c>
      <c r="I624" s="10">
        <f>H624*(1-IFERROR(VLOOKUP(G624,Rabat!$C$9:$D$43,2,0),0))</f>
        <v>412.5</v>
      </c>
      <c r="J624" t="s">
        <v>1815</v>
      </c>
      <c r="K624" t="s">
        <v>2718</v>
      </c>
      <c r="L624" t="s">
        <v>1813</v>
      </c>
      <c r="M624">
        <v>1</v>
      </c>
      <c r="N624">
        <v>21</v>
      </c>
      <c r="O624" t="s">
        <v>1818</v>
      </c>
      <c r="P624" s="12" t="str">
        <f>HYPERLINK("https://b2b.kobi.pl/pl/product/12875,slup-base-sv-3m-fi-60-mm-czarny-kobi?currency=PLN")</f>
        <v>https://b2b.kobi.pl/pl/product/12875,slup-base-sv-3m-fi-60-mm-czarny-kobi?currency=PLN</v>
      </c>
      <c r="Q624" t="s">
        <v>14</v>
      </c>
      <c r="R624"/>
      <c r="S624" t="s">
        <v>2574</v>
      </c>
      <c r="T624">
        <v>0</v>
      </c>
      <c r="U624">
        <v>10.97</v>
      </c>
      <c r="V624">
        <v>12.3</v>
      </c>
      <c r="W624">
        <v>113.3</v>
      </c>
      <c r="X624">
        <v>22</v>
      </c>
      <c r="Y624">
        <v>24</v>
      </c>
    </row>
    <row r="625" spans="1:25" ht="60" customHeight="1" x14ac:dyDescent="0.25">
      <c r="A625"/>
      <c r="B625" t="s">
        <v>3</v>
      </c>
      <c r="C625" t="s">
        <v>3810</v>
      </c>
      <c r="D625" t="s">
        <v>618</v>
      </c>
      <c r="E625" t="s">
        <v>2693</v>
      </c>
      <c r="F625" t="s">
        <v>2694</v>
      </c>
      <c r="G625" t="s">
        <v>620</v>
      </c>
      <c r="H625" s="11">
        <v>412.5</v>
      </c>
      <c r="I625" s="10">
        <f>H625*(1-IFERROR(VLOOKUP(G625,Rabat!$C$9:$D$43,2,0),0))</f>
        <v>412.5</v>
      </c>
      <c r="J625" t="s">
        <v>1815</v>
      </c>
      <c r="K625" t="s">
        <v>2719</v>
      </c>
      <c r="L625" t="s">
        <v>1813</v>
      </c>
      <c r="M625">
        <v>1</v>
      </c>
      <c r="N625">
        <v>21</v>
      </c>
      <c r="O625" t="s">
        <v>1818</v>
      </c>
      <c r="P625" s="12" t="str">
        <f>HYPERLINK("https://b2b.kobi.pl/pl/product/12876,slup-base-sv-3m-fi-60-mm-szary-kobi?currency=PLN")</f>
        <v>https://b2b.kobi.pl/pl/product/12876,slup-base-sv-3m-fi-60-mm-szary-kobi?currency=PLN</v>
      </c>
      <c r="Q625" t="s">
        <v>14</v>
      </c>
      <c r="R625"/>
      <c r="S625" t="s">
        <v>2574</v>
      </c>
      <c r="T625">
        <v>0</v>
      </c>
      <c r="U625">
        <v>10.97</v>
      </c>
      <c r="V625">
        <v>12.3</v>
      </c>
      <c r="W625">
        <v>113.3</v>
      </c>
      <c r="X625">
        <v>22</v>
      </c>
      <c r="Y625">
        <v>24</v>
      </c>
    </row>
    <row r="626" spans="1:25" ht="60" customHeight="1" x14ac:dyDescent="0.25">
      <c r="A626"/>
      <c r="B626" t="s">
        <v>3</v>
      </c>
      <c r="C626" t="s">
        <v>3810</v>
      </c>
      <c r="D626" t="s">
        <v>618</v>
      </c>
      <c r="E626" t="s">
        <v>2695</v>
      </c>
      <c r="F626" t="s">
        <v>2696</v>
      </c>
      <c r="G626" t="s">
        <v>620</v>
      </c>
      <c r="H626" s="11">
        <v>82.25</v>
      </c>
      <c r="I626" s="10">
        <f>H626*(1-IFERROR(VLOOKUP(G626,Rabat!$C$9:$D$43,2,0),0))</f>
        <v>82.25</v>
      </c>
      <c r="J626" t="s">
        <v>1815</v>
      </c>
      <c r="K626" t="s">
        <v>2720</v>
      </c>
      <c r="L626" t="s">
        <v>1813</v>
      </c>
      <c r="M626">
        <v>6</v>
      </c>
      <c r="N626">
        <v>84</v>
      </c>
      <c r="O626" t="s">
        <v>1818</v>
      </c>
      <c r="P626" s="12" t="str">
        <f>HYPERLINK("https://b2b.kobi.pl/pl/product/12877,przedluzka-base-sv-1m-fi-76-mm-czarna-kobi?currency=PLN")</f>
        <v>https://b2b.kobi.pl/pl/product/12877,przedluzka-base-sv-1m-fi-76-mm-czarna-kobi?currency=PLN</v>
      </c>
      <c r="Q626" t="s">
        <v>14</v>
      </c>
      <c r="R626"/>
      <c r="S626" t="s">
        <v>2574</v>
      </c>
      <c r="T626">
        <v>0</v>
      </c>
      <c r="U626">
        <v>2.41</v>
      </c>
      <c r="V626">
        <v>2.58</v>
      </c>
      <c r="W626">
        <v>115</v>
      </c>
      <c r="X626">
        <v>8.4</v>
      </c>
      <c r="Y626">
        <v>8.4</v>
      </c>
    </row>
    <row r="627" spans="1:25" ht="60" customHeight="1" x14ac:dyDescent="0.25">
      <c r="A627"/>
      <c r="B627" t="s">
        <v>3</v>
      </c>
      <c r="C627" t="s">
        <v>3810</v>
      </c>
      <c r="D627" t="s">
        <v>618</v>
      </c>
      <c r="E627" t="s">
        <v>2697</v>
      </c>
      <c r="F627" t="s">
        <v>2698</v>
      </c>
      <c r="G627" t="s">
        <v>620</v>
      </c>
      <c r="H627" s="11">
        <v>82.25</v>
      </c>
      <c r="I627" s="10">
        <f>H627*(1-IFERROR(VLOOKUP(G627,Rabat!$C$9:$D$43,2,0),0))</f>
        <v>82.25</v>
      </c>
      <c r="J627" t="s">
        <v>1815</v>
      </c>
      <c r="K627" t="s">
        <v>2721</v>
      </c>
      <c r="L627" t="s">
        <v>1813</v>
      </c>
      <c r="M627">
        <v>6</v>
      </c>
      <c r="N627">
        <v>84</v>
      </c>
      <c r="O627" t="s">
        <v>1818</v>
      </c>
      <c r="P627" s="12" t="str">
        <f>HYPERLINK("https://b2b.kobi.pl/pl/product/12878,przedluzka-base-sv-1m-fi-76-mm-szara-kobi?currency=PLN")</f>
        <v>https://b2b.kobi.pl/pl/product/12878,przedluzka-base-sv-1m-fi-76-mm-szara-kobi?currency=PLN</v>
      </c>
      <c r="Q627" t="s">
        <v>14</v>
      </c>
      <c r="R627"/>
      <c r="S627" t="s">
        <v>2574</v>
      </c>
      <c r="T627">
        <v>0</v>
      </c>
      <c r="U627">
        <v>2.41</v>
      </c>
      <c r="V627">
        <v>2.58</v>
      </c>
      <c r="W627">
        <v>115</v>
      </c>
      <c r="X627">
        <v>8.4</v>
      </c>
      <c r="Y627">
        <v>8.4</v>
      </c>
    </row>
    <row r="628" spans="1:25" ht="60" customHeight="1" x14ac:dyDescent="0.25">
      <c r="A628"/>
      <c r="B628" t="s">
        <v>3</v>
      </c>
      <c r="C628" t="s">
        <v>3810</v>
      </c>
      <c r="D628" t="s">
        <v>618</v>
      </c>
      <c r="E628" t="s">
        <v>2699</v>
      </c>
      <c r="F628" t="s">
        <v>2700</v>
      </c>
      <c r="G628" t="s">
        <v>620</v>
      </c>
      <c r="H628" s="11">
        <v>46.25</v>
      </c>
      <c r="I628" s="10">
        <f>H628*(1-IFERROR(VLOOKUP(G628,Rabat!$C$9:$D$43,2,0),0))</f>
        <v>46.25</v>
      </c>
      <c r="J628" t="s">
        <v>1815</v>
      </c>
      <c r="K628" t="s">
        <v>2722</v>
      </c>
      <c r="L628" t="s">
        <v>1813</v>
      </c>
      <c r="M628">
        <v>20</v>
      </c>
      <c r="N628">
        <v>240</v>
      </c>
      <c r="O628" t="s">
        <v>1818</v>
      </c>
      <c r="P628" s="12" t="str">
        <f>HYPERLINK("https://b2b.kobi.pl/pl/product/12879,kotwa-fundamentowa-do-slupa-base-sv-200x200mm-kobi?currency=PLN")</f>
        <v>https://b2b.kobi.pl/pl/product/12879,kotwa-fundamentowa-do-slupa-base-sv-200x200mm-kobi?currency=PLN</v>
      </c>
      <c r="Q628" t="s">
        <v>14</v>
      </c>
      <c r="R628"/>
      <c r="S628" t="s">
        <v>2574</v>
      </c>
      <c r="T628">
        <v>0</v>
      </c>
      <c r="U628">
        <v>1.97</v>
      </c>
      <c r="V628">
        <v>2.0499999999999998</v>
      </c>
      <c r="W628">
        <v>30.6</v>
      </c>
      <c r="X628">
        <v>21</v>
      </c>
      <c r="Y628">
        <v>2.2999999999999998</v>
      </c>
    </row>
    <row r="629" spans="1:25" ht="60" customHeight="1" x14ac:dyDescent="0.25">
      <c r="A629"/>
      <c r="B629" t="s">
        <v>3</v>
      </c>
      <c r="C629" t="s">
        <v>3810</v>
      </c>
      <c r="D629" t="s">
        <v>618</v>
      </c>
      <c r="E629" t="s">
        <v>3591</v>
      </c>
      <c r="F629" t="s">
        <v>3592</v>
      </c>
      <c r="G629" t="s">
        <v>620</v>
      </c>
      <c r="H629" s="11">
        <v>162.5</v>
      </c>
      <c r="I629" s="10">
        <f>H629*(1-IFERROR(VLOOKUP(G629,Rabat!$C$9:$D$43,2,0),0))</f>
        <v>162.5</v>
      </c>
      <c r="J629" t="s">
        <v>1815</v>
      </c>
      <c r="K629" t="s">
        <v>3596</v>
      </c>
      <c r="L629" t="s">
        <v>1813</v>
      </c>
      <c r="M629">
        <v>11</v>
      </c>
      <c r="N629">
        <v>198</v>
      </c>
      <c r="O629" t="s">
        <v>1818</v>
      </c>
      <c r="P629" s="12" t="str">
        <f>HYPERLINK("https://b2b.kobi.pl/pl/product/13181,uchwyt-montazowy-base-tp-sv-360mm-fi-60mm-czarny-kobi?currency=PLN")</f>
        <v>https://b2b.kobi.pl/pl/product/13181,uchwyt-montazowy-base-tp-sv-360mm-fi-60mm-czarny-kobi?currency=PLN</v>
      </c>
      <c r="Q629" t="s">
        <v>14</v>
      </c>
      <c r="R629"/>
      <c r="S629" t="s">
        <v>2574</v>
      </c>
      <c r="T629">
        <v>0</v>
      </c>
      <c r="U629">
        <v>1.23</v>
      </c>
      <c r="V629">
        <v>1.254</v>
      </c>
      <c r="W629">
        <v>36</v>
      </c>
      <c r="X629">
        <v>18</v>
      </c>
      <c r="Y629">
        <v>6</v>
      </c>
    </row>
    <row r="630" spans="1:25" ht="60" customHeight="1" x14ac:dyDescent="0.25">
      <c r="A630"/>
      <c r="B630" t="s">
        <v>3</v>
      </c>
      <c r="C630" t="s">
        <v>3810</v>
      </c>
      <c r="D630" t="s">
        <v>618</v>
      </c>
      <c r="E630" t="s">
        <v>3593</v>
      </c>
      <c r="F630" t="s">
        <v>3594</v>
      </c>
      <c r="G630" t="s">
        <v>620</v>
      </c>
      <c r="H630" s="11">
        <v>162.5</v>
      </c>
      <c r="I630" s="10">
        <f>H630*(1-IFERROR(VLOOKUP(G630,Rabat!$C$9:$D$43,2,0),0))</f>
        <v>162.5</v>
      </c>
      <c r="J630" t="s">
        <v>1815</v>
      </c>
      <c r="K630" t="s">
        <v>3597</v>
      </c>
      <c r="L630" t="s">
        <v>1813</v>
      </c>
      <c r="M630">
        <v>11</v>
      </c>
      <c r="N630">
        <v>198</v>
      </c>
      <c r="O630" t="s">
        <v>1818</v>
      </c>
      <c r="P630" s="12" t="str">
        <f>HYPERLINK("https://b2b.kobi.pl/pl/product/13180,uchwyt-montazowy-base-tp-sv-360mm-fi-60mm-szary-kobi?currency=PLN")</f>
        <v>https://b2b.kobi.pl/pl/product/13180,uchwyt-montazowy-base-tp-sv-360mm-fi-60mm-szary-kobi?currency=PLN</v>
      </c>
      <c r="Q630" t="s">
        <v>14</v>
      </c>
      <c r="R630"/>
      <c r="S630" t="s">
        <v>2574</v>
      </c>
      <c r="T630">
        <v>0</v>
      </c>
      <c r="U630">
        <v>1.23</v>
      </c>
      <c r="V630">
        <v>1.254</v>
      </c>
      <c r="W630">
        <v>36</v>
      </c>
      <c r="X630">
        <v>18</v>
      </c>
      <c r="Y630">
        <v>6</v>
      </c>
    </row>
    <row r="631" spans="1:25" ht="60" customHeight="1" x14ac:dyDescent="0.25">
      <c r="A631"/>
      <c r="B631" t="s">
        <v>4</v>
      </c>
      <c r="C631" t="s">
        <v>3736</v>
      </c>
      <c r="D631" t="s">
        <v>618</v>
      </c>
      <c r="E631" t="s">
        <v>927</v>
      </c>
      <c r="F631" t="s">
        <v>928</v>
      </c>
      <c r="G631" t="s">
        <v>784</v>
      </c>
      <c r="H631" s="11">
        <v>28.61</v>
      </c>
      <c r="I631" s="10">
        <f>H631*(1-IFERROR(VLOOKUP(G631,Rabat!$C$9:$D$43,2,0),0))</f>
        <v>28.61</v>
      </c>
      <c r="J631" t="s">
        <v>1815</v>
      </c>
      <c r="K631" t="s">
        <v>250</v>
      </c>
      <c r="L631" t="s">
        <v>1813</v>
      </c>
      <c r="M631">
        <v>20</v>
      </c>
      <c r="N631">
        <v>320</v>
      </c>
      <c r="O631" t="s">
        <v>1818</v>
      </c>
      <c r="P631" s="12" t="str">
        <f>HYPERLINK("https://b2b.kobi.pl/pl/product/10295,lampka-biurkowa-smieszek-1xe27-biala-kobi?currency=PLN")</f>
        <v>https://b2b.kobi.pl/pl/product/10295,lampka-biurkowa-smieszek-1xe27-biala-kobi?currency=PLN</v>
      </c>
      <c r="Q631" t="s">
        <v>14</v>
      </c>
      <c r="R631"/>
      <c r="S631" t="s">
        <v>2612</v>
      </c>
      <c r="T631">
        <v>0.18</v>
      </c>
      <c r="U631">
        <v>0.46</v>
      </c>
      <c r="V631">
        <v>0.53</v>
      </c>
      <c r="W631">
        <v>14</v>
      </c>
      <c r="X631">
        <v>14</v>
      </c>
      <c r="Y631">
        <v>18.5</v>
      </c>
    </row>
    <row r="632" spans="1:25" ht="60" customHeight="1" x14ac:dyDescent="0.25">
      <c r="A632"/>
      <c r="B632" t="s">
        <v>4</v>
      </c>
      <c r="C632" t="s">
        <v>3736</v>
      </c>
      <c r="D632" t="s">
        <v>618</v>
      </c>
      <c r="E632" t="s">
        <v>931</v>
      </c>
      <c r="F632" t="s">
        <v>932</v>
      </c>
      <c r="G632" t="s">
        <v>784</v>
      </c>
      <c r="H632" s="11">
        <v>28.61</v>
      </c>
      <c r="I632" s="10">
        <f>H632*(1-IFERROR(VLOOKUP(G632,Rabat!$C$9:$D$43,2,0),0))</f>
        <v>28.61</v>
      </c>
      <c r="J632" t="s">
        <v>1815</v>
      </c>
      <c r="K632" t="s">
        <v>251</v>
      </c>
      <c r="L632" t="s">
        <v>1813</v>
      </c>
      <c r="M632">
        <v>20</v>
      </c>
      <c r="N632">
        <v>320</v>
      </c>
      <c r="O632" t="s">
        <v>1818</v>
      </c>
      <c r="P632" s="12" t="str">
        <f>HYPERLINK("https://b2b.kobi.pl/pl/product/10296,lampka-biurkowa-smieszek-1xe27-czarna-kobi?currency=PLN")</f>
        <v>https://b2b.kobi.pl/pl/product/10296,lampka-biurkowa-smieszek-1xe27-czarna-kobi?currency=PLN</v>
      </c>
      <c r="Q632" t="s">
        <v>14</v>
      </c>
      <c r="R632"/>
      <c r="S632" t="s">
        <v>2612</v>
      </c>
      <c r="T632">
        <v>0.18</v>
      </c>
      <c r="U632">
        <v>0.46</v>
      </c>
      <c r="V632">
        <v>0.53</v>
      </c>
      <c r="W632">
        <v>14</v>
      </c>
      <c r="X632">
        <v>14</v>
      </c>
      <c r="Y632">
        <v>18.5</v>
      </c>
    </row>
    <row r="633" spans="1:25" ht="60" customHeight="1" x14ac:dyDescent="0.25">
      <c r="A633"/>
      <c r="B633" t="s">
        <v>4</v>
      </c>
      <c r="C633" t="s">
        <v>3736</v>
      </c>
      <c r="D633" t="s">
        <v>618</v>
      </c>
      <c r="E633" t="s">
        <v>935</v>
      </c>
      <c r="F633" t="s">
        <v>936</v>
      </c>
      <c r="G633" t="s">
        <v>784</v>
      </c>
      <c r="H633" s="11">
        <v>28.61</v>
      </c>
      <c r="I633" s="10">
        <f>H633*(1-IFERROR(VLOOKUP(G633,Rabat!$C$9:$D$43,2,0),0))</f>
        <v>28.61</v>
      </c>
      <c r="J633" t="s">
        <v>1815</v>
      </c>
      <c r="K633" t="s">
        <v>252</v>
      </c>
      <c r="L633" t="s">
        <v>1813</v>
      </c>
      <c r="M633">
        <v>20</v>
      </c>
      <c r="N633">
        <v>320</v>
      </c>
      <c r="O633" t="s">
        <v>1818</v>
      </c>
      <c r="P633" s="12" t="str">
        <f>HYPERLINK("https://b2b.kobi.pl/pl/product/10297,lampka-biurkowa-smieszek-1xe27-czerwona-kobi?currency=PLN")</f>
        <v>https://b2b.kobi.pl/pl/product/10297,lampka-biurkowa-smieszek-1xe27-czerwona-kobi?currency=PLN</v>
      </c>
      <c r="Q633" t="s">
        <v>14</v>
      </c>
      <c r="R633"/>
      <c r="S633" t="s">
        <v>2612</v>
      </c>
      <c r="T633">
        <v>0.18</v>
      </c>
      <c r="U633">
        <v>0.46</v>
      </c>
      <c r="V633">
        <v>0.53</v>
      </c>
      <c r="W633">
        <v>14</v>
      </c>
      <c r="X633">
        <v>14</v>
      </c>
      <c r="Y633">
        <v>18.5</v>
      </c>
    </row>
    <row r="634" spans="1:25" ht="60" customHeight="1" x14ac:dyDescent="0.25">
      <c r="A634"/>
      <c r="B634" t="s">
        <v>4</v>
      </c>
      <c r="C634" t="s">
        <v>3736</v>
      </c>
      <c r="D634" t="s">
        <v>618</v>
      </c>
      <c r="E634" t="s">
        <v>937</v>
      </c>
      <c r="F634" t="s">
        <v>938</v>
      </c>
      <c r="G634" t="s">
        <v>784</v>
      </c>
      <c r="H634" s="11">
        <v>28.61</v>
      </c>
      <c r="I634" s="10">
        <f>H634*(1-IFERROR(VLOOKUP(G634,Rabat!$C$9:$D$43,2,0),0))</f>
        <v>28.61</v>
      </c>
      <c r="J634" t="s">
        <v>1815</v>
      </c>
      <c r="K634" t="s">
        <v>253</v>
      </c>
      <c r="L634" t="s">
        <v>1813</v>
      </c>
      <c r="M634">
        <v>20</v>
      </c>
      <c r="N634">
        <v>320</v>
      </c>
      <c r="O634" t="s">
        <v>1818</v>
      </c>
      <c r="P634" s="12" t="str">
        <f>HYPERLINK("https://b2b.kobi.pl/pl/product/10298,lampka-biurkowa-smieszek-1xe27-niebieska-kobi?currency=PLN")</f>
        <v>https://b2b.kobi.pl/pl/product/10298,lampka-biurkowa-smieszek-1xe27-niebieska-kobi?currency=PLN</v>
      </c>
      <c r="Q634" t="s">
        <v>14</v>
      </c>
      <c r="R634"/>
      <c r="S634" t="s">
        <v>2612</v>
      </c>
      <c r="T634">
        <v>0.18</v>
      </c>
      <c r="U634">
        <v>0.46</v>
      </c>
      <c r="V634">
        <v>0.53</v>
      </c>
      <c r="W634">
        <v>14</v>
      </c>
      <c r="X634">
        <v>14</v>
      </c>
      <c r="Y634">
        <v>18.5</v>
      </c>
    </row>
    <row r="635" spans="1:25" ht="60" customHeight="1" x14ac:dyDescent="0.25">
      <c r="A635"/>
      <c r="B635" t="s">
        <v>4</v>
      </c>
      <c r="C635" t="s">
        <v>3736</v>
      </c>
      <c r="D635" t="s">
        <v>618</v>
      </c>
      <c r="E635" t="s">
        <v>939</v>
      </c>
      <c r="F635" t="s">
        <v>940</v>
      </c>
      <c r="G635" t="s">
        <v>784</v>
      </c>
      <c r="H635" s="11">
        <v>28.61</v>
      </c>
      <c r="I635" s="10">
        <f>H635*(1-IFERROR(VLOOKUP(G635,Rabat!$C$9:$D$43,2,0),0))</f>
        <v>28.61</v>
      </c>
      <c r="J635" t="s">
        <v>1815</v>
      </c>
      <c r="K635" t="s">
        <v>254</v>
      </c>
      <c r="L635" t="s">
        <v>1813</v>
      </c>
      <c r="M635">
        <v>20</v>
      </c>
      <c r="N635">
        <v>320</v>
      </c>
      <c r="O635" t="s">
        <v>1818</v>
      </c>
      <c r="P635" s="12" t="str">
        <f>HYPERLINK("https://b2b.kobi.pl/pl/product/10299,lampka-biurkowa-smieszek-1xe27-rozowa-kobi?currency=PLN")</f>
        <v>https://b2b.kobi.pl/pl/product/10299,lampka-biurkowa-smieszek-1xe27-rozowa-kobi?currency=PLN</v>
      </c>
      <c r="Q635" t="s">
        <v>14</v>
      </c>
      <c r="R635"/>
      <c r="S635" t="s">
        <v>2612</v>
      </c>
      <c r="T635">
        <v>0.18</v>
      </c>
      <c r="U635">
        <v>0.46</v>
      </c>
      <c r="V635">
        <v>0.53</v>
      </c>
      <c r="W635">
        <v>14</v>
      </c>
      <c r="X635">
        <v>14</v>
      </c>
      <c r="Y635">
        <v>18.5</v>
      </c>
    </row>
    <row r="636" spans="1:25" ht="60" customHeight="1" x14ac:dyDescent="0.25">
      <c r="A636"/>
      <c r="B636" t="s">
        <v>4</v>
      </c>
      <c r="C636" t="s">
        <v>3736</v>
      </c>
      <c r="D636" t="s">
        <v>618</v>
      </c>
      <c r="E636" t="s">
        <v>941</v>
      </c>
      <c r="F636" t="s">
        <v>942</v>
      </c>
      <c r="G636" t="s">
        <v>784</v>
      </c>
      <c r="H636" s="11">
        <v>28.61</v>
      </c>
      <c r="I636" s="10">
        <f>H636*(1-IFERROR(VLOOKUP(G636,Rabat!$C$9:$D$43,2,0),0))</f>
        <v>28.61</v>
      </c>
      <c r="J636" t="s">
        <v>1815</v>
      </c>
      <c r="K636" t="s">
        <v>255</v>
      </c>
      <c r="L636" t="s">
        <v>1813</v>
      </c>
      <c r="M636">
        <v>20</v>
      </c>
      <c r="N636">
        <v>320</v>
      </c>
      <c r="O636" t="s">
        <v>1818</v>
      </c>
      <c r="P636" s="12" t="str">
        <f>HYPERLINK("https://b2b.kobi.pl/pl/product/10300,lampka-biurkowa-smieszek-1xe27-zielona-kobi?currency=PLN")</f>
        <v>https://b2b.kobi.pl/pl/product/10300,lampka-biurkowa-smieszek-1xe27-zielona-kobi?currency=PLN</v>
      </c>
      <c r="Q636" t="s">
        <v>14</v>
      </c>
      <c r="R636"/>
      <c r="S636" t="s">
        <v>2612</v>
      </c>
      <c r="T636">
        <v>0.18</v>
      </c>
      <c r="U636">
        <v>0.46</v>
      </c>
      <c r="V636">
        <v>0.53</v>
      </c>
      <c r="W636">
        <v>14</v>
      </c>
      <c r="X636">
        <v>14</v>
      </c>
      <c r="Y636">
        <v>18.5</v>
      </c>
    </row>
    <row r="637" spans="1:25" ht="60" customHeight="1" x14ac:dyDescent="0.25">
      <c r="A637"/>
      <c r="B637" t="s">
        <v>4</v>
      </c>
      <c r="C637" t="s">
        <v>3736</v>
      </c>
      <c r="D637" t="s">
        <v>618</v>
      </c>
      <c r="E637" t="s">
        <v>943</v>
      </c>
      <c r="F637" t="s">
        <v>944</v>
      </c>
      <c r="G637" t="s">
        <v>784</v>
      </c>
      <c r="H637" s="11">
        <v>28.61</v>
      </c>
      <c r="I637" s="10">
        <f>H637*(1-IFERROR(VLOOKUP(G637,Rabat!$C$9:$D$43,2,0),0))</f>
        <v>28.61</v>
      </c>
      <c r="J637" t="s">
        <v>1815</v>
      </c>
      <c r="K637" t="s">
        <v>256</v>
      </c>
      <c r="L637" t="s">
        <v>1813</v>
      </c>
      <c r="M637">
        <v>20</v>
      </c>
      <c r="N637">
        <v>320</v>
      </c>
      <c r="O637" t="s">
        <v>1818</v>
      </c>
      <c r="P637" s="12" t="str">
        <f>HYPERLINK("https://b2b.kobi.pl/pl/product/10301,lampka-biurkowa-smieszek-1xe27-zolta-kobi?currency=PLN")</f>
        <v>https://b2b.kobi.pl/pl/product/10301,lampka-biurkowa-smieszek-1xe27-zolta-kobi?currency=PLN</v>
      </c>
      <c r="Q637" t="s">
        <v>14</v>
      </c>
      <c r="R637"/>
      <c r="S637" t="s">
        <v>2612</v>
      </c>
      <c r="T637">
        <v>0.18</v>
      </c>
      <c r="U637">
        <v>0.46</v>
      </c>
      <c r="V637">
        <v>0.53</v>
      </c>
      <c r="W637">
        <v>14</v>
      </c>
      <c r="X637">
        <v>14</v>
      </c>
      <c r="Y637">
        <v>18.5</v>
      </c>
    </row>
    <row r="638" spans="1:25" ht="60" customHeight="1" x14ac:dyDescent="0.25">
      <c r="A638"/>
      <c r="B638" t="s">
        <v>4</v>
      </c>
      <c r="C638" t="s">
        <v>3736</v>
      </c>
      <c r="D638" t="s">
        <v>16</v>
      </c>
      <c r="E638" t="s">
        <v>891</v>
      </c>
      <c r="F638" t="s">
        <v>892</v>
      </c>
      <c r="G638" t="s">
        <v>784</v>
      </c>
      <c r="H638" s="11">
        <v>57.75</v>
      </c>
      <c r="I638" s="10">
        <f>H638*(1-IFERROR(VLOOKUP(G638,Rabat!$C$9:$D$43,2,0),0))</f>
        <v>57.75</v>
      </c>
      <c r="J638" t="s">
        <v>1815</v>
      </c>
      <c r="K638" t="s">
        <v>451</v>
      </c>
      <c r="L638" t="s">
        <v>1813</v>
      </c>
      <c r="M638">
        <v>12</v>
      </c>
      <c r="N638">
        <v>180</v>
      </c>
      <c r="O638" t="s">
        <v>1818</v>
      </c>
      <c r="P638" s="12" t="str">
        <f>HYPERLINK("https://b2b.kobi.pl/pl/product/10304,lampka-biurkowa-auriq-1xe27-biala-led2b?currency=PLN")</f>
        <v>https://b2b.kobi.pl/pl/product/10304,lampka-biurkowa-auriq-1xe27-biala-led2b?currency=PLN</v>
      </c>
      <c r="Q638" t="s">
        <v>14</v>
      </c>
      <c r="R638"/>
      <c r="S638" t="s">
        <v>2612</v>
      </c>
      <c r="T638">
        <v>0.49</v>
      </c>
      <c r="U638">
        <v>1.26</v>
      </c>
      <c r="V638">
        <v>1.5</v>
      </c>
      <c r="W638">
        <v>29</v>
      </c>
      <c r="X638">
        <v>9</v>
      </c>
      <c r="Y638">
        <v>54</v>
      </c>
    </row>
    <row r="639" spans="1:25" ht="60" customHeight="1" x14ac:dyDescent="0.25">
      <c r="A639"/>
      <c r="B639" t="s">
        <v>4</v>
      </c>
      <c r="C639" t="s">
        <v>3736</v>
      </c>
      <c r="D639" t="s">
        <v>16</v>
      </c>
      <c r="E639" t="s">
        <v>893</v>
      </c>
      <c r="F639" t="s">
        <v>894</v>
      </c>
      <c r="G639" t="s">
        <v>784</v>
      </c>
      <c r="H639" s="11">
        <v>57.75</v>
      </c>
      <c r="I639" s="10">
        <f>H639*(1-IFERROR(VLOOKUP(G639,Rabat!$C$9:$D$43,2,0),0))</f>
        <v>57.75</v>
      </c>
      <c r="J639" t="s">
        <v>1815</v>
      </c>
      <c r="K639" t="s">
        <v>450</v>
      </c>
      <c r="L639" t="s">
        <v>1813</v>
      </c>
      <c r="M639">
        <v>12</v>
      </c>
      <c r="N639">
        <v>180</v>
      </c>
      <c r="O639" t="s">
        <v>1818</v>
      </c>
      <c r="P639" s="12" t="str">
        <f>HYPERLINK("https://b2b.kobi.pl/pl/product/10305,lampka-biurkowa-auriq-1xe27-czarna-led2b?currency=PLN")</f>
        <v>https://b2b.kobi.pl/pl/product/10305,lampka-biurkowa-auriq-1xe27-czarna-led2b?currency=PLN</v>
      </c>
      <c r="Q639" t="s">
        <v>14</v>
      </c>
      <c r="R639"/>
      <c r="S639" t="s">
        <v>2612</v>
      </c>
      <c r="T639">
        <v>0.49</v>
      </c>
      <c r="U639">
        <v>1.26</v>
      </c>
      <c r="V639">
        <v>1.5</v>
      </c>
      <c r="W639">
        <v>29</v>
      </c>
      <c r="X639">
        <v>9</v>
      </c>
      <c r="Y639">
        <v>54</v>
      </c>
    </row>
    <row r="640" spans="1:25" ht="60" customHeight="1" x14ac:dyDescent="0.25">
      <c r="A640"/>
      <c r="B640" t="s">
        <v>4</v>
      </c>
      <c r="C640" t="s">
        <v>3736</v>
      </c>
      <c r="D640" t="s">
        <v>16</v>
      </c>
      <c r="E640" t="s">
        <v>2112</v>
      </c>
      <c r="F640" t="s">
        <v>2050</v>
      </c>
      <c r="G640" t="s">
        <v>784</v>
      </c>
      <c r="H640" s="11">
        <v>83.56</v>
      </c>
      <c r="I640" s="10">
        <f>H640*(1-IFERROR(VLOOKUP(G640,Rabat!$C$9:$D$43,2,0),0))</f>
        <v>83.56</v>
      </c>
      <c r="J640" t="s">
        <v>1815</v>
      </c>
      <c r="K640" t="s">
        <v>2076</v>
      </c>
      <c r="L640" t="s">
        <v>1813</v>
      </c>
      <c r="M640">
        <v>12</v>
      </c>
      <c r="N640">
        <v>216</v>
      </c>
      <c r="O640" t="s">
        <v>1818</v>
      </c>
      <c r="P640" s="12" t="str">
        <f>HYPERLINK("https://b2b.kobi.pl/pl/product/12465,lampka-biurkowa-led-auriq-loupe-10w-3cct-czarna-led2b?currency=PLN")</f>
        <v>https://b2b.kobi.pl/pl/product/12465,lampka-biurkowa-led-auriq-loupe-10w-3cct-czarna-led2b?currency=PLN</v>
      </c>
      <c r="Q640" s="12" t="str">
        <f>HYPERLINK("https://eprel.ec.europa.eu/qr/2276145")</f>
        <v>https://eprel.ec.europa.eu/qr/2276145</v>
      </c>
      <c r="R640"/>
      <c r="S640" t="s">
        <v>2613</v>
      </c>
      <c r="T640">
        <v>1.1499999999999999</v>
      </c>
      <c r="U640">
        <v>1.36</v>
      </c>
      <c r="V640">
        <v>1.52</v>
      </c>
      <c r="W640">
        <v>29</v>
      </c>
      <c r="X640">
        <v>24</v>
      </c>
      <c r="Y640">
        <v>7.5</v>
      </c>
    </row>
    <row r="641" spans="1:25" ht="60" customHeight="1" x14ac:dyDescent="0.25">
      <c r="A641"/>
      <c r="B641" t="s">
        <v>4</v>
      </c>
      <c r="C641" t="s">
        <v>3736</v>
      </c>
      <c r="D641" t="s">
        <v>16</v>
      </c>
      <c r="E641" t="s">
        <v>782</v>
      </c>
      <c r="F641" t="s">
        <v>783</v>
      </c>
      <c r="G641" t="s">
        <v>784</v>
      </c>
      <c r="H641" s="11">
        <v>114.33</v>
      </c>
      <c r="I641" s="10">
        <f>H641*(1-IFERROR(VLOOKUP(G641,Rabat!$C$9:$D$43,2,0),0))</f>
        <v>114.33</v>
      </c>
      <c r="J641" t="s">
        <v>1815</v>
      </c>
      <c r="K641" t="s">
        <v>452</v>
      </c>
      <c r="L641" t="s">
        <v>1813</v>
      </c>
      <c r="M641">
        <v>5</v>
      </c>
      <c r="N641">
        <v>70</v>
      </c>
      <c r="O641" t="s">
        <v>1818</v>
      </c>
      <c r="P641" s="12" t="str">
        <f>HYPERLINK("https://b2b.kobi.pl/pl/product/10306,lampa-podlogowa-auriq-st-1xe27-czarna-led2b?currency=PLN")</f>
        <v>https://b2b.kobi.pl/pl/product/10306,lampa-podlogowa-auriq-st-1xe27-czarna-led2b?currency=PLN</v>
      </c>
      <c r="Q641" t="s">
        <v>14</v>
      </c>
      <c r="R641"/>
      <c r="S641" t="s">
        <v>2612</v>
      </c>
      <c r="T641">
        <v>1.94</v>
      </c>
      <c r="U641">
        <v>4.74</v>
      </c>
      <c r="V641">
        <v>5.08</v>
      </c>
      <c r="W641">
        <v>29.5</v>
      </c>
      <c r="X641">
        <v>10.5</v>
      </c>
      <c r="Y641">
        <v>43</v>
      </c>
    </row>
    <row r="642" spans="1:25" ht="60" customHeight="1" x14ac:dyDescent="0.25">
      <c r="A642"/>
      <c r="B642" t="s">
        <v>4</v>
      </c>
      <c r="C642" t="s">
        <v>3736</v>
      </c>
      <c r="D642" t="s">
        <v>16</v>
      </c>
      <c r="E642" t="s">
        <v>3595</v>
      </c>
      <c r="F642" t="s">
        <v>899</v>
      </c>
      <c r="G642" t="s">
        <v>784</v>
      </c>
      <c r="H642" s="11">
        <v>198.33</v>
      </c>
      <c r="I642" s="10">
        <f>H642*(1-IFERROR(VLOOKUP(G642,Rabat!$C$9:$D$43,2,0),0))</f>
        <v>198.33</v>
      </c>
      <c r="J642" t="s">
        <v>1815</v>
      </c>
      <c r="K642" t="s">
        <v>453</v>
      </c>
      <c r="L642" t="s">
        <v>1813</v>
      </c>
      <c r="M642">
        <v>18</v>
      </c>
      <c r="N642">
        <v>480</v>
      </c>
      <c r="O642" t="s">
        <v>1818</v>
      </c>
      <c r="P642" s="12" t="str">
        <f>HYPERLINK("https://b2b.kobi.pl/pl/product/10307,lampka-biurkowa-led-noblite-7w-cct-biala-led2b?currency=PLN")</f>
        <v>https://b2b.kobi.pl/pl/product/10307,lampka-biurkowa-led-noblite-7w-cct-biala-led2b?currency=PLN</v>
      </c>
      <c r="Q642" s="12" t="str">
        <f>HYPERLINK("https://eprel.ec.europa.eu/qr/2076933")</f>
        <v>https://eprel.ec.europa.eu/qr/2076933</v>
      </c>
      <c r="R642" t="s">
        <v>1945</v>
      </c>
      <c r="S642" t="s">
        <v>2613</v>
      </c>
      <c r="T642">
        <v>0.44</v>
      </c>
      <c r="U642">
        <v>0.52</v>
      </c>
      <c r="V642">
        <v>0.7</v>
      </c>
      <c r="W642">
        <v>13.8</v>
      </c>
      <c r="X642">
        <v>6</v>
      </c>
      <c r="Y642">
        <v>36.799999999999997</v>
      </c>
    </row>
    <row r="643" spans="1:25" ht="60" customHeight="1" x14ac:dyDescent="0.25">
      <c r="A643"/>
      <c r="B643" t="s">
        <v>4</v>
      </c>
      <c r="C643" t="s">
        <v>3736</v>
      </c>
      <c r="D643" t="s">
        <v>16</v>
      </c>
      <c r="E643" t="s">
        <v>2055</v>
      </c>
      <c r="F643" t="s">
        <v>2056</v>
      </c>
      <c r="G643" t="s">
        <v>784</v>
      </c>
      <c r="H643" s="11">
        <v>57.97</v>
      </c>
      <c r="I643" s="10">
        <f>H643*(1-IFERROR(VLOOKUP(G643,Rabat!$C$9:$D$43,2,0),0))</f>
        <v>57.97</v>
      </c>
      <c r="J643" t="s">
        <v>1815</v>
      </c>
      <c r="K643" t="s">
        <v>2081</v>
      </c>
      <c r="L643" t="s">
        <v>1813</v>
      </c>
      <c r="M643">
        <v>32</v>
      </c>
      <c r="N643">
        <v>640</v>
      </c>
      <c r="O643" t="s">
        <v>1818</v>
      </c>
      <c r="P643" s="12" t="str">
        <f>HYPERLINK("https://b2b.kobi.pl/pl/product/12471,lampka-biurkowa-led-lusia-5w-biala-led2b?currency=PLN")</f>
        <v>https://b2b.kobi.pl/pl/product/12471,lampka-biurkowa-led-lusia-5w-biala-led2b?currency=PLN</v>
      </c>
      <c r="Q643" s="12" t="str">
        <f>HYPERLINK("https://eprel.ec.europa.eu/qr/2276153")</f>
        <v>https://eprel.ec.europa.eu/qr/2276153</v>
      </c>
      <c r="R643"/>
      <c r="S643" t="s">
        <v>2613</v>
      </c>
      <c r="T643">
        <v>0.25</v>
      </c>
      <c r="U643">
        <v>0.3</v>
      </c>
      <c r="V643">
        <v>0.45</v>
      </c>
      <c r="W643">
        <v>10.199999999999999</v>
      </c>
      <c r="X643">
        <v>10.199999999999999</v>
      </c>
      <c r="Y643">
        <v>19</v>
      </c>
    </row>
    <row r="644" spans="1:25" ht="60" customHeight="1" x14ac:dyDescent="0.25">
      <c r="A644"/>
      <c r="B644" t="s">
        <v>4</v>
      </c>
      <c r="C644" t="s">
        <v>3736</v>
      </c>
      <c r="D644" t="s">
        <v>16</v>
      </c>
      <c r="E644" t="s">
        <v>2057</v>
      </c>
      <c r="F644" t="s">
        <v>2058</v>
      </c>
      <c r="G644" t="s">
        <v>784</v>
      </c>
      <c r="H644" s="11">
        <v>57.97</v>
      </c>
      <c r="I644" s="10">
        <f>H644*(1-IFERROR(VLOOKUP(G644,Rabat!$C$9:$D$43,2,0),0))</f>
        <v>57.97</v>
      </c>
      <c r="J644" t="s">
        <v>1815</v>
      </c>
      <c r="K644" t="s">
        <v>2082</v>
      </c>
      <c r="L644" t="s">
        <v>1813</v>
      </c>
      <c r="M644">
        <v>32</v>
      </c>
      <c r="N644">
        <v>640</v>
      </c>
      <c r="O644" t="s">
        <v>1818</v>
      </c>
      <c r="P644" s="12" t="str">
        <f>HYPERLINK("https://b2b.kobi.pl/pl/product/12472,lampka-biurkowa-led-lusia-5w-czarna-led2b?currency=PLN")</f>
        <v>https://b2b.kobi.pl/pl/product/12472,lampka-biurkowa-led-lusia-5w-czarna-led2b?currency=PLN</v>
      </c>
      <c r="Q644" s="12" t="str">
        <f>HYPERLINK("https://eprel.ec.europa.eu/qr/2276153")</f>
        <v>https://eprel.ec.europa.eu/qr/2276153</v>
      </c>
      <c r="R644"/>
      <c r="S644" t="s">
        <v>2613</v>
      </c>
      <c r="T644">
        <v>0.25</v>
      </c>
      <c r="U644">
        <v>0.3</v>
      </c>
      <c r="V644">
        <v>0.45</v>
      </c>
      <c r="W644">
        <v>10.199999999999999</v>
      </c>
      <c r="X644">
        <v>10.199999999999999</v>
      </c>
      <c r="Y644">
        <v>19</v>
      </c>
    </row>
    <row r="645" spans="1:25" ht="60" customHeight="1" x14ac:dyDescent="0.25">
      <c r="A645"/>
      <c r="B645" t="s">
        <v>4</v>
      </c>
      <c r="C645" t="s">
        <v>3736</v>
      </c>
      <c r="D645" t="s">
        <v>16</v>
      </c>
      <c r="E645" t="s">
        <v>2113</v>
      </c>
      <c r="F645" t="s">
        <v>2052</v>
      </c>
      <c r="G645" t="s">
        <v>784</v>
      </c>
      <c r="H645" s="11">
        <v>69.56</v>
      </c>
      <c r="I645" s="10">
        <f>H645*(1-IFERROR(VLOOKUP(G645,Rabat!$C$9:$D$43,2,0),0))</f>
        <v>69.56</v>
      </c>
      <c r="J645" t="s">
        <v>1815</v>
      </c>
      <c r="K645" t="s">
        <v>2078</v>
      </c>
      <c r="L645" t="s">
        <v>1813</v>
      </c>
      <c r="M645">
        <v>20</v>
      </c>
      <c r="N645">
        <v>480</v>
      </c>
      <c r="O645" t="s">
        <v>1818</v>
      </c>
      <c r="P645" s="12" t="str">
        <f>HYPERLINK("https://b2b.kobi.pl/pl/product/12467,lampka-biurkowa-led-noblite-rgb-7w-3cct-biala-led2b?currency=PLN")</f>
        <v>https://b2b.kobi.pl/pl/product/12467,lampka-biurkowa-led-noblite-rgb-7w-3cct-biala-led2b?currency=PLN</v>
      </c>
      <c r="Q645" s="12" t="str">
        <f>HYPERLINK("https://eprel.ec.europa.eu/qr/2255650")</f>
        <v>https://eprel.ec.europa.eu/qr/2255650</v>
      </c>
      <c r="R645"/>
      <c r="S645" t="s">
        <v>2613</v>
      </c>
      <c r="T645">
        <v>0.32</v>
      </c>
      <c r="U645">
        <v>0.38</v>
      </c>
      <c r="V645">
        <v>0.51</v>
      </c>
      <c r="W645">
        <v>11.6</v>
      </c>
      <c r="X645">
        <v>5.5</v>
      </c>
      <c r="Y645">
        <v>35.799999999999997</v>
      </c>
    </row>
    <row r="646" spans="1:25" ht="60" customHeight="1" x14ac:dyDescent="0.25">
      <c r="A646"/>
      <c r="B646" t="s">
        <v>4</v>
      </c>
      <c r="C646" t="s">
        <v>3736</v>
      </c>
      <c r="D646" t="s">
        <v>16</v>
      </c>
      <c r="E646" t="s">
        <v>2114</v>
      </c>
      <c r="F646" t="s">
        <v>2051</v>
      </c>
      <c r="G646" t="s">
        <v>784</v>
      </c>
      <c r="H646" s="11">
        <v>69.56</v>
      </c>
      <c r="I646" s="10">
        <f>H646*(1-IFERROR(VLOOKUP(G646,Rabat!$C$9:$D$43,2,0),0))</f>
        <v>69.56</v>
      </c>
      <c r="J646" t="s">
        <v>1815</v>
      </c>
      <c r="K646" t="s">
        <v>2077</v>
      </c>
      <c r="L646" t="s">
        <v>1813</v>
      </c>
      <c r="M646">
        <v>20</v>
      </c>
      <c r="N646">
        <v>480</v>
      </c>
      <c r="O646" t="s">
        <v>1818</v>
      </c>
      <c r="P646" s="12" t="str">
        <f>HYPERLINK("https://b2b.kobi.pl/pl/product/12466,lampka-biurkowa-led-noblite-rgb-7w-3cct-czarna-led2b?currency=PLN")</f>
        <v>https://b2b.kobi.pl/pl/product/12466,lampka-biurkowa-led-noblite-rgb-7w-3cct-czarna-led2b?currency=PLN</v>
      </c>
      <c r="Q646" t="s">
        <v>14</v>
      </c>
      <c r="R646"/>
      <c r="S646" t="s">
        <v>2613</v>
      </c>
      <c r="T646">
        <v>0.32</v>
      </c>
      <c r="U646">
        <v>0.38</v>
      </c>
      <c r="V646">
        <v>0.51</v>
      </c>
      <c r="W646">
        <v>11.6</v>
      </c>
      <c r="X646">
        <v>5.5</v>
      </c>
      <c r="Y646">
        <v>35.799999999999997</v>
      </c>
    </row>
    <row r="647" spans="1:25" ht="60" customHeight="1" x14ac:dyDescent="0.25">
      <c r="A647"/>
      <c r="B647" t="s">
        <v>4</v>
      </c>
      <c r="C647" t="s">
        <v>3736</v>
      </c>
      <c r="D647" t="s">
        <v>16</v>
      </c>
      <c r="E647" t="s">
        <v>2115</v>
      </c>
      <c r="F647" t="s">
        <v>2054</v>
      </c>
      <c r="G647" t="s">
        <v>784</v>
      </c>
      <c r="H647" s="11">
        <v>45.94</v>
      </c>
      <c r="I647" s="10">
        <f>H647*(1-IFERROR(VLOOKUP(G647,Rabat!$C$9:$D$43,2,0),0))</f>
        <v>45.94</v>
      </c>
      <c r="J647" t="s">
        <v>1815</v>
      </c>
      <c r="K647" t="s">
        <v>2080</v>
      </c>
      <c r="L647" t="s">
        <v>1813</v>
      </c>
      <c r="M647">
        <v>20</v>
      </c>
      <c r="N647">
        <v>480</v>
      </c>
      <c r="O647" t="s">
        <v>1818</v>
      </c>
      <c r="P647" s="12" t="str">
        <f>HYPERLINK("https://b2b.kobi.pl/pl/product/12470,lampka-biurkowa-led-noblite-n-7w-3cct-biala-led2b?currency=PLN")</f>
        <v>https://b2b.kobi.pl/pl/product/12470,lampka-biurkowa-led-noblite-n-7w-3cct-biala-led2b?currency=PLN</v>
      </c>
      <c r="Q647" s="12" t="str">
        <f>HYPERLINK("https://eprel.ec.europa.eu/qr/2255648")</f>
        <v>https://eprel.ec.europa.eu/qr/2255648</v>
      </c>
      <c r="R647"/>
      <c r="S647" t="s">
        <v>2613</v>
      </c>
      <c r="T647">
        <v>0.25</v>
      </c>
      <c r="U647">
        <v>0.3</v>
      </c>
      <c r="V647">
        <v>0.45</v>
      </c>
      <c r="W647">
        <v>34</v>
      </c>
      <c r="X647">
        <v>12</v>
      </c>
      <c r="Y647">
        <v>6</v>
      </c>
    </row>
    <row r="648" spans="1:25" ht="60" customHeight="1" x14ac:dyDescent="0.25">
      <c r="A648"/>
      <c r="B648" t="s">
        <v>4</v>
      </c>
      <c r="C648" t="s">
        <v>3736</v>
      </c>
      <c r="D648" t="s">
        <v>16</v>
      </c>
      <c r="E648" t="s">
        <v>2116</v>
      </c>
      <c r="F648" t="s">
        <v>2053</v>
      </c>
      <c r="G648" t="s">
        <v>784</v>
      </c>
      <c r="H648" s="11">
        <v>45.94</v>
      </c>
      <c r="I648" s="10">
        <f>H648*(1-IFERROR(VLOOKUP(G648,Rabat!$C$9:$D$43,2,0),0))</f>
        <v>45.94</v>
      </c>
      <c r="J648" t="s">
        <v>1815</v>
      </c>
      <c r="K648" t="s">
        <v>2079</v>
      </c>
      <c r="L648" t="s">
        <v>1813</v>
      </c>
      <c r="M648">
        <v>20</v>
      </c>
      <c r="N648">
        <v>480</v>
      </c>
      <c r="O648" t="s">
        <v>1818</v>
      </c>
      <c r="P648" s="12" t="str">
        <f>HYPERLINK("https://b2b.kobi.pl/pl/product/12469,lampka-biurkowa-led-noblite-n-7w-3cct-czarna-led2b?currency=PLN")</f>
        <v>https://b2b.kobi.pl/pl/product/12469,lampka-biurkowa-led-noblite-n-7w-3cct-czarna-led2b?currency=PLN</v>
      </c>
      <c r="Q648" s="12" t="str">
        <f>HYPERLINK("https://eprel.ec.europa.eu/qr/2255648")</f>
        <v>https://eprel.ec.europa.eu/qr/2255648</v>
      </c>
      <c r="R648"/>
      <c r="S648" t="s">
        <v>2613</v>
      </c>
      <c r="T648">
        <v>0.25</v>
      </c>
      <c r="U648">
        <v>0.3</v>
      </c>
      <c r="V648">
        <v>0.45</v>
      </c>
      <c r="W648">
        <v>34</v>
      </c>
      <c r="X648">
        <v>12</v>
      </c>
      <c r="Y648">
        <v>6</v>
      </c>
    </row>
    <row r="649" spans="1:25" ht="60" customHeight="1" x14ac:dyDescent="0.25">
      <c r="A649"/>
      <c r="B649" t="s">
        <v>4</v>
      </c>
      <c r="C649" t="s">
        <v>3736</v>
      </c>
      <c r="D649" t="s">
        <v>16</v>
      </c>
      <c r="E649" t="s">
        <v>3839</v>
      </c>
      <c r="F649" t="s">
        <v>2059</v>
      </c>
      <c r="G649" t="s">
        <v>784</v>
      </c>
      <c r="H649" s="11">
        <v>157.24</v>
      </c>
      <c r="I649" s="10">
        <f>H649*(1-IFERROR(VLOOKUP(G649,Rabat!$C$9:$D$43,2,0),0))</f>
        <v>157.24</v>
      </c>
      <c r="J649" t="s">
        <v>1815</v>
      </c>
      <c r="K649" t="s">
        <v>2083</v>
      </c>
      <c r="L649" t="s">
        <v>1813</v>
      </c>
      <c r="M649">
        <v>8</v>
      </c>
      <c r="N649">
        <v>128</v>
      </c>
      <c r="O649" t="s">
        <v>1818</v>
      </c>
      <c r="P649" s="12" t="str">
        <f>HYPERLINK("https://b2b.kobi.pl/pl/product/12473,lampa-podlogowa-led-teilo-10w-3cct-led2b?currency=PLN")</f>
        <v>https://b2b.kobi.pl/pl/product/12473,lampa-podlogowa-led-teilo-10w-3cct-led2b?currency=PLN</v>
      </c>
      <c r="Q649" t="s">
        <v>14</v>
      </c>
      <c r="R649"/>
      <c r="S649" t="s">
        <v>2616</v>
      </c>
      <c r="T649">
        <v>1.44</v>
      </c>
      <c r="U649">
        <v>1.7</v>
      </c>
      <c r="V649">
        <v>2.2000000000000002</v>
      </c>
      <c r="W649">
        <v>42</v>
      </c>
      <c r="X649">
        <v>27</v>
      </c>
      <c r="Y649">
        <v>8</v>
      </c>
    </row>
    <row r="650" spans="1:25" ht="60" customHeight="1" x14ac:dyDescent="0.25">
      <c r="A650"/>
      <c r="B650" t="s">
        <v>4</v>
      </c>
      <c r="C650" t="s">
        <v>3736</v>
      </c>
      <c r="D650" t="s">
        <v>16</v>
      </c>
      <c r="E650" t="s">
        <v>2117</v>
      </c>
      <c r="F650" t="s">
        <v>2048</v>
      </c>
      <c r="G650" t="s">
        <v>784</v>
      </c>
      <c r="H650" s="11">
        <v>93.1</v>
      </c>
      <c r="I650" s="10">
        <f>H650*(1-IFERROR(VLOOKUP(G650,Rabat!$C$9:$D$43,2,0),0))</f>
        <v>93.1</v>
      </c>
      <c r="J650" t="s">
        <v>1815</v>
      </c>
      <c r="K650" t="s">
        <v>2074</v>
      </c>
      <c r="L650" t="s">
        <v>1813</v>
      </c>
      <c r="M650">
        <v>8</v>
      </c>
      <c r="N650">
        <v>192</v>
      </c>
      <c r="O650" t="s">
        <v>1818</v>
      </c>
      <c r="P650" s="12" t="str">
        <f>HYPERLINK("https://b2b.kobi.pl/pl/product/12378,lampka-biurkowa-led-tenuix-14w-3cct-biala-led2b?currency=PLN")</f>
        <v>https://b2b.kobi.pl/pl/product/12378,lampka-biurkowa-led-tenuix-14w-3cct-biala-led2b?currency=PLN</v>
      </c>
      <c r="Q650" s="12" t="str">
        <f>HYPERLINK("https://eprel.ec.europa.eu/qr/2077025")</f>
        <v>https://eprel.ec.europa.eu/qr/2077025</v>
      </c>
      <c r="R650"/>
      <c r="S650" t="s">
        <v>2616</v>
      </c>
      <c r="T650">
        <v>1.2</v>
      </c>
      <c r="U650">
        <v>1.42</v>
      </c>
      <c r="V650">
        <v>1.83</v>
      </c>
      <c r="W650">
        <v>40</v>
      </c>
      <c r="X650">
        <v>20.5</v>
      </c>
      <c r="Y650">
        <v>8</v>
      </c>
    </row>
    <row r="651" spans="1:25" ht="60" customHeight="1" x14ac:dyDescent="0.25">
      <c r="A651"/>
      <c r="B651" t="s">
        <v>4</v>
      </c>
      <c r="C651" t="s">
        <v>3736</v>
      </c>
      <c r="D651" t="s">
        <v>16</v>
      </c>
      <c r="E651" t="s">
        <v>2118</v>
      </c>
      <c r="F651" t="s">
        <v>908</v>
      </c>
      <c r="G651" t="s">
        <v>784</v>
      </c>
      <c r="H651" s="11">
        <v>104.74</v>
      </c>
      <c r="I651" s="10">
        <f>H651*(1-IFERROR(VLOOKUP(G651,Rabat!$C$9:$D$43,2,0),0))</f>
        <v>104.74</v>
      </c>
      <c r="J651" t="s">
        <v>1815</v>
      </c>
      <c r="K651" t="s">
        <v>448</v>
      </c>
      <c r="L651" t="s">
        <v>1813</v>
      </c>
      <c r="M651">
        <v>8</v>
      </c>
      <c r="N651">
        <v>192</v>
      </c>
      <c r="O651" t="s">
        <v>1818</v>
      </c>
      <c r="P651" s="12" t="str">
        <f>HYPERLINK("https://b2b.kobi.pl/pl/product/10309,lampka-biurkowa-led-tenuix-14w-cct-czarna-led2b?currency=PLN")</f>
        <v>https://b2b.kobi.pl/pl/product/10309,lampka-biurkowa-led-tenuix-14w-cct-czarna-led2b?currency=PLN</v>
      </c>
      <c r="Q651" s="12" t="str">
        <f>HYPERLINK("https://eprel.ec.europa.eu/qr/2077025")</f>
        <v>https://eprel.ec.europa.eu/qr/2077025</v>
      </c>
      <c r="R651"/>
      <c r="S651" t="s">
        <v>2616</v>
      </c>
      <c r="T651">
        <v>1.29</v>
      </c>
      <c r="U651">
        <v>1.53</v>
      </c>
      <c r="V651">
        <v>1.87</v>
      </c>
      <c r="W651">
        <v>40</v>
      </c>
      <c r="X651">
        <v>20.5</v>
      </c>
      <c r="Y651">
        <v>8</v>
      </c>
    </row>
    <row r="652" spans="1:25" ht="60" customHeight="1" x14ac:dyDescent="0.25">
      <c r="A652"/>
      <c r="B652" t="s">
        <v>4</v>
      </c>
      <c r="C652" t="s">
        <v>3736</v>
      </c>
      <c r="D652" t="s">
        <v>16</v>
      </c>
      <c r="E652" t="s">
        <v>3840</v>
      </c>
      <c r="F652" t="s">
        <v>2049</v>
      </c>
      <c r="G652" t="s">
        <v>784</v>
      </c>
      <c r="H652" s="11">
        <v>139.77000000000001</v>
      </c>
      <c r="I652" s="10">
        <f>H652*(1-IFERROR(VLOOKUP(G652,Rabat!$C$9:$D$43,2,0),0))</f>
        <v>139.77000000000001</v>
      </c>
      <c r="J652" t="s">
        <v>1815</v>
      </c>
      <c r="K652" t="s">
        <v>2075</v>
      </c>
      <c r="L652" t="s">
        <v>1813</v>
      </c>
      <c r="M652">
        <v>16</v>
      </c>
      <c r="N652">
        <v>256</v>
      </c>
      <c r="O652" t="s">
        <v>1818</v>
      </c>
      <c r="P652" s="12" t="str">
        <f>HYPERLINK("https://b2b.kobi.pl/pl/product/12379,lampka-biurkowa-led-tenuix-duo-28w-3cct-biala-led2b?currency=PLN")</f>
        <v>https://b2b.kobi.pl/pl/product/12379,lampka-biurkowa-led-tenuix-duo-28w-3cct-biala-led2b?currency=PLN</v>
      </c>
      <c r="Q652" s="12" t="str">
        <f>HYPERLINK("https://eprel.ec.europa.eu/qr/2077037")</f>
        <v>https://eprel.ec.europa.eu/qr/2077037</v>
      </c>
      <c r="R652"/>
      <c r="S652" t="s">
        <v>2616</v>
      </c>
      <c r="T652">
        <v>0.51</v>
      </c>
      <c r="U652">
        <v>0.6</v>
      </c>
      <c r="V652">
        <v>0.94</v>
      </c>
      <c r="W652">
        <v>46.5</v>
      </c>
      <c r="X652">
        <v>13.5</v>
      </c>
      <c r="Y652">
        <v>6.5</v>
      </c>
    </row>
    <row r="653" spans="1:25" ht="60" customHeight="1" x14ac:dyDescent="0.25">
      <c r="A653"/>
      <c r="B653" t="s">
        <v>4</v>
      </c>
      <c r="C653" t="s">
        <v>3736</v>
      </c>
      <c r="D653" t="s">
        <v>16</v>
      </c>
      <c r="E653" t="s">
        <v>3841</v>
      </c>
      <c r="F653" t="s">
        <v>909</v>
      </c>
      <c r="G653" t="s">
        <v>784</v>
      </c>
      <c r="H653" s="11">
        <v>149.1</v>
      </c>
      <c r="I653" s="10">
        <f>H653*(1-IFERROR(VLOOKUP(G653,Rabat!$C$9:$D$43,2,0),0))</f>
        <v>149.1</v>
      </c>
      <c r="J653" t="s">
        <v>1815</v>
      </c>
      <c r="K653" t="s">
        <v>449</v>
      </c>
      <c r="L653" t="s">
        <v>1813</v>
      </c>
      <c r="M653">
        <v>16</v>
      </c>
      <c r="N653">
        <v>256</v>
      </c>
      <c r="O653" t="s">
        <v>1818</v>
      </c>
      <c r="P653" s="12" t="str">
        <f>HYPERLINK("https://b2b.kobi.pl/pl/product/10310,lampka-biurkowa-led-tenuix-duo-28w-cct-czarna-led2b?currency=PLN")</f>
        <v>https://b2b.kobi.pl/pl/product/10310,lampka-biurkowa-led-tenuix-duo-28w-cct-czarna-led2b?currency=PLN</v>
      </c>
      <c r="Q653" s="12" t="str">
        <f>HYPERLINK("https://eprel.ec.europa.eu/qr/2077037")</f>
        <v>https://eprel.ec.europa.eu/qr/2077037</v>
      </c>
      <c r="R653"/>
      <c r="S653" t="s">
        <v>2616</v>
      </c>
      <c r="T653">
        <v>0.51</v>
      </c>
      <c r="U653">
        <v>0.6</v>
      </c>
      <c r="V653">
        <v>0.94</v>
      </c>
      <c r="W653">
        <v>46</v>
      </c>
      <c r="X653">
        <v>6</v>
      </c>
      <c r="Y653">
        <v>13</v>
      </c>
    </row>
    <row r="654" spans="1:25" ht="60" customHeight="1" x14ac:dyDescent="0.25">
      <c r="A654"/>
      <c r="B654" t="s">
        <v>4</v>
      </c>
      <c r="C654" t="s">
        <v>3736</v>
      </c>
      <c r="D654" t="s">
        <v>16</v>
      </c>
      <c r="E654" t="s">
        <v>2478</v>
      </c>
      <c r="F654" t="s">
        <v>2479</v>
      </c>
      <c r="G654" t="s">
        <v>784</v>
      </c>
      <c r="H654" s="11">
        <v>112.61</v>
      </c>
      <c r="I654" s="10">
        <f>H654*(1-IFERROR(VLOOKUP(G654,Rabat!$C$9:$D$43,2,0),0))</f>
        <v>112.61</v>
      </c>
      <c r="J654" t="s">
        <v>1815</v>
      </c>
      <c r="K654" t="s">
        <v>2486</v>
      </c>
      <c r="L654" t="s">
        <v>1813</v>
      </c>
      <c r="M654">
        <v>20</v>
      </c>
      <c r="N654">
        <v>320</v>
      </c>
      <c r="O654" t="s">
        <v>1818</v>
      </c>
      <c r="P654" s="12" t="str">
        <f>HYPERLINK("https://b2b.kobi.pl/pl/product/12609,lampka-biurkowa-led-tenuix-duo-2-14w-cct-czarna-led2b?currency=PLN")</f>
        <v>https://b2b.kobi.pl/pl/product/12609,lampka-biurkowa-led-tenuix-duo-2-14w-cct-czarna-led2b?currency=PLN</v>
      </c>
      <c r="Q654" s="12" t="str">
        <f>HYPERLINK("https://eprel.ec.europa.eu/qr/2365003")</f>
        <v>https://eprel.ec.europa.eu/qr/2365003</v>
      </c>
      <c r="R654"/>
      <c r="S654" t="s">
        <v>2616</v>
      </c>
      <c r="T654">
        <v>0.55000000000000004</v>
      </c>
      <c r="U654">
        <v>0.65</v>
      </c>
      <c r="V654">
        <v>0.75</v>
      </c>
      <c r="W654">
        <v>43.5</v>
      </c>
      <c r="X654">
        <v>18.5</v>
      </c>
      <c r="Y654">
        <v>5.5</v>
      </c>
    </row>
    <row r="655" spans="1:25" ht="60" customHeight="1" x14ac:dyDescent="0.25">
      <c r="A655"/>
      <c r="B655" t="s">
        <v>4</v>
      </c>
      <c r="C655" t="s">
        <v>3736</v>
      </c>
      <c r="D655" t="s">
        <v>16</v>
      </c>
      <c r="E655" t="s">
        <v>2119</v>
      </c>
      <c r="F655" t="s">
        <v>2060</v>
      </c>
      <c r="G655" t="s">
        <v>784</v>
      </c>
      <c r="H655" s="11">
        <v>196.61</v>
      </c>
      <c r="I655" s="10">
        <f>H655*(1-IFERROR(VLOOKUP(G655,Rabat!$C$9:$D$43,2,0),0))</f>
        <v>196.61</v>
      </c>
      <c r="J655" t="s">
        <v>1815</v>
      </c>
      <c r="K655" t="s">
        <v>2084</v>
      </c>
      <c r="L655" t="s">
        <v>1813</v>
      </c>
      <c r="M655">
        <v>10</v>
      </c>
      <c r="N655">
        <v>150</v>
      </c>
      <c r="O655" t="s">
        <v>1818</v>
      </c>
      <c r="P655" s="12" t="str">
        <f>HYPERLINK("https://b2b.kobi.pl/pl/product/12475,lampka-biurkowa-led-tenuix-fold-20w-3cct-led2b?currency=PLN")</f>
        <v>https://b2b.kobi.pl/pl/product/12475,lampka-biurkowa-led-tenuix-fold-20w-3cct-led2b?currency=PLN</v>
      </c>
      <c r="Q655" s="12" t="str">
        <f>HYPERLINK("https://eprel.ec.europa.eu/qr/2276165")</f>
        <v>https://eprel.ec.europa.eu/qr/2276165</v>
      </c>
      <c r="R655"/>
      <c r="S655" t="s">
        <v>2616</v>
      </c>
      <c r="T655">
        <v>0.46</v>
      </c>
      <c r="U655">
        <v>0.55000000000000004</v>
      </c>
      <c r="V655">
        <v>0.91</v>
      </c>
      <c r="W655">
        <v>44.5</v>
      </c>
      <c r="X655">
        <v>23.5</v>
      </c>
      <c r="Y655">
        <v>6</v>
      </c>
    </row>
    <row r="656" spans="1:25" ht="60" customHeight="1" x14ac:dyDescent="0.25">
      <c r="A656"/>
      <c r="B656" t="s">
        <v>4</v>
      </c>
      <c r="C656" t="s">
        <v>3736</v>
      </c>
      <c r="D656" t="s">
        <v>16</v>
      </c>
      <c r="E656" t="s">
        <v>910</v>
      </c>
      <c r="F656" t="s">
        <v>911</v>
      </c>
      <c r="G656" t="s">
        <v>784</v>
      </c>
      <c r="H656" s="11">
        <v>42.25</v>
      </c>
      <c r="I656" s="10">
        <f>H656*(1-IFERROR(VLOOKUP(G656,Rabat!$C$9:$D$43,2,0),0))</f>
        <v>42.25</v>
      </c>
      <c r="J656" t="s">
        <v>1815</v>
      </c>
      <c r="K656" t="s">
        <v>456</v>
      </c>
      <c r="L656" t="s">
        <v>1813</v>
      </c>
      <c r="M656">
        <v>60</v>
      </c>
      <c r="N656">
        <v>360</v>
      </c>
      <c r="O656" t="s">
        <v>1818</v>
      </c>
      <c r="P656" s="12" t="str">
        <f>HYPERLINK("https://b2b.kobi.pl/pl/product/10311,lampka-biurkowa-led-visua-desk-5w-biala-led2b?currency=PLN")</f>
        <v>https://b2b.kobi.pl/pl/product/10311,lampka-biurkowa-led-visua-desk-5w-biala-led2b?currency=PLN</v>
      </c>
      <c r="Q656" t="s">
        <v>14</v>
      </c>
      <c r="R656"/>
      <c r="S656" t="s">
        <v>2613</v>
      </c>
      <c r="T656">
        <v>0.19</v>
      </c>
      <c r="U656">
        <v>0.22</v>
      </c>
      <c r="V656">
        <v>0.3</v>
      </c>
      <c r="W656">
        <v>14</v>
      </c>
      <c r="X656">
        <v>16</v>
      </c>
      <c r="Y656">
        <v>10</v>
      </c>
    </row>
    <row r="657" spans="1:25" ht="60" customHeight="1" x14ac:dyDescent="0.25">
      <c r="A657"/>
      <c r="B657" t="s">
        <v>4</v>
      </c>
      <c r="C657" t="s">
        <v>3736</v>
      </c>
      <c r="D657" t="s">
        <v>16</v>
      </c>
      <c r="E657" t="s">
        <v>912</v>
      </c>
      <c r="F657" t="s">
        <v>913</v>
      </c>
      <c r="G657" t="s">
        <v>784</v>
      </c>
      <c r="H657" s="11">
        <v>42.25</v>
      </c>
      <c r="I657" s="10">
        <f>H657*(1-IFERROR(VLOOKUP(G657,Rabat!$C$9:$D$43,2,0),0))</f>
        <v>42.25</v>
      </c>
      <c r="J657" t="s">
        <v>1815</v>
      </c>
      <c r="K657" t="s">
        <v>455</v>
      </c>
      <c r="L657" t="s">
        <v>1813</v>
      </c>
      <c r="M657">
        <v>60</v>
      </c>
      <c r="N657">
        <v>360</v>
      </c>
      <c r="O657" t="s">
        <v>1818</v>
      </c>
      <c r="P657" s="12" t="str">
        <f>HYPERLINK("https://b2b.kobi.pl/pl/product/10312,lampka-biurkowa-led-visua-desk-5w-czarna-led2b?currency=PLN")</f>
        <v>https://b2b.kobi.pl/pl/product/10312,lampka-biurkowa-led-visua-desk-5w-czarna-led2b?currency=PLN</v>
      </c>
      <c r="Q657" t="s">
        <v>14</v>
      </c>
      <c r="R657"/>
      <c r="S657" t="s">
        <v>2613</v>
      </c>
      <c r="T657">
        <v>0.19</v>
      </c>
      <c r="U657">
        <v>0.22</v>
      </c>
      <c r="V657">
        <v>0.3</v>
      </c>
      <c r="W657">
        <v>14</v>
      </c>
      <c r="X657">
        <v>16</v>
      </c>
      <c r="Y657">
        <v>10</v>
      </c>
    </row>
    <row r="658" spans="1:25" ht="60" customHeight="1" x14ac:dyDescent="0.25">
      <c r="A658"/>
      <c r="B658" t="s">
        <v>4</v>
      </c>
      <c r="C658" t="s">
        <v>3736</v>
      </c>
      <c r="D658" t="s">
        <v>16</v>
      </c>
      <c r="E658" t="s">
        <v>914</v>
      </c>
      <c r="F658" t="s">
        <v>915</v>
      </c>
      <c r="G658" t="s">
        <v>784</v>
      </c>
      <c r="H658" s="11">
        <v>42.25</v>
      </c>
      <c r="I658" s="10">
        <f>H658*(1-IFERROR(VLOOKUP(G658,Rabat!$C$9:$D$43,2,0),0))</f>
        <v>42.25</v>
      </c>
      <c r="J658" t="s">
        <v>1815</v>
      </c>
      <c r="K658" t="s">
        <v>465</v>
      </c>
      <c r="L658" t="s">
        <v>1813</v>
      </c>
      <c r="M658">
        <v>60</v>
      </c>
      <c r="N658">
        <v>360</v>
      </c>
      <c r="O658" t="s">
        <v>1818</v>
      </c>
      <c r="P658" s="12" t="str">
        <f>HYPERLINK("https://b2b.kobi.pl/pl/product/10313,lampka-biurkowa-led-visua-desk-5w-mietowa-led2b?currency=PLN")</f>
        <v>https://b2b.kobi.pl/pl/product/10313,lampka-biurkowa-led-visua-desk-5w-mietowa-led2b?currency=PLN</v>
      </c>
      <c r="Q658" t="s">
        <v>14</v>
      </c>
      <c r="R658"/>
      <c r="S658" t="s">
        <v>2613</v>
      </c>
      <c r="T658">
        <v>0.19</v>
      </c>
      <c r="U658">
        <v>0.22</v>
      </c>
      <c r="V658">
        <v>0.3</v>
      </c>
      <c r="W658">
        <v>14</v>
      </c>
      <c r="X658">
        <v>16</v>
      </c>
      <c r="Y658">
        <v>10</v>
      </c>
    </row>
    <row r="659" spans="1:25" ht="60" customHeight="1" x14ac:dyDescent="0.25">
      <c r="A659"/>
      <c r="B659" t="s">
        <v>4</v>
      </c>
      <c r="C659" t="s">
        <v>3736</v>
      </c>
      <c r="D659" t="s">
        <v>16</v>
      </c>
      <c r="E659" t="s">
        <v>918</v>
      </c>
      <c r="F659" t="s">
        <v>919</v>
      </c>
      <c r="G659" t="s">
        <v>784</v>
      </c>
      <c r="H659" s="11">
        <v>42.25</v>
      </c>
      <c r="I659" s="10">
        <f>H659*(1-IFERROR(VLOOKUP(G659,Rabat!$C$9:$D$43,2,0),0))</f>
        <v>42.25</v>
      </c>
      <c r="J659" t="s">
        <v>1815</v>
      </c>
      <c r="K659" t="s">
        <v>1850</v>
      </c>
      <c r="L659" t="s">
        <v>1813</v>
      </c>
      <c r="M659">
        <v>60</v>
      </c>
      <c r="N659">
        <v>360</v>
      </c>
      <c r="O659" t="s">
        <v>1818</v>
      </c>
      <c r="P659" s="12" t="str">
        <f>HYPERLINK("https://b2b.kobi.pl/pl/product/10314,lampka-biurkowa-led-visua-desk-5w-niebieska-led2b?currency=PLN")</f>
        <v>https://b2b.kobi.pl/pl/product/10314,lampka-biurkowa-led-visua-desk-5w-niebieska-led2b?currency=PLN</v>
      </c>
      <c r="Q659" t="s">
        <v>14</v>
      </c>
      <c r="R659"/>
      <c r="S659" t="s">
        <v>2613</v>
      </c>
      <c r="T659">
        <v>0.19</v>
      </c>
      <c r="U659">
        <v>0.22</v>
      </c>
      <c r="V659">
        <v>0.3</v>
      </c>
      <c r="W659">
        <v>14</v>
      </c>
      <c r="X659">
        <v>16</v>
      </c>
      <c r="Y659">
        <v>10</v>
      </c>
    </row>
    <row r="660" spans="1:25" ht="60" customHeight="1" x14ac:dyDescent="0.25">
      <c r="A660"/>
      <c r="B660" t="s">
        <v>4</v>
      </c>
      <c r="C660" t="s">
        <v>3736</v>
      </c>
      <c r="D660" t="s">
        <v>16</v>
      </c>
      <c r="E660" t="s">
        <v>920</v>
      </c>
      <c r="F660" t="s">
        <v>921</v>
      </c>
      <c r="G660" t="s">
        <v>784</v>
      </c>
      <c r="H660" s="11">
        <v>42.25</v>
      </c>
      <c r="I660" s="10">
        <f>H660*(1-IFERROR(VLOOKUP(G660,Rabat!$C$9:$D$43,2,0),0))</f>
        <v>42.25</v>
      </c>
      <c r="J660" t="s">
        <v>1815</v>
      </c>
      <c r="K660" t="s">
        <v>458</v>
      </c>
      <c r="L660" t="s">
        <v>1813</v>
      </c>
      <c r="M660">
        <v>60</v>
      </c>
      <c r="N660">
        <v>360</v>
      </c>
      <c r="O660" t="s">
        <v>1818</v>
      </c>
      <c r="P660" s="12" t="str">
        <f>HYPERLINK("https://b2b.kobi.pl/pl/product/10315,lampka-biurkowa-led-visua-desk-5w-rozowa-led2b?currency=PLN")</f>
        <v>https://b2b.kobi.pl/pl/product/10315,lampka-biurkowa-led-visua-desk-5w-rozowa-led2b?currency=PLN</v>
      </c>
      <c r="Q660" t="s">
        <v>14</v>
      </c>
      <c r="R660"/>
      <c r="S660" t="s">
        <v>2613</v>
      </c>
      <c r="T660">
        <v>0.19</v>
      </c>
      <c r="U660">
        <v>0.22</v>
      </c>
      <c r="V660">
        <v>0.3</v>
      </c>
      <c r="W660">
        <v>14</v>
      </c>
      <c r="X660">
        <v>16</v>
      </c>
      <c r="Y660">
        <v>10</v>
      </c>
    </row>
    <row r="661" spans="1:25" ht="60" customHeight="1" x14ac:dyDescent="0.25">
      <c r="A661"/>
      <c r="B661" t="s">
        <v>4</v>
      </c>
      <c r="C661" t="s">
        <v>3736</v>
      </c>
      <c r="D661" t="s">
        <v>16</v>
      </c>
      <c r="E661" t="s">
        <v>922</v>
      </c>
      <c r="F661" t="s">
        <v>923</v>
      </c>
      <c r="G661" t="s">
        <v>784</v>
      </c>
      <c r="H661" s="11">
        <v>42.25</v>
      </c>
      <c r="I661" s="10">
        <f>H661*(1-IFERROR(VLOOKUP(G661,Rabat!$C$9:$D$43,2,0),0))</f>
        <v>42.25</v>
      </c>
      <c r="J661" t="s">
        <v>1815</v>
      </c>
      <c r="K661" t="s">
        <v>457</v>
      </c>
      <c r="L661" t="s">
        <v>1813</v>
      </c>
      <c r="M661">
        <v>60</v>
      </c>
      <c r="N661">
        <v>360</v>
      </c>
      <c r="O661" t="s">
        <v>1818</v>
      </c>
      <c r="P661" s="12" t="str">
        <f>HYPERLINK("https://b2b.kobi.pl/pl/product/10316,lampka-biurkowa-led-visua-desk-5w-szara-led2b?currency=PLN")</f>
        <v>https://b2b.kobi.pl/pl/product/10316,lampka-biurkowa-led-visua-desk-5w-szara-led2b?currency=PLN</v>
      </c>
      <c r="Q661" t="s">
        <v>14</v>
      </c>
      <c r="R661"/>
      <c r="S661" t="s">
        <v>2613</v>
      </c>
      <c r="T661">
        <v>0.19</v>
      </c>
      <c r="U661">
        <v>0.22</v>
      </c>
      <c r="V661">
        <v>0.3</v>
      </c>
      <c r="W661">
        <v>14</v>
      </c>
      <c r="X661">
        <v>16</v>
      </c>
      <c r="Y661">
        <v>10</v>
      </c>
    </row>
    <row r="662" spans="1:25" ht="60" customHeight="1" x14ac:dyDescent="0.25">
      <c r="A662"/>
      <c r="B662" t="s">
        <v>4</v>
      </c>
      <c r="C662" t="s">
        <v>3736</v>
      </c>
      <c r="D662" t="s">
        <v>16</v>
      </c>
      <c r="E662" t="s">
        <v>3842</v>
      </c>
      <c r="F662" t="s">
        <v>3843</v>
      </c>
      <c r="G662" t="s">
        <v>3531</v>
      </c>
      <c r="H662" s="11">
        <v>181.13</v>
      </c>
      <c r="I662" s="10">
        <f>H662*(1-IFERROR(VLOOKUP(G662,Rabat!$C$9:$D$43,2,0),0))</f>
        <v>181.13</v>
      </c>
      <c r="J662" t="s">
        <v>1815</v>
      </c>
      <c r="K662" t="s">
        <v>4143</v>
      </c>
      <c r="L662" t="s">
        <v>1813</v>
      </c>
      <c r="M662">
        <v>8</v>
      </c>
      <c r="N662">
        <v>48</v>
      </c>
      <c r="O662" t="s">
        <v>1818</v>
      </c>
      <c r="P662" s="12" t="str">
        <f>HYPERLINK("https://b2b.kobi.pl/pl/product/13286,lampa-podlogowa-teilo-2-14w-3cct-czarna-led2b?currency=PLN")</f>
        <v>https://b2b.kobi.pl/pl/product/13286,lampa-podlogowa-teilo-2-14w-3cct-czarna-led2b?currency=PLN</v>
      </c>
      <c r="Q662" s="12" t="str">
        <f>HYPERLINK("https://eprel.ec.europa.eu/qr/2365003")</f>
        <v>https://eprel.ec.europa.eu/qr/2365003</v>
      </c>
      <c r="R662" t="s">
        <v>4101</v>
      </c>
      <c r="S662" t="s">
        <v>2613</v>
      </c>
      <c r="T662">
        <v>0.84</v>
      </c>
      <c r="U662">
        <v>1</v>
      </c>
      <c r="V662">
        <v>1.25</v>
      </c>
      <c r="W662">
        <v>43.5</v>
      </c>
      <c r="X662">
        <v>18.5</v>
      </c>
      <c r="Y662">
        <v>5.5</v>
      </c>
    </row>
    <row r="663" spans="1:25" ht="60" customHeight="1" x14ac:dyDescent="0.25">
      <c r="A663"/>
      <c r="B663" t="s">
        <v>4</v>
      </c>
      <c r="C663" t="s">
        <v>3736</v>
      </c>
      <c r="D663" t="s">
        <v>16</v>
      </c>
      <c r="E663" t="s">
        <v>3844</v>
      </c>
      <c r="F663" t="s">
        <v>3845</v>
      </c>
      <c r="G663" t="s">
        <v>3531</v>
      </c>
      <c r="H663" s="11">
        <v>83.56</v>
      </c>
      <c r="I663" s="10">
        <f>H663*(1-IFERROR(VLOOKUP(G663,Rabat!$C$9:$D$43,2,0),0))</f>
        <v>83.56</v>
      </c>
      <c r="J663" t="s">
        <v>1815</v>
      </c>
      <c r="K663" t="s">
        <v>4144</v>
      </c>
      <c r="L663" t="s">
        <v>1813</v>
      </c>
      <c r="M663">
        <v>12</v>
      </c>
      <c r="N663"/>
      <c r="O663" t="s">
        <v>1818</v>
      </c>
      <c r="P663" s="12" t="str">
        <f>HYPERLINK("https://b2b.kobi.pl/pl/product/13278,lampka-biurkowa-led-auriq-loupe-10w-3cct-biala-led2b?currency=PLN")</f>
        <v>https://b2b.kobi.pl/pl/product/13278,lampka-biurkowa-led-auriq-loupe-10w-3cct-biala-led2b?currency=PLN</v>
      </c>
      <c r="Q663" s="12" t="str">
        <f>HYPERLINK("https://eprel.ec.europa.eu/qr/2276145")</f>
        <v>https://eprel.ec.europa.eu/qr/2276145</v>
      </c>
      <c r="R663" t="s">
        <v>4101</v>
      </c>
      <c r="S663" t="s">
        <v>2613</v>
      </c>
      <c r="T663">
        <v>1.1499999999999999</v>
      </c>
      <c r="U663">
        <v>1.36</v>
      </c>
      <c r="V663">
        <v>1.52</v>
      </c>
      <c r="W663">
        <v>29</v>
      </c>
      <c r="X663">
        <v>24</v>
      </c>
      <c r="Y663">
        <v>7.5</v>
      </c>
    </row>
    <row r="664" spans="1:25" ht="60" customHeight="1" x14ac:dyDescent="0.25">
      <c r="A664"/>
      <c r="B664" t="s">
        <v>4</v>
      </c>
      <c r="C664" t="s">
        <v>3736</v>
      </c>
      <c r="D664" t="s">
        <v>16</v>
      </c>
      <c r="E664" t="s">
        <v>3846</v>
      </c>
      <c r="F664" t="s">
        <v>3847</v>
      </c>
      <c r="G664" t="s">
        <v>784</v>
      </c>
      <c r="H664" s="11">
        <v>157.24</v>
      </c>
      <c r="I664" s="10">
        <f>H664*(1-IFERROR(VLOOKUP(G664,Rabat!$C$9:$D$43,2,0),0))</f>
        <v>157.24</v>
      </c>
      <c r="J664" t="s">
        <v>1815</v>
      </c>
      <c r="K664" t="s">
        <v>4145</v>
      </c>
      <c r="L664" t="s">
        <v>1813</v>
      </c>
      <c r="M664">
        <v>8</v>
      </c>
      <c r="N664"/>
      <c r="O664" t="s">
        <v>1818</v>
      </c>
      <c r="P664" s="12" t="str">
        <f>HYPERLINK("https://b2b.kobi.pl/pl/product/13685,lampa-podlogowa-led-teilo-10w-3cct-biala-led2b?currency=PLN")</f>
        <v>https://b2b.kobi.pl/pl/product/13685,lampa-podlogowa-led-teilo-10w-3cct-biala-led2b?currency=PLN</v>
      </c>
      <c r="Q664" t="s">
        <v>14</v>
      </c>
      <c r="R664" t="s">
        <v>4101</v>
      </c>
      <c r="S664" t="s">
        <v>2616</v>
      </c>
      <c r="T664">
        <v>1.44</v>
      </c>
      <c r="U664">
        <v>1.7</v>
      </c>
      <c r="V664">
        <v>2.2000000000000002</v>
      </c>
      <c r="W664">
        <v>42</v>
      </c>
      <c r="X664">
        <v>27</v>
      </c>
      <c r="Y664">
        <v>8</v>
      </c>
    </row>
    <row r="665" spans="1:25" ht="60" customHeight="1" x14ac:dyDescent="0.25">
      <c r="A665"/>
      <c r="B665" t="s">
        <v>4</v>
      </c>
      <c r="C665" t="s">
        <v>3736</v>
      </c>
      <c r="D665" t="s">
        <v>16</v>
      </c>
      <c r="E665" t="s">
        <v>3848</v>
      </c>
      <c r="F665" t="s">
        <v>3849</v>
      </c>
      <c r="G665" t="s">
        <v>3531</v>
      </c>
      <c r="H665" s="11">
        <v>64.31</v>
      </c>
      <c r="I665" s="10">
        <f>H665*(1-IFERROR(VLOOKUP(G665,Rabat!$C$9:$D$43,2,0),0))</f>
        <v>64.31</v>
      </c>
      <c r="J665" t="s">
        <v>1815</v>
      </c>
      <c r="K665" t="s">
        <v>4146</v>
      </c>
      <c r="L665" t="s">
        <v>1813</v>
      </c>
      <c r="M665">
        <v>20</v>
      </c>
      <c r="N665">
        <v>240</v>
      </c>
      <c r="O665" t="s">
        <v>1818</v>
      </c>
      <c r="P665" s="12" t="str">
        <f>HYPERLINK("https://b2b.kobi.pl/pl/product/13284,lampka-biurkowa-led-noblite-p-5w-3cct-biala-led2b?currency=PLN")</f>
        <v>https://b2b.kobi.pl/pl/product/13284,lampka-biurkowa-led-noblite-p-5w-3cct-biala-led2b?currency=PLN</v>
      </c>
      <c r="Q665" s="12" t="str">
        <f>HYPERLINK("https://eprel.ec.europa.eu/qr/2575965")</f>
        <v>https://eprel.ec.europa.eu/qr/2575965</v>
      </c>
      <c r="R665" t="s">
        <v>4101</v>
      </c>
      <c r="S665" t="s">
        <v>2613</v>
      </c>
      <c r="T665">
        <v>0.55000000000000004</v>
      </c>
      <c r="U665">
        <v>0.65</v>
      </c>
      <c r="V665">
        <v>0.71</v>
      </c>
      <c r="W665">
        <v>5.5</v>
      </c>
      <c r="X665">
        <v>16</v>
      </c>
      <c r="Y665">
        <v>34.5</v>
      </c>
    </row>
    <row r="666" spans="1:25" ht="60" customHeight="1" x14ac:dyDescent="0.25">
      <c r="A666"/>
      <c r="B666" t="s">
        <v>4</v>
      </c>
      <c r="C666" t="s">
        <v>3736</v>
      </c>
      <c r="D666" t="s">
        <v>16</v>
      </c>
      <c r="E666" t="s">
        <v>3850</v>
      </c>
      <c r="F666" t="s">
        <v>3851</v>
      </c>
      <c r="G666" t="s">
        <v>3531</v>
      </c>
      <c r="H666" s="11">
        <v>64.31</v>
      </c>
      <c r="I666" s="10">
        <f>H666*(1-IFERROR(VLOOKUP(G666,Rabat!$C$9:$D$43,2,0),0))</f>
        <v>64.31</v>
      </c>
      <c r="J666" t="s">
        <v>1815</v>
      </c>
      <c r="K666" t="s">
        <v>4147</v>
      </c>
      <c r="L666" t="s">
        <v>1813</v>
      </c>
      <c r="M666">
        <v>20</v>
      </c>
      <c r="N666">
        <v>240</v>
      </c>
      <c r="O666" t="s">
        <v>1818</v>
      </c>
      <c r="P666" s="12" t="str">
        <f>HYPERLINK("https://b2b.kobi.pl/pl/product/13285,lampka-biurkowa-led-noblite-p-5w-3cct-czarna-led2b?currency=PLN")</f>
        <v>https://b2b.kobi.pl/pl/product/13285,lampka-biurkowa-led-noblite-p-5w-3cct-czarna-led2b?currency=PLN</v>
      </c>
      <c r="Q666" s="12" t="str">
        <f>HYPERLINK("https://eprel.ec.europa.eu/qr/2575965")</f>
        <v>https://eprel.ec.europa.eu/qr/2575965</v>
      </c>
      <c r="R666" t="s">
        <v>4101</v>
      </c>
      <c r="S666" t="s">
        <v>2613</v>
      </c>
      <c r="T666">
        <v>0.55000000000000004</v>
      </c>
      <c r="U666">
        <v>0.65</v>
      </c>
      <c r="V666">
        <v>0.71</v>
      </c>
      <c r="W666">
        <v>5.5</v>
      </c>
      <c r="X666">
        <v>16</v>
      </c>
      <c r="Y666">
        <v>34.5</v>
      </c>
    </row>
    <row r="667" spans="1:25" ht="60" customHeight="1" x14ac:dyDescent="0.25">
      <c r="A667"/>
      <c r="B667" t="s">
        <v>4</v>
      </c>
      <c r="C667" t="s">
        <v>3736</v>
      </c>
      <c r="D667" t="s">
        <v>16</v>
      </c>
      <c r="E667" t="s">
        <v>3852</v>
      </c>
      <c r="F667" t="s">
        <v>3853</v>
      </c>
      <c r="G667" t="s">
        <v>3531</v>
      </c>
      <c r="H667" s="11">
        <v>57.75</v>
      </c>
      <c r="I667" s="10">
        <f>H667*(1-IFERROR(VLOOKUP(G667,Rabat!$C$9:$D$43,2,0),0))</f>
        <v>57.75</v>
      </c>
      <c r="J667" t="s">
        <v>1815</v>
      </c>
      <c r="K667" t="s">
        <v>4148</v>
      </c>
      <c r="L667" t="s">
        <v>1813</v>
      </c>
      <c r="M667">
        <v>12</v>
      </c>
      <c r="N667"/>
      <c r="O667" t="s">
        <v>1818</v>
      </c>
      <c r="P667" s="12" t="str">
        <f>HYPERLINK("https://b2b.kobi.pl/pl/product/13279,lampka-biurkowa-auriq-1xe27-niebieska-led2b?currency=PLN")</f>
        <v>https://b2b.kobi.pl/pl/product/13279,lampka-biurkowa-auriq-1xe27-niebieska-led2b?currency=PLN</v>
      </c>
      <c r="Q667" t="s">
        <v>14</v>
      </c>
      <c r="R667" t="s">
        <v>4101</v>
      </c>
      <c r="S667" t="s">
        <v>2612</v>
      </c>
      <c r="T667">
        <v>0.49</v>
      </c>
      <c r="U667">
        <v>1.26</v>
      </c>
      <c r="V667">
        <v>1.5</v>
      </c>
      <c r="W667">
        <v>29</v>
      </c>
      <c r="X667">
        <v>9</v>
      </c>
      <c r="Y667">
        <v>54</v>
      </c>
    </row>
    <row r="668" spans="1:25" ht="60" customHeight="1" x14ac:dyDescent="0.25">
      <c r="A668"/>
      <c r="B668" t="s">
        <v>4</v>
      </c>
      <c r="C668" t="s">
        <v>3736</v>
      </c>
      <c r="D668" t="s">
        <v>16</v>
      </c>
      <c r="E668" t="s">
        <v>3854</v>
      </c>
      <c r="F668" t="s">
        <v>3855</v>
      </c>
      <c r="G668" t="s">
        <v>3531</v>
      </c>
      <c r="H668" s="11">
        <v>57.75</v>
      </c>
      <c r="I668" s="10">
        <f>H668*(1-IFERROR(VLOOKUP(G668,Rabat!$C$9:$D$43,2,0),0))</f>
        <v>57.75</v>
      </c>
      <c r="J668" t="s">
        <v>1815</v>
      </c>
      <c r="K668" t="s">
        <v>4149</v>
      </c>
      <c r="L668" t="s">
        <v>1813</v>
      </c>
      <c r="M668">
        <v>12</v>
      </c>
      <c r="N668"/>
      <c r="O668" t="s">
        <v>1818</v>
      </c>
      <c r="P668" s="12" t="str">
        <f>HYPERLINK("https://b2b.kobi.pl/pl/product/13280,lampka-biurkowa-auriq-1xe27-rozowa-led2b?currency=PLN")</f>
        <v>https://b2b.kobi.pl/pl/product/13280,lampka-biurkowa-auriq-1xe27-rozowa-led2b?currency=PLN</v>
      </c>
      <c r="Q668" t="s">
        <v>14</v>
      </c>
      <c r="R668" t="s">
        <v>4101</v>
      </c>
      <c r="S668" t="s">
        <v>2612</v>
      </c>
      <c r="T668">
        <v>0.49</v>
      </c>
      <c r="U668">
        <v>1.26</v>
      </c>
      <c r="V668">
        <v>1.5</v>
      </c>
      <c r="W668">
        <v>29</v>
      </c>
      <c r="X668">
        <v>9</v>
      </c>
      <c r="Y668">
        <v>54</v>
      </c>
    </row>
    <row r="669" spans="1:25" ht="60" customHeight="1" x14ac:dyDescent="0.25">
      <c r="A669"/>
      <c r="B669" t="s">
        <v>4</v>
      </c>
      <c r="C669" t="s">
        <v>3736</v>
      </c>
      <c r="D669" t="s">
        <v>16</v>
      </c>
      <c r="E669" t="s">
        <v>3856</v>
      </c>
      <c r="F669" t="s">
        <v>3857</v>
      </c>
      <c r="G669" t="s">
        <v>3531</v>
      </c>
      <c r="H669" s="11">
        <v>114.35</v>
      </c>
      <c r="I669" s="10">
        <f>H669*(1-IFERROR(VLOOKUP(G669,Rabat!$C$9:$D$43,2,0),0))</f>
        <v>114.35</v>
      </c>
      <c r="J669" t="s">
        <v>1815</v>
      </c>
      <c r="K669" t="s">
        <v>4150</v>
      </c>
      <c r="L669" t="s">
        <v>1813</v>
      </c>
      <c r="M669">
        <v>5</v>
      </c>
      <c r="N669"/>
      <c r="O669" t="s">
        <v>1818</v>
      </c>
      <c r="P669" s="12" t="str">
        <f>HYPERLINK("https://b2b.kobi.pl/pl/product/13281,lampa-podlogowa-auriq-st-1xe27-biala-led2b?currency=PLN")</f>
        <v>https://b2b.kobi.pl/pl/product/13281,lampa-podlogowa-auriq-st-1xe27-biala-led2b?currency=PLN</v>
      </c>
      <c r="Q669" t="s">
        <v>14</v>
      </c>
      <c r="R669" t="s">
        <v>4101</v>
      </c>
      <c r="S669" t="s">
        <v>2612</v>
      </c>
      <c r="T669">
        <v>1.94</v>
      </c>
      <c r="U669">
        <v>4.74</v>
      </c>
      <c r="V669">
        <v>5.08</v>
      </c>
      <c r="W669">
        <v>29.5</v>
      </c>
      <c r="X669">
        <v>10.5</v>
      </c>
      <c r="Y669">
        <v>43</v>
      </c>
    </row>
    <row r="670" spans="1:25" ht="60" customHeight="1" x14ac:dyDescent="0.25">
      <c r="A670"/>
      <c r="B670" t="s">
        <v>4</v>
      </c>
      <c r="C670" t="s">
        <v>3736</v>
      </c>
      <c r="D670" t="s">
        <v>16</v>
      </c>
      <c r="E670" t="s">
        <v>3858</v>
      </c>
      <c r="F670" t="s">
        <v>3859</v>
      </c>
      <c r="G670" t="s">
        <v>784</v>
      </c>
      <c r="H670" s="11">
        <v>45.94</v>
      </c>
      <c r="I670" s="10">
        <f>H670*(1-IFERROR(VLOOKUP(G670,Rabat!$C$9:$D$43,2,0),0))</f>
        <v>45.94</v>
      </c>
      <c r="J670" t="s">
        <v>1815</v>
      </c>
      <c r="K670" t="s">
        <v>4151</v>
      </c>
      <c r="L670" t="s">
        <v>1813</v>
      </c>
      <c r="M670">
        <v>20</v>
      </c>
      <c r="N670"/>
      <c r="O670" t="s">
        <v>1818</v>
      </c>
      <c r="P670" s="12" t="str">
        <f>HYPERLINK("https://b2b.kobi.pl/pl/product/13460,lampka-biurkowa-led-noblite-n-7w-3cct-rozowa-led2b?currency=PLN")</f>
        <v>https://b2b.kobi.pl/pl/product/13460,lampka-biurkowa-led-noblite-n-7w-3cct-rozowa-led2b?currency=PLN</v>
      </c>
      <c r="Q670" s="12" t="str">
        <f>HYPERLINK("https://eprel.ec.europa.eu/qr/2255648")</f>
        <v>https://eprel.ec.europa.eu/qr/2255648</v>
      </c>
      <c r="R670" t="s">
        <v>4101</v>
      </c>
      <c r="S670" t="s">
        <v>2613</v>
      </c>
      <c r="T670">
        <v>0.25</v>
      </c>
      <c r="U670">
        <v>0.3</v>
      </c>
      <c r="V670">
        <v>0.45</v>
      </c>
      <c r="W670">
        <v>34</v>
      </c>
      <c r="X670">
        <v>12</v>
      </c>
      <c r="Y670">
        <v>6</v>
      </c>
    </row>
    <row r="671" spans="1:25" ht="60" customHeight="1" x14ac:dyDescent="0.25">
      <c r="A671"/>
      <c r="B671" t="s">
        <v>4</v>
      </c>
      <c r="C671" t="s">
        <v>3736</v>
      </c>
      <c r="D671" t="s">
        <v>16</v>
      </c>
      <c r="E671" t="s">
        <v>3860</v>
      </c>
      <c r="F671" t="s">
        <v>3861</v>
      </c>
      <c r="G671" t="s">
        <v>784</v>
      </c>
      <c r="H671" s="11">
        <v>45.94</v>
      </c>
      <c r="I671" s="10">
        <f>H671*(1-IFERROR(VLOOKUP(G671,Rabat!$C$9:$D$43,2,0),0))</f>
        <v>45.94</v>
      </c>
      <c r="J671" t="s">
        <v>1815</v>
      </c>
      <c r="K671" t="s">
        <v>4152</v>
      </c>
      <c r="L671" t="s">
        <v>1813</v>
      </c>
      <c r="M671">
        <v>20</v>
      </c>
      <c r="N671"/>
      <c r="O671" t="s">
        <v>1818</v>
      </c>
      <c r="P671" s="12" t="str">
        <f>HYPERLINK("https://b2b.kobi.pl/pl/product/13459,lampka-biurkowa-led-noblite-n-7w-3cct-szara-led2b?currency=PLN")</f>
        <v>https://b2b.kobi.pl/pl/product/13459,lampka-biurkowa-led-noblite-n-7w-3cct-szara-led2b?currency=PLN</v>
      </c>
      <c r="Q671" s="12" t="str">
        <f>HYPERLINK("https://eprel.ec.europa.eu/qr/2255648")</f>
        <v>https://eprel.ec.europa.eu/qr/2255648</v>
      </c>
      <c r="R671" t="s">
        <v>4101</v>
      </c>
      <c r="S671" t="s">
        <v>2613</v>
      </c>
      <c r="T671">
        <v>0.25</v>
      </c>
      <c r="U671">
        <v>0.3</v>
      </c>
      <c r="V671">
        <v>0.45</v>
      </c>
      <c r="W671">
        <v>34</v>
      </c>
      <c r="X671">
        <v>12</v>
      </c>
      <c r="Y671">
        <v>6</v>
      </c>
    </row>
    <row r="672" spans="1:25" ht="60" customHeight="1" x14ac:dyDescent="0.25">
      <c r="A672"/>
      <c r="B672" t="s">
        <v>4</v>
      </c>
      <c r="C672" t="s">
        <v>3736</v>
      </c>
      <c r="D672" t="s">
        <v>16</v>
      </c>
      <c r="E672" t="s">
        <v>3862</v>
      </c>
      <c r="F672" t="s">
        <v>3863</v>
      </c>
      <c r="G672" t="s">
        <v>784</v>
      </c>
      <c r="H672" s="11">
        <v>43.75</v>
      </c>
      <c r="I672" s="10">
        <f>H672*(1-IFERROR(VLOOKUP(G672,Rabat!$C$9:$D$43,2,0),0))</f>
        <v>43.75</v>
      </c>
      <c r="J672" t="s">
        <v>1815</v>
      </c>
      <c r="K672" t="s">
        <v>4153</v>
      </c>
      <c r="L672" t="s">
        <v>1813</v>
      </c>
      <c r="M672">
        <v>20</v>
      </c>
      <c r="N672"/>
      <c r="O672" t="s">
        <v>1818</v>
      </c>
      <c r="P672" s="12" t="str">
        <f>HYPERLINK("https://b2b.kobi.pl/pl/product/13458,lampka-biurkowa-led-noblite-n-7w-3cct-brazowa-led2b?currency=PLN")</f>
        <v>https://b2b.kobi.pl/pl/product/13458,lampka-biurkowa-led-noblite-n-7w-3cct-brazowa-led2b?currency=PLN</v>
      </c>
      <c r="Q672" s="12" t="str">
        <f>HYPERLINK("https://eprel.ec.europa.eu/qr/2255648")</f>
        <v>https://eprel.ec.europa.eu/qr/2255648</v>
      </c>
      <c r="R672" t="s">
        <v>4101</v>
      </c>
      <c r="S672" t="s">
        <v>2613</v>
      </c>
      <c r="T672">
        <v>0.25</v>
      </c>
      <c r="U672">
        <v>0.3</v>
      </c>
      <c r="V672">
        <v>0.45</v>
      </c>
      <c r="W672">
        <v>34</v>
      </c>
      <c r="X672">
        <v>12</v>
      </c>
      <c r="Y672">
        <v>6</v>
      </c>
    </row>
    <row r="673" spans="1:25" ht="60" customHeight="1" x14ac:dyDescent="0.25">
      <c r="A673"/>
      <c r="B673" t="s">
        <v>4</v>
      </c>
      <c r="C673" t="s">
        <v>3736</v>
      </c>
      <c r="D673" t="s">
        <v>16</v>
      </c>
      <c r="E673" t="s">
        <v>3864</v>
      </c>
      <c r="F673" t="s">
        <v>3865</v>
      </c>
      <c r="G673" t="s">
        <v>784</v>
      </c>
      <c r="H673" s="11">
        <v>122.25</v>
      </c>
      <c r="I673" s="10">
        <f>H673*(1-IFERROR(VLOOKUP(G673,Rabat!$C$9:$D$43,2,0),0))</f>
        <v>122.25</v>
      </c>
      <c r="J673" t="s">
        <v>1815</v>
      </c>
      <c r="K673" t="s">
        <v>4154</v>
      </c>
      <c r="L673" t="s">
        <v>1813</v>
      </c>
      <c r="M673">
        <v>20</v>
      </c>
      <c r="N673"/>
      <c r="O673" t="s">
        <v>1818</v>
      </c>
      <c r="P673" s="12" t="str">
        <f>HYPERLINK("https://b2b.kobi.pl/pl/product/13434,lampka-biurkowa-noblite-q-7w-cct-biala-led2b?currency=PLN")</f>
        <v>https://b2b.kobi.pl/pl/product/13434,lampka-biurkowa-noblite-q-7w-cct-biala-led2b?currency=PLN</v>
      </c>
      <c r="Q673" t="s">
        <v>14</v>
      </c>
      <c r="R673" t="s">
        <v>4101</v>
      </c>
      <c r="S673" t="s">
        <v>2613</v>
      </c>
      <c r="T673">
        <v>0.52</v>
      </c>
      <c r="U673">
        <v>0.61</v>
      </c>
      <c r="V673">
        <v>0.78</v>
      </c>
      <c r="W673">
        <v>40.5</v>
      </c>
      <c r="X673">
        <v>11.5</v>
      </c>
      <c r="Y673">
        <v>4</v>
      </c>
    </row>
    <row r="674" spans="1:25" ht="60" customHeight="1" x14ac:dyDescent="0.25">
      <c r="A674"/>
      <c r="B674" t="s">
        <v>4</v>
      </c>
      <c r="C674" t="s">
        <v>3736</v>
      </c>
      <c r="D674" t="s">
        <v>16</v>
      </c>
      <c r="E674" t="s">
        <v>3866</v>
      </c>
      <c r="F674" t="s">
        <v>3867</v>
      </c>
      <c r="G674" t="s">
        <v>784</v>
      </c>
      <c r="H674" s="11">
        <v>122.25</v>
      </c>
      <c r="I674" s="10">
        <f>H674*(1-IFERROR(VLOOKUP(G674,Rabat!$C$9:$D$43,2,0),0))</f>
        <v>122.25</v>
      </c>
      <c r="J674" t="s">
        <v>1815</v>
      </c>
      <c r="K674" t="s">
        <v>4155</v>
      </c>
      <c r="L674" t="s">
        <v>1813</v>
      </c>
      <c r="M674">
        <v>20</v>
      </c>
      <c r="N674"/>
      <c r="O674" t="s">
        <v>1818</v>
      </c>
      <c r="P674" s="12" t="str">
        <f>HYPERLINK("https://b2b.kobi.pl/pl/product/13435,lampka-biurkowa-noblite-q-7w-cct-czarna-led2b?currency=PLN")</f>
        <v>https://b2b.kobi.pl/pl/product/13435,lampka-biurkowa-noblite-q-7w-cct-czarna-led2b?currency=PLN</v>
      </c>
      <c r="Q674" t="s">
        <v>14</v>
      </c>
      <c r="R674" t="s">
        <v>4101</v>
      </c>
      <c r="S674" t="s">
        <v>2613</v>
      </c>
      <c r="T674">
        <v>0.52</v>
      </c>
      <c r="U674">
        <v>0.61</v>
      </c>
      <c r="V674">
        <v>0.78</v>
      </c>
      <c r="W674">
        <v>40.5</v>
      </c>
      <c r="X674">
        <v>11.5</v>
      </c>
      <c r="Y674">
        <v>4</v>
      </c>
    </row>
    <row r="675" spans="1:25" ht="60" customHeight="1" x14ac:dyDescent="0.25">
      <c r="A675"/>
      <c r="B675" t="s">
        <v>3743</v>
      </c>
      <c r="C675" t="s">
        <v>3868</v>
      </c>
      <c r="D675" t="s">
        <v>606</v>
      </c>
      <c r="E675" t="s">
        <v>2701</v>
      </c>
      <c r="F675" t="s">
        <v>1418</v>
      </c>
      <c r="G675" t="s">
        <v>1413</v>
      </c>
      <c r="H675" s="11">
        <v>84.46</v>
      </c>
      <c r="I675" s="10">
        <f>H675*(1-IFERROR(VLOOKUP(G675,Rabat!$C$9:$D$43,2,0),0))</f>
        <v>84.46</v>
      </c>
      <c r="J675" t="s">
        <v>1820</v>
      </c>
      <c r="K675" t="s">
        <v>150</v>
      </c>
      <c r="L675" t="s">
        <v>1813</v>
      </c>
      <c r="M675">
        <v>50</v>
      </c>
      <c r="N675">
        <v>800</v>
      </c>
      <c r="O675" t="s">
        <v>1819</v>
      </c>
      <c r="P675" s="12" t="str">
        <f>HYPERLINK("https://b2b.kobi.pl/pl/product/9757,tasma-led-tramo-320-cob-5m-3000k-ip65-kobi-premium?currency=PLN")</f>
        <v>https://b2b.kobi.pl/pl/product/9757,tasma-led-tramo-320-cob-5m-3000k-ip65-kobi-premium?currency=PLN</v>
      </c>
      <c r="Q675" s="12" t="str">
        <f>HYPERLINK("https://eprel.ec.europa.eu/qr/1817916")</f>
        <v>https://eprel.ec.europa.eu/qr/1817916</v>
      </c>
      <c r="R675"/>
      <c r="S675" t="s">
        <v>2607</v>
      </c>
      <c r="T675">
        <v>0.09</v>
      </c>
      <c r="U675">
        <v>0.11</v>
      </c>
      <c r="V675">
        <v>0.126</v>
      </c>
      <c r="W675">
        <v>23</v>
      </c>
      <c r="X675">
        <v>21</v>
      </c>
      <c r="Y675">
        <v>1</v>
      </c>
    </row>
    <row r="676" spans="1:25" ht="60" customHeight="1" x14ac:dyDescent="0.25">
      <c r="A676"/>
      <c r="B676" t="s">
        <v>3743</v>
      </c>
      <c r="C676" t="s">
        <v>3868</v>
      </c>
      <c r="D676" t="s">
        <v>606</v>
      </c>
      <c r="E676" t="s">
        <v>2702</v>
      </c>
      <c r="F676" t="s">
        <v>1420</v>
      </c>
      <c r="G676" t="s">
        <v>1413</v>
      </c>
      <c r="H676" s="11">
        <v>84.46</v>
      </c>
      <c r="I676" s="10">
        <f>H676*(1-IFERROR(VLOOKUP(G676,Rabat!$C$9:$D$43,2,0),0))</f>
        <v>84.46</v>
      </c>
      <c r="J676" t="s">
        <v>1816</v>
      </c>
      <c r="K676" t="s">
        <v>151</v>
      </c>
      <c r="L676" t="s">
        <v>1813</v>
      </c>
      <c r="M676">
        <v>50</v>
      </c>
      <c r="N676">
        <v>800</v>
      </c>
      <c r="O676" t="s">
        <v>1819</v>
      </c>
      <c r="P676" s="12" t="str">
        <f>HYPERLINK("https://b2b.kobi.pl/pl/product/9758,tasma-led-tramo-320-cob-5m-4000k-ip65-kobi-premium?currency=PLN")</f>
        <v>https://b2b.kobi.pl/pl/product/9758,tasma-led-tramo-320-cob-5m-4000k-ip65-kobi-premium?currency=PLN</v>
      </c>
      <c r="Q676" s="12" t="str">
        <f>HYPERLINK("https://eprel.ec.europa.eu/qr/1817987")</f>
        <v>https://eprel.ec.europa.eu/qr/1817987</v>
      </c>
      <c r="R676"/>
      <c r="S676" t="s">
        <v>2607</v>
      </c>
      <c r="T676">
        <v>0.09</v>
      </c>
      <c r="U676">
        <v>0.11</v>
      </c>
      <c r="V676">
        <v>0.126</v>
      </c>
      <c r="W676">
        <v>23</v>
      </c>
      <c r="X676">
        <v>21</v>
      </c>
      <c r="Y676">
        <v>1</v>
      </c>
    </row>
    <row r="677" spans="1:25" ht="60" customHeight="1" x14ac:dyDescent="0.25">
      <c r="A677"/>
      <c r="B677" t="s">
        <v>3743</v>
      </c>
      <c r="C677" t="s">
        <v>3868</v>
      </c>
      <c r="D677" t="s">
        <v>606</v>
      </c>
      <c r="E677" t="s">
        <v>2703</v>
      </c>
      <c r="F677" t="s">
        <v>1422</v>
      </c>
      <c r="G677" t="s">
        <v>1413</v>
      </c>
      <c r="H677" s="11">
        <v>84.46</v>
      </c>
      <c r="I677" s="10">
        <f>H677*(1-IFERROR(VLOOKUP(G677,Rabat!$C$9:$D$43,2,0),0))</f>
        <v>84.46</v>
      </c>
      <c r="J677" t="s">
        <v>1816</v>
      </c>
      <c r="K677" t="s">
        <v>152</v>
      </c>
      <c r="L677" t="s">
        <v>1813</v>
      </c>
      <c r="M677">
        <v>50</v>
      </c>
      <c r="N677"/>
      <c r="O677" t="s">
        <v>1819</v>
      </c>
      <c r="P677" s="12" t="str">
        <f>HYPERLINK("https://b2b.kobi.pl/pl/product/9759,tasma-led-tramo-320-cob-5m-6500k-ip65-kobi-premium?currency=PLN")</f>
        <v>https://b2b.kobi.pl/pl/product/9759,tasma-led-tramo-320-cob-5m-6500k-ip65-kobi-premium?currency=PLN</v>
      </c>
      <c r="Q677" s="12" t="str">
        <f>HYPERLINK("https://eprel.ec.europa.eu/qr/1818059")</f>
        <v>https://eprel.ec.europa.eu/qr/1818059</v>
      </c>
      <c r="R677"/>
      <c r="S677" t="s">
        <v>2607</v>
      </c>
      <c r="T677">
        <v>0.09</v>
      </c>
      <c r="U677">
        <v>0.11</v>
      </c>
      <c r="V677">
        <v>0.126</v>
      </c>
      <c r="W677">
        <v>23</v>
      </c>
      <c r="X677">
        <v>21</v>
      </c>
      <c r="Y677">
        <v>1</v>
      </c>
    </row>
    <row r="678" spans="1:25" ht="60" customHeight="1" x14ac:dyDescent="0.25">
      <c r="A678"/>
      <c r="B678" t="s">
        <v>3743</v>
      </c>
      <c r="C678" t="s">
        <v>3868</v>
      </c>
      <c r="D678" t="s">
        <v>606</v>
      </c>
      <c r="E678" t="s">
        <v>2704</v>
      </c>
      <c r="F678" t="s">
        <v>1417</v>
      </c>
      <c r="G678" t="s">
        <v>1413</v>
      </c>
      <c r="H678" s="11">
        <v>59.29</v>
      </c>
      <c r="I678" s="10">
        <f>H678*(1-IFERROR(VLOOKUP(G678,Rabat!$C$9:$D$43,2,0),0))</f>
        <v>59.29</v>
      </c>
      <c r="J678" t="s">
        <v>1816</v>
      </c>
      <c r="K678" t="s">
        <v>147</v>
      </c>
      <c r="L678" t="s">
        <v>1813</v>
      </c>
      <c r="M678">
        <v>50</v>
      </c>
      <c r="N678">
        <v>800</v>
      </c>
      <c r="O678" t="s">
        <v>1819</v>
      </c>
      <c r="P678" s="12" t="str">
        <f>HYPERLINK("https://b2b.kobi.pl/pl/product/9760,tasma-led-tramo-320-cob-5m-3000k-ip20-kobi-premium?currency=PLN")</f>
        <v>https://b2b.kobi.pl/pl/product/9760,tasma-led-tramo-320-cob-5m-3000k-ip20-kobi-premium?currency=PLN</v>
      </c>
      <c r="Q678" s="12" t="str">
        <f>HYPERLINK("https://eprel.ec.europa.eu/qr/1817900")</f>
        <v>https://eprel.ec.europa.eu/qr/1817900</v>
      </c>
      <c r="R678"/>
      <c r="S678" t="s">
        <v>2607</v>
      </c>
      <c r="T678">
        <v>7.0000000000000007E-2</v>
      </c>
      <c r="U678">
        <v>0.08</v>
      </c>
      <c r="V678">
        <v>0.1</v>
      </c>
      <c r="W678">
        <v>23</v>
      </c>
      <c r="X678">
        <v>21</v>
      </c>
      <c r="Y678">
        <v>1</v>
      </c>
    </row>
    <row r="679" spans="1:25" ht="60" customHeight="1" x14ac:dyDescent="0.25">
      <c r="A679"/>
      <c r="B679" t="s">
        <v>3743</v>
      </c>
      <c r="C679" t="s">
        <v>3868</v>
      </c>
      <c r="D679" t="s">
        <v>606</v>
      </c>
      <c r="E679" t="s">
        <v>2705</v>
      </c>
      <c r="F679" t="s">
        <v>1419</v>
      </c>
      <c r="G679" t="s">
        <v>1413</v>
      </c>
      <c r="H679" s="11">
        <v>59.29</v>
      </c>
      <c r="I679" s="10">
        <f>H679*(1-IFERROR(VLOOKUP(G679,Rabat!$C$9:$D$43,2,0),0))</f>
        <v>59.29</v>
      </c>
      <c r="J679" t="s">
        <v>1816</v>
      </c>
      <c r="K679" t="s">
        <v>148</v>
      </c>
      <c r="L679" t="s">
        <v>1813</v>
      </c>
      <c r="M679">
        <v>50</v>
      </c>
      <c r="N679">
        <v>800</v>
      </c>
      <c r="O679" t="s">
        <v>1819</v>
      </c>
      <c r="P679" s="12" t="str">
        <f>HYPERLINK("https://b2b.kobi.pl/pl/product/9761,tasma-led-tramo-320-cob-5m-4000k-ip20-kobi-premium?currency=PLN")</f>
        <v>https://b2b.kobi.pl/pl/product/9761,tasma-led-tramo-320-cob-5m-4000k-ip20-kobi-premium?currency=PLN</v>
      </c>
      <c r="Q679" s="12" t="str">
        <f>HYPERLINK("https://eprel.ec.europa.eu/qr/1817939")</f>
        <v>https://eprel.ec.europa.eu/qr/1817939</v>
      </c>
      <c r="R679"/>
      <c r="S679" t="s">
        <v>2607</v>
      </c>
      <c r="T679">
        <v>7.0000000000000007E-2</v>
      </c>
      <c r="U679">
        <v>0.08</v>
      </c>
      <c r="V679">
        <v>0.1</v>
      </c>
      <c r="W679">
        <v>23</v>
      </c>
      <c r="X679">
        <v>21</v>
      </c>
      <c r="Y679">
        <v>1</v>
      </c>
    </row>
    <row r="680" spans="1:25" ht="60" customHeight="1" x14ac:dyDescent="0.25">
      <c r="A680"/>
      <c r="B680" t="s">
        <v>3743</v>
      </c>
      <c r="C680" t="s">
        <v>3868</v>
      </c>
      <c r="D680" t="s">
        <v>606</v>
      </c>
      <c r="E680" t="s">
        <v>2706</v>
      </c>
      <c r="F680" t="s">
        <v>1421</v>
      </c>
      <c r="G680" t="s">
        <v>1413</v>
      </c>
      <c r="H680" s="11">
        <v>59.29</v>
      </c>
      <c r="I680" s="10">
        <f>H680*(1-IFERROR(VLOOKUP(G680,Rabat!$C$9:$D$43,2,0),0))</f>
        <v>59.29</v>
      </c>
      <c r="J680" t="s">
        <v>1816</v>
      </c>
      <c r="K680" t="s">
        <v>149</v>
      </c>
      <c r="L680" t="s">
        <v>1813</v>
      </c>
      <c r="M680">
        <v>50</v>
      </c>
      <c r="N680">
        <v>800</v>
      </c>
      <c r="O680" t="s">
        <v>1819</v>
      </c>
      <c r="P680" s="12" t="str">
        <f>HYPERLINK("https://b2b.kobi.pl/pl/product/9762,tasma-led-tramo-320-cob-5m-6500k-ip20-kobi-premium?currency=PLN")</f>
        <v>https://b2b.kobi.pl/pl/product/9762,tasma-led-tramo-320-cob-5m-6500k-ip20-kobi-premium?currency=PLN</v>
      </c>
      <c r="Q680" s="12" t="str">
        <f>HYPERLINK("https://eprel.ec.europa.eu/qr/1818051")</f>
        <v>https://eprel.ec.europa.eu/qr/1818051</v>
      </c>
      <c r="R680"/>
      <c r="S680" t="s">
        <v>2607</v>
      </c>
      <c r="T680">
        <v>7.0000000000000007E-2</v>
      </c>
      <c r="U680">
        <v>0.08</v>
      </c>
      <c r="V680">
        <v>0.1</v>
      </c>
      <c r="W680">
        <v>23</v>
      </c>
      <c r="X680">
        <v>21</v>
      </c>
      <c r="Y680">
        <v>1</v>
      </c>
    </row>
    <row r="681" spans="1:25" ht="60" customHeight="1" x14ac:dyDescent="0.25">
      <c r="A681"/>
      <c r="B681" t="s">
        <v>3743</v>
      </c>
      <c r="C681" t="s">
        <v>3868</v>
      </c>
      <c r="D681" t="s">
        <v>644</v>
      </c>
      <c r="E681" t="s">
        <v>2638</v>
      </c>
      <c r="F681" t="s">
        <v>1412</v>
      </c>
      <c r="G681" t="s">
        <v>1413</v>
      </c>
      <c r="H681" s="11">
        <v>88.69</v>
      </c>
      <c r="I681" s="10">
        <f>H681*(1-IFERROR(VLOOKUP(G681,Rabat!$C$9:$D$43,2,0),0))</f>
        <v>88.69</v>
      </c>
      <c r="J681" t="s">
        <v>1815</v>
      </c>
      <c r="K681" t="s">
        <v>437</v>
      </c>
      <c r="L681" t="s">
        <v>1813</v>
      </c>
      <c r="M681">
        <v>20</v>
      </c>
      <c r="N681">
        <v>800</v>
      </c>
      <c r="O681" t="s">
        <v>1818</v>
      </c>
      <c r="P681" s="12" t="str">
        <f>HYPERLINK("https://b2b.kobi.pl/pl/product/9783,tasma-led-play-set-5m-rgb-cct-ip20-kobi-design?currency=PLN")</f>
        <v>https://b2b.kobi.pl/pl/product/9783,tasma-led-play-set-5m-rgb-cct-ip20-kobi-design?currency=PLN</v>
      </c>
      <c r="Q681" t="s">
        <v>14</v>
      </c>
      <c r="R681"/>
      <c r="S681" t="s">
        <v>2607</v>
      </c>
      <c r="T681">
        <v>0.16</v>
      </c>
      <c r="U681">
        <v>0.19</v>
      </c>
      <c r="V681">
        <v>0.25</v>
      </c>
      <c r="W681">
        <v>13.4</v>
      </c>
      <c r="X681">
        <v>5.8</v>
      </c>
      <c r="Y681">
        <v>13.4</v>
      </c>
    </row>
    <row r="682" spans="1:25" ht="60" customHeight="1" x14ac:dyDescent="0.25">
      <c r="A682"/>
      <c r="B682" t="s">
        <v>3743</v>
      </c>
      <c r="C682" t="s">
        <v>3868</v>
      </c>
      <c r="D682" t="s">
        <v>644</v>
      </c>
      <c r="E682" t="s">
        <v>2639</v>
      </c>
      <c r="F682" t="s">
        <v>1414</v>
      </c>
      <c r="G682" t="s">
        <v>1413</v>
      </c>
      <c r="H682" s="11">
        <v>133.56</v>
      </c>
      <c r="I682" s="10">
        <f>H682*(1-IFERROR(VLOOKUP(G682,Rabat!$C$9:$D$43,2,0),0))</f>
        <v>133.56</v>
      </c>
      <c r="J682" t="s">
        <v>1815</v>
      </c>
      <c r="K682" t="s">
        <v>434</v>
      </c>
      <c r="L682" t="s">
        <v>1813</v>
      </c>
      <c r="M682">
        <v>20</v>
      </c>
      <c r="N682"/>
      <c r="O682" t="s">
        <v>1818</v>
      </c>
      <c r="P682" s="12" t="str">
        <f>HYPERLINK("https://b2b.kobi.pl/pl/product/9784,tasma-led-play-set-10m-rgb-cct-ip20-kobi-design?currency=PLN")</f>
        <v>https://b2b.kobi.pl/pl/product/9784,tasma-led-play-set-10m-rgb-cct-ip20-kobi-design?currency=PLN</v>
      </c>
      <c r="Q682" t="s">
        <v>14</v>
      </c>
      <c r="R682"/>
      <c r="S682" t="s">
        <v>2607</v>
      </c>
      <c r="T682">
        <v>0.19</v>
      </c>
      <c r="U682">
        <v>0.22</v>
      </c>
      <c r="V682">
        <v>0.3</v>
      </c>
      <c r="W682">
        <v>13.4</v>
      </c>
      <c r="X682">
        <v>5.8</v>
      </c>
      <c r="Y682">
        <v>13.4</v>
      </c>
    </row>
    <row r="683" spans="1:25" ht="60" customHeight="1" x14ac:dyDescent="0.25">
      <c r="A683"/>
      <c r="B683" t="s">
        <v>3743</v>
      </c>
      <c r="C683" t="s">
        <v>3868</v>
      </c>
      <c r="D683" t="s">
        <v>644</v>
      </c>
      <c r="E683" t="s">
        <v>2640</v>
      </c>
      <c r="F683" t="s">
        <v>1415</v>
      </c>
      <c r="G683" t="s">
        <v>1413</v>
      </c>
      <c r="H683" s="11">
        <v>168.92</v>
      </c>
      <c r="I683" s="10">
        <f>H683*(1-IFERROR(VLOOKUP(G683,Rabat!$C$9:$D$43,2,0),0))</f>
        <v>168.92</v>
      </c>
      <c r="J683" t="s">
        <v>1815</v>
      </c>
      <c r="K683" t="s">
        <v>435</v>
      </c>
      <c r="L683" t="s">
        <v>1813</v>
      </c>
      <c r="M683">
        <v>20</v>
      </c>
      <c r="N683"/>
      <c r="O683" t="s">
        <v>1818</v>
      </c>
      <c r="P683" s="12" t="str">
        <f>HYPERLINK("https://b2b.kobi.pl/pl/product/9785,tasma-led-play-set-15m-rgb-cct-ip20-kobi-design?currency=PLN")</f>
        <v>https://b2b.kobi.pl/pl/product/9785,tasma-led-play-set-15m-rgb-cct-ip20-kobi-design?currency=PLN</v>
      </c>
      <c r="Q683" t="s">
        <v>14</v>
      </c>
      <c r="R683"/>
      <c r="S683" t="s">
        <v>2607</v>
      </c>
      <c r="T683">
        <v>0.24</v>
      </c>
      <c r="U683">
        <v>0.28000000000000003</v>
      </c>
      <c r="V683">
        <v>0.35</v>
      </c>
      <c r="W683">
        <v>13.4</v>
      </c>
      <c r="X683">
        <v>7</v>
      </c>
      <c r="Y683">
        <v>13.4</v>
      </c>
    </row>
    <row r="684" spans="1:25" ht="60" customHeight="1" x14ac:dyDescent="0.25">
      <c r="A684"/>
      <c r="B684" t="s">
        <v>3743</v>
      </c>
      <c r="C684" t="s">
        <v>3868</v>
      </c>
      <c r="D684" t="s">
        <v>644</v>
      </c>
      <c r="E684" t="s">
        <v>2641</v>
      </c>
      <c r="F684" t="s">
        <v>1416</v>
      </c>
      <c r="G684" t="s">
        <v>1413</v>
      </c>
      <c r="H684" s="11">
        <v>203.71</v>
      </c>
      <c r="I684" s="10">
        <f>H684*(1-IFERROR(VLOOKUP(G684,Rabat!$C$9:$D$43,2,0),0))</f>
        <v>203.71</v>
      </c>
      <c r="J684" t="s">
        <v>1815</v>
      </c>
      <c r="K684" t="s">
        <v>436</v>
      </c>
      <c r="L684" t="s">
        <v>1813</v>
      </c>
      <c r="M684">
        <v>20</v>
      </c>
      <c r="N684"/>
      <c r="O684" t="s">
        <v>1818</v>
      </c>
      <c r="P684" s="12" t="str">
        <f>HYPERLINK("https://b2b.kobi.pl/pl/product/9786,tasma-led-play-set-20m-rgb-cct-ip20-kobi-design?currency=PLN")</f>
        <v>https://b2b.kobi.pl/pl/product/9786,tasma-led-play-set-20m-rgb-cct-ip20-kobi-design?currency=PLN</v>
      </c>
      <c r="Q684" t="s">
        <v>14</v>
      </c>
      <c r="R684"/>
      <c r="S684" t="s">
        <v>2607</v>
      </c>
      <c r="T684">
        <v>0.26</v>
      </c>
      <c r="U684">
        <v>0.31</v>
      </c>
      <c r="V684">
        <v>0.4</v>
      </c>
      <c r="W684">
        <v>13.4</v>
      </c>
      <c r="X684">
        <v>7</v>
      </c>
      <c r="Y684">
        <v>13.4</v>
      </c>
    </row>
    <row r="685" spans="1:25" ht="60" customHeight="1" x14ac:dyDescent="0.25">
      <c r="A685"/>
      <c r="B685" t="s">
        <v>3743</v>
      </c>
      <c r="C685" t="s">
        <v>3868</v>
      </c>
      <c r="D685" t="s">
        <v>606</v>
      </c>
      <c r="E685" t="s">
        <v>2120</v>
      </c>
      <c r="F685" t="s">
        <v>1973</v>
      </c>
      <c r="G685" t="s">
        <v>1413</v>
      </c>
      <c r="H685" s="11">
        <v>579.38</v>
      </c>
      <c r="I685" s="10">
        <f>H685*(1-IFERROR(VLOOKUP(G685,Rabat!$C$9:$D$43,2,0),0))</f>
        <v>579.38</v>
      </c>
      <c r="J685" t="s">
        <v>1816</v>
      </c>
      <c r="K685" t="s">
        <v>2015</v>
      </c>
      <c r="L685" t="s">
        <v>1813</v>
      </c>
      <c r="M685">
        <v>10</v>
      </c>
      <c r="N685">
        <v>320</v>
      </c>
      <c r="O685" t="s">
        <v>1819</v>
      </c>
      <c r="P685" s="12" t="str">
        <f>HYPERLINK("https://b2b.kobi.pl/pl/product/12260,tasma-led-tramo-320-cob-50m-3000k-kobi-premium?currency=PLN")</f>
        <v>https://b2b.kobi.pl/pl/product/12260,tasma-led-tramo-320-cob-50m-3000k-kobi-premium?currency=PLN</v>
      </c>
      <c r="Q685" s="12" t="str">
        <f>HYPERLINK("https://eprel.ec.europa.eu/qr/2235974")</f>
        <v>https://eprel.ec.europa.eu/qr/2235974</v>
      </c>
      <c r="R685"/>
      <c r="S685" t="s">
        <v>2607</v>
      </c>
      <c r="T685">
        <v>0.68</v>
      </c>
      <c r="U685">
        <v>0.8</v>
      </c>
      <c r="V685">
        <v>0.85</v>
      </c>
      <c r="W685">
        <v>47</v>
      </c>
      <c r="X685">
        <v>43</v>
      </c>
      <c r="Y685">
        <v>1.7</v>
      </c>
    </row>
    <row r="686" spans="1:25" ht="60" customHeight="1" x14ac:dyDescent="0.25">
      <c r="A686"/>
      <c r="B686" t="s">
        <v>3743</v>
      </c>
      <c r="C686" t="s">
        <v>3868</v>
      </c>
      <c r="D686" t="s">
        <v>606</v>
      </c>
      <c r="E686" t="s">
        <v>2121</v>
      </c>
      <c r="F686" t="s">
        <v>1974</v>
      </c>
      <c r="G686" t="s">
        <v>1413</v>
      </c>
      <c r="H686" s="11">
        <v>579.38</v>
      </c>
      <c r="I686" s="10">
        <f>H686*(1-IFERROR(VLOOKUP(G686,Rabat!$C$9:$D$43,2,0),0))</f>
        <v>579.38</v>
      </c>
      <c r="J686" t="s">
        <v>1816</v>
      </c>
      <c r="K686" t="s">
        <v>2016</v>
      </c>
      <c r="L686" t="s">
        <v>1813</v>
      </c>
      <c r="M686">
        <v>10</v>
      </c>
      <c r="N686">
        <v>320</v>
      </c>
      <c r="O686" t="s">
        <v>1819</v>
      </c>
      <c r="P686" s="12" t="str">
        <f>HYPERLINK("https://b2b.kobi.pl/pl/product/12261,tasma-led-tramo-320-cob-50m-4000k-kobi-premium?currency=PLN")</f>
        <v>https://b2b.kobi.pl/pl/product/12261,tasma-led-tramo-320-cob-50m-4000k-kobi-premium?currency=PLN</v>
      </c>
      <c r="Q686" s="12" t="str">
        <f>HYPERLINK("https://eprel.ec.europa.eu/qr/2235983")</f>
        <v>https://eprel.ec.europa.eu/qr/2235983</v>
      </c>
      <c r="R686"/>
      <c r="S686" t="s">
        <v>2607</v>
      </c>
      <c r="T686">
        <v>0.68</v>
      </c>
      <c r="U686">
        <v>0.8</v>
      </c>
      <c r="V686">
        <v>0.85</v>
      </c>
      <c r="W686">
        <v>46</v>
      </c>
      <c r="X686">
        <v>42</v>
      </c>
      <c r="Y686">
        <v>1.7</v>
      </c>
    </row>
    <row r="687" spans="1:25" ht="60" customHeight="1" x14ac:dyDescent="0.25">
      <c r="A687"/>
      <c r="B687" t="s">
        <v>3743</v>
      </c>
      <c r="C687" t="s">
        <v>3868</v>
      </c>
      <c r="D687" t="s">
        <v>606</v>
      </c>
      <c r="E687" t="s">
        <v>2122</v>
      </c>
      <c r="F687" t="s">
        <v>1975</v>
      </c>
      <c r="G687" t="s">
        <v>1413</v>
      </c>
      <c r="H687" s="11">
        <v>579.38</v>
      </c>
      <c r="I687" s="10">
        <f>H687*(1-IFERROR(VLOOKUP(G687,Rabat!$C$9:$D$43,2,0),0))</f>
        <v>579.38</v>
      </c>
      <c r="J687" t="s">
        <v>1816</v>
      </c>
      <c r="K687" t="s">
        <v>2017</v>
      </c>
      <c r="L687" t="s">
        <v>1813</v>
      </c>
      <c r="M687">
        <v>10</v>
      </c>
      <c r="N687">
        <v>320</v>
      </c>
      <c r="O687" t="s">
        <v>1819</v>
      </c>
      <c r="P687" s="12" t="str">
        <f>HYPERLINK("https://b2b.kobi.pl/pl/product/12262,tasma-led-tramo-320-cob-50m-6500k-kobi-premium?currency=PLN")</f>
        <v>https://b2b.kobi.pl/pl/product/12262,tasma-led-tramo-320-cob-50m-6500k-kobi-premium?currency=PLN</v>
      </c>
      <c r="Q687" s="12" t="str">
        <f>HYPERLINK("https://eprel.ec.europa.eu/qr/2235993")</f>
        <v>https://eprel.ec.europa.eu/qr/2235993</v>
      </c>
      <c r="R687"/>
      <c r="S687" t="s">
        <v>2607</v>
      </c>
      <c r="T687">
        <v>0.68</v>
      </c>
      <c r="U687">
        <v>0.8</v>
      </c>
      <c r="V687">
        <v>0.85</v>
      </c>
      <c r="W687">
        <v>46</v>
      </c>
      <c r="X687">
        <v>42</v>
      </c>
      <c r="Y687">
        <v>1.7</v>
      </c>
    </row>
    <row r="688" spans="1:25" ht="60" customHeight="1" x14ac:dyDescent="0.25">
      <c r="A688"/>
      <c r="B688" t="s">
        <v>3743</v>
      </c>
      <c r="C688" t="s">
        <v>5</v>
      </c>
      <c r="D688" t="s">
        <v>618</v>
      </c>
      <c r="E688" t="s">
        <v>2200</v>
      </c>
      <c r="F688" t="s">
        <v>2201</v>
      </c>
      <c r="G688" t="s">
        <v>1413</v>
      </c>
      <c r="H688" s="11">
        <v>49.75</v>
      </c>
      <c r="I688" s="10">
        <f>H688*(1-IFERROR(VLOOKUP(G688,Rabat!$C$9:$D$43,2,0),0))</f>
        <v>49.75</v>
      </c>
      <c r="J688" t="s">
        <v>1815</v>
      </c>
      <c r="K688" t="s">
        <v>2244</v>
      </c>
      <c r="L688" t="s">
        <v>1813</v>
      </c>
      <c r="M688">
        <v>50</v>
      </c>
      <c r="N688">
        <v>2400</v>
      </c>
      <c r="O688" t="s">
        <v>1819</v>
      </c>
      <c r="P688" s="12" t="str">
        <f>HYPERLINK("https://b2b.kobi.pl/pl/product/12560,zestaw-tramo-control-do-tasm-cob-12-24v-kobi-premium?currency=PLN")</f>
        <v>https://b2b.kobi.pl/pl/product/12560,zestaw-tramo-control-do-tasm-cob-12-24v-kobi-premium?currency=PLN</v>
      </c>
      <c r="Q688" t="s">
        <v>14</v>
      </c>
      <c r="R688"/>
      <c r="S688" t="s">
        <v>2614</v>
      </c>
      <c r="T688">
        <v>0.03</v>
      </c>
      <c r="U688">
        <v>7.0000000000000007E-2</v>
      </c>
      <c r="V688">
        <v>0.9</v>
      </c>
      <c r="W688">
        <v>19.399999999999999</v>
      </c>
      <c r="X688">
        <v>12.9</v>
      </c>
      <c r="Y688">
        <v>1</v>
      </c>
    </row>
    <row r="689" spans="1:25" ht="60" customHeight="1" x14ac:dyDescent="0.25">
      <c r="A689"/>
      <c r="B689" t="s">
        <v>3743</v>
      </c>
      <c r="C689" t="s">
        <v>3868</v>
      </c>
      <c r="D689" t="s">
        <v>606</v>
      </c>
      <c r="E689" t="s">
        <v>3478</v>
      </c>
      <c r="F689" t="s">
        <v>3479</v>
      </c>
      <c r="G689" t="s">
        <v>1413</v>
      </c>
      <c r="H689" s="11">
        <v>579.38</v>
      </c>
      <c r="I689" s="10">
        <f>H689*(1-IFERROR(VLOOKUP(G689,Rabat!$C$9:$D$43,2,0),0))</f>
        <v>579.38</v>
      </c>
      <c r="J689" t="s">
        <v>1816</v>
      </c>
      <c r="K689" t="s">
        <v>3516</v>
      </c>
      <c r="L689" t="s">
        <v>1813</v>
      </c>
      <c r="M689">
        <v>10</v>
      </c>
      <c r="N689"/>
      <c r="O689" t="s">
        <v>1819</v>
      </c>
      <c r="P689" s="12" t="str">
        <f>HYPERLINK("https://b2b.kobi.pl/pl/product/13063,tasma-led-tramo-320-cob-50m-3000k-12v-ip20-kobi-premium?currency=PLN")</f>
        <v>https://b2b.kobi.pl/pl/product/13063,tasma-led-tramo-320-cob-50m-3000k-12v-ip20-kobi-premium?currency=PLN</v>
      </c>
      <c r="Q689" s="12" t="str">
        <f>HYPERLINK("https://eprel.ec.europa.eu/qr/2477287")</f>
        <v>https://eprel.ec.europa.eu/qr/2477287</v>
      </c>
      <c r="R689"/>
      <c r="S689" t="s">
        <v>2607</v>
      </c>
      <c r="T689">
        <v>0.68</v>
      </c>
      <c r="U689">
        <v>0.8</v>
      </c>
      <c r="V689">
        <v>0.85</v>
      </c>
      <c r="W689">
        <v>46</v>
      </c>
      <c r="X689">
        <v>42</v>
      </c>
      <c r="Y689">
        <v>1.5</v>
      </c>
    </row>
    <row r="690" spans="1:25" ht="60" customHeight="1" x14ac:dyDescent="0.25">
      <c r="A690"/>
      <c r="B690" t="s">
        <v>3743</v>
      </c>
      <c r="C690" t="s">
        <v>3868</v>
      </c>
      <c r="D690" t="s">
        <v>606</v>
      </c>
      <c r="E690" t="s">
        <v>3480</v>
      </c>
      <c r="F690" t="s">
        <v>3481</v>
      </c>
      <c r="G690" t="s">
        <v>1413</v>
      </c>
      <c r="H690" s="11">
        <v>579.38</v>
      </c>
      <c r="I690" s="10">
        <f>H690*(1-IFERROR(VLOOKUP(G690,Rabat!$C$9:$D$43,2,0),0))</f>
        <v>579.38</v>
      </c>
      <c r="J690" t="s">
        <v>1816</v>
      </c>
      <c r="K690" t="s">
        <v>3517</v>
      </c>
      <c r="L690" t="s">
        <v>1813</v>
      </c>
      <c r="M690">
        <v>10</v>
      </c>
      <c r="N690"/>
      <c r="O690" t="s">
        <v>1819</v>
      </c>
      <c r="P690" s="12" t="str">
        <f>HYPERLINK("https://b2b.kobi.pl/pl/product/13066,tasma-led-tramo-320-cob-50m-4000k-12v-ip20-kobi-premium?currency=PLN")</f>
        <v>https://b2b.kobi.pl/pl/product/13066,tasma-led-tramo-320-cob-50m-4000k-12v-ip20-kobi-premium?currency=PLN</v>
      </c>
      <c r="Q690" s="12" t="str">
        <f>HYPERLINK("https://eprel.ec.europa.eu/qr/2477304")</f>
        <v>https://eprel.ec.europa.eu/qr/2477304</v>
      </c>
      <c r="R690"/>
      <c r="S690" t="s">
        <v>2607</v>
      </c>
      <c r="T690">
        <v>0.68</v>
      </c>
      <c r="U690">
        <v>0.8</v>
      </c>
      <c r="V690">
        <v>0.85</v>
      </c>
      <c r="W690">
        <v>47</v>
      </c>
      <c r="X690">
        <v>43</v>
      </c>
      <c r="Y690">
        <v>1.7</v>
      </c>
    </row>
    <row r="691" spans="1:25" ht="60" customHeight="1" x14ac:dyDescent="0.25">
      <c r="A691"/>
      <c r="B691" t="s">
        <v>3743</v>
      </c>
      <c r="C691" t="s">
        <v>3868</v>
      </c>
      <c r="D691" t="s">
        <v>606</v>
      </c>
      <c r="E691" t="s">
        <v>3482</v>
      </c>
      <c r="F691" t="s">
        <v>3483</v>
      </c>
      <c r="G691" t="s">
        <v>1413</v>
      </c>
      <c r="H691" s="11">
        <v>579.38</v>
      </c>
      <c r="I691" s="10">
        <f>H691*(1-IFERROR(VLOOKUP(G691,Rabat!$C$9:$D$43,2,0),0))</f>
        <v>579.38</v>
      </c>
      <c r="J691" t="s">
        <v>1816</v>
      </c>
      <c r="K691" t="s">
        <v>3518</v>
      </c>
      <c r="L691" t="s">
        <v>1813</v>
      </c>
      <c r="M691">
        <v>10</v>
      </c>
      <c r="N691"/>
      <c r="O691" t="s">
        <v>1819</v>
      </c>
      <c r="P691" s="12" t="str">
        <f>HYPERLINK("https://b2b.kobi.pl/pl/product/13067,tasma-led-tramo-320-cob-50m-6500k-12v-ip20-kobi-premium?currency=PLN")</f>
        <v>https://b2b.kobi.pl/pl/product/13067,tasma-led-tramo-320-cob-50m-6500k-12v-ip20-kobi-premium?currency=PLN</v>
      </c>
      <c r="Q691" s="12" t="str">
        <f>HYPERLINK("https://eprel.ec.europa.eu/qr/2477410")</f>
        <v>https://eprel.ec.europa.eu/qr/2477410</v>
      </c>
      <c r="R691"/>
      <c r="S691" t="s">
        <v>2607</v>
      </c>
      <c r="T691">
        <v>0.68</v>
      </c>
      <c r="U691">
        <v>0.8</v>
      </c>
      <c r="V691">
        <v>0.85</v>
      </c>
      <c r="W691">
        <v>47</v>
      </c>
      <c r="X691">
        <v>43</v>
      </c>
      <c r="Y691">
        <v>1.7</v>
      </c>
    </row>
    <row r="692" spans="1:25" ht="60" customHeight="1" x14ac:dyDescent="0.25">
      <c r="A692"/>
      <c r="B692" t="s">
        <v>3743</v>
      </c>
      <c r="C692" t="s">
        <v>3868</v>
      </c>
      <c r="D692" t="s">
        <v>606</v>
      </c>
      <c r="E692" t="s">
        <v>3484</v>
      </c>
      <c r="F692" t="s">
        <v>3485</v>
      </c>
      <c r="G692" t="s">
        <v>1413</v>
      </c>
      <c r="H692" s="11">
        <v>59.29</v>
      </c>
      <c r="I692" s="10">
        <f>H692*(1-IFERROR(VLOOKUP(G692,Rabat!$C$9:$D$43,2,0),0))</f>
        <v>59.29</v>
      </c>
      <c r="J692" t="s">
        <v>1816</v>
      </c>
      <c r="K692" t="s">
        <v>3519</v>
      </c>
      <c r="L692" t="s">
        <v>1813</v>
      </c>
      <c r="M692">
        <v>50</v>
      </c>
      <c r="N692"/>
      <c r="O692" t="s">
        <v>1819</v>
      </c>
      <c r="P692" s="12" t="str">
        <f>HYPERLINK("https://b2b.kobi.pl/pl/product/13068,tasma-led-tramo-320-cob-5m-3000k-24v-ip20-kobi-premium?currency=PLN")</f>
        <v>https://b2b.kobi.pl/pl/product/13068,tasma-led-tramo-320-cob-5m-3000k-24v-ip20-kobi-premium?currency=PLN</v>
      </c>
      <c r="Q692" s="12" t="str">
        <f>HYPERLINK("https://eprel.ec.europa.eu/qr/2476152")</f>
        <v>https://eprel.ec.europa.eu/qr/2476152</v>
      </c>
      <c r="R692"/>
      <c r="S692" t="s">
        <v>2607</v>
      </c>
      <c r="T692">
        <v>0.08</v>
      </c>
      <c r="U692">
        <v>0.1</v>
      </c>
      <c r="V692">
        <v>0.2</v>
      </c>
      <c r="W692">
        <v>22</v>
      </c>
      <c r="X692">
        <v>28</v>
      </c>
      <c r="Y692">
        <v>1</v>
      </c>
    </row>
    <row r="693" spans="1:25" ht="60" customHeight="1" x14ac:dyDescent="0.25">
      <c r="A693"/>
      <c r="B693" t="s">
        <v>3743</v>
      </c>
      <c r="C693" t="s">
        <v>3868</v>
      </c>
      <c r="D693" t="s">
        <v>606</v>
      </c>
      <c r="E693" t="s">
        <v>3486</v>
      </c>
      <c r="F693" t="s">
        <v>3487</v>
      </c>
      <c r="G693" t="s">
        <v>1413</v>
      </c>
      <c r="H693" s="11">
        <v>84.46</v>
      </c>
      <c r="I693" s="10">
        <f>H693*(1-IFERROR(VLOOKUP(G693,Rabat!$C$9:$D$43,2,0),0))</f>
        <v>84.46</v>
      </c>
      <c r="J693" t="s">
        <v>1816</v>
      </c>
      <c r="K693" t="s">
        <v>3520</v>
      </c>
      <c r="L693" t="s">
        <v>1813</v>
      </c>
      <c r="M693">
        <v>50</v>
      </c>
      <c r="N693"/>
      <c r="O693" t="s">
        <v>1819</v>
      </c>
      <c r="P693" s="12" t="str">
        <f>HYPERLINK("https://b2b.kobi.pl/pl/product/13069,tasma-led-tramo-320-cob-5m-3000k-24v-ip65-kobi-premium?currency=PLN")</f>
        <v>https://b2b.kobi.pl/pl/product/13069,tasma-led-tramo-320-cob-5m-3000k-24v-ip65-kobi-premium?currency=PLN</v>
      </c>
      <c r="Q693" s="12" t="str">
        <f>HYPERLINK("https://eprel.ec.europa.eu/qr/2476535")</f>
        <v>https://eprel.ec.europa.eu/qr/2476535</v>
      </c>
      <c r="R693"/>
      <c r="S693" t="s">
        <v>2607</v>
      </c>
      <c r="T693">
        <v>0.08</v>
      </c>
      <c r="U693">
        <v>0.1</v>
      </c>
      <c r="V693">
        <v>0.2</v>
      </c>
      <c r="W693">
        <v>22</v>
      </c>
      <c r="X693">
        <v>28</v>
      </c>
      <c r="Y693">
        <v>1</v>
      </c>
    </row>
    <row r="694" spans="1:25" ht="60" customHeight="1" x14ac:dyDescent="0.25">
      <c r="A694"/>
      <c r="B694" t="s">
        <v>3743</v>
      </c>
      <c r="C694" t="s">
        <v>3868</v>
      </c>
      <c r="D694" t="s">
        <v>606</v>
      </c>
      <c r="E694" t="s">
        <v>3488</v>
      </c>
      <c r="F694" t="s">
        <v>3489</v>
      </c>
      <c r="G694" t="s">
        <v>1413</v>
      </c>
      <c r="H694" s="11">
        <v>59.29</v>
      </c>
      <c r="I694" s="10">
        <f>H694*(1-IFERROR(VLOOKUP(G694,Rabat!$C$9:$D$43,2,0),0))</f>
        <v>59.29</v>
      </c>
      <c r="J694" t="s">
        <v>1816</v>
      </c>
      <c r="K694" t="s">
        <v>3521</v>
      </c>
      <c r="L694" t="s">
        <v>1813</v>
      </c>
      <c r="M694">
        <v>50</v>
      </c>
      <c r="N694"/>
      <c r="O694" t="s">
        <v>1819</v>
      </c>
      <c r="P694" s="12" t="str">
        <f>HYPERLINK("https://b2b.kobi.pl/pl/product/13070,tasma-led-tramo-320-cob-5m-4000k-24v-ip20-kobi-premium?currency=PLN")</f>
        <v>https://b2b.kobi.pl/pl/product/13070,tasma-led-tramo-320-cob-5m-4000k-24v-ip20-kobi-premium?currency=PLN</v>
      </c>
      <c r="Q694" s="12" t="str">
        <f>HYPERLINK("https://eprel.ec.europa.eu/qr/2476198")</f>
        <v>https://eprel.ec.europa.eu/qr/2476198</v>
      </c>
      <c r="R694"/>
      <c r="S694" t="s">
        <v>2607</v>
      </c>
      <c r="T694">
        <v>0.08</v>
      </c>
      <c r="U694">
        <v>0.1</v>
      </c>
      <c r="V694">
        <v>0.2</v>
      </c>
      <c r="W694">
        <v>22</v>
      </c>
      <c r="X694">
        <v>28</v>
      </c>
      <c r="Y694">
        <v>1</v>
      </c>
    </row>
    <row r="695" spans="1:25" ht="60" customHeight="1" x14ac:dyDescent="0.25">
      <c r="A695"/>
      <c r="B695" t="s">
        <v>3743</v>
      </c>
      <c r="C695" t="s">
        <v>3868</v>
      </c>
      <c r="D695" t="s">
        <v>606</v>
      </c>
      <c r="E695" t="s">
        <v>3490</v>
      </c>
      <c r="F695" t="s">
        <v>3491</v>
      </c>
      <c r="G695" t="s">
        <v>1413</v>
      </c>
      <c r="H695" s="11">
        <v>84.46</v>
      </c>
      <c r="I695" s="10">
        <f>H695*(1-IFERROR(VLOOKUP(G695,Rabat!$C$9:$D$43,2,0),0))</f>
        <v>84.46</v>
      </c>
      <c r="J695" t="s">
        <v>1816</v>
      </c>
      <c r="K695" t="s">
        <v>3522</v>
      </c>
      <c r="L695" t="s">
        <v>1813</v>
      </c>
      <c r="M695">
        <v>50</v>
      </c>
      <c r="N695"/>
      <c r="O695" t="s">
        <v>1819</v>
      </c>
      <c r="P695" s="12" t="str">
        <f>HYPERLINK("https://b2b.kobi.pl/pl/product/13071,tasma-led-tramo-320-cob-5m-4000k-24v-ip65-kobi-premium?currency=PLN")</f>
        <v>https://b2b.kobi.pl/pl/product/13071,tasma-led-tramo-320-cob-5m-4000k-24v-ip65-kobi-premium?currency=PLN</v>
      </c>
      <c r="Q695" s="12" t="str">
        <f>HYPERLINK("https://eprel.ec.europa.eu/qr/2476515")</f>
        <v>https://eprel.ec.europa.eu/qr/2476515</v>
      </c>
      <c r="R695"/>
      <c r="S695" t="s">
        <v>2607</v>
      </c>
      <c r="T695">
        <v>0.08</v>
      </c>
      <c r="U695">
        <v>0.1</v>
      </c>
      <c r="V695">
        <v>0.2</v>
      </c>
      <c r="W695">
        <v>22</v>
      </c>
      <c r="X695">
        <v>28</v>
      </c>
      <c r="Y695">
        <v>1</v>
      </c>
    </row>
    <row r="696" spans="1:25" ht="60" customHeight="1" x14ac:dyDescent="0.25">
      <c r="A696"/>
      <c r="B696" t="s">
        <v>3743</v>
      </c>
      <c r="C696" t="s">
        <v>3868</v>
      </c>
      <c r="D696" t="s">
        <v>606</v>
      </c>
      <c r="E696" t="s">
        <v>3492</v>
      </c>
      <c r="F696" t="s">
        <v>3493</v>
      </c>
      <c r="G696" t="s">
        <v>1413</v>
      </c>
      <c r="H696" s="11">
        <v>59.29</v>
      </c>
      <c r="I696" s="10">
        <f>H696*(1-IFERROR(VLOOKUP(G696,Rabat!$C$9:$D$43,2,0),0))</f>
        <v>59.29</v>
      </c>
      <c r="J696" t="s">
        <v>1816</v>
      </c>
      <c r="K696" t="s">
        <v>3523</v>
      </c>
      <c r="L696" t="s">
        <v>1813</v>
      </c>
      <c r="M696">
        <v>50</v>
      </c>
      <c r="N696"/>
      <c r="O696" t="s">
        <v>1819</v>
      </c>
      <c r="P696" s="12" t="str">
        <f>HYPERLINK("https://b2b.kobi.pl/pl/product/13072,tasma-led-tramo-320-cob-5m-6500k-24v-ip20-kobi-premium?currency=PLN")</f>
        <v>https://b2b.kobi.pl/pl/product/13072,tasma-led-tramo-320-cob-5m-6500k-24v-ip20-kobi-premium?currency=PLN</v>
      </c>
      <c r="Q696" s="12" t="str">
        <f>HYPERLINK("https://eprel.ec.europa.eu/qr/2476365")</f>
        <v>https://eprel.ec.europa.eu/qr/2476365</v>
      </c>
      <c r="R696"/>
      <c r="S696" t="s">
        <v>2607</v>
      </c>
      <c r="T696">
        <v>0.08</v>
      </c>
      <c r="U696">
        <v>0.1</v>
      </c>
      <c r="V696">
        <v>0.2</v>
      </c>
      <c r="W696">
        <v>22</v>
      </c>
      <c r="X696">
        <v>28</v>
      </c>
      <c r="Y696">
        <v>1</v>
      </c>
    </row>
    <row r="697" spans="1:25" ht="60" customHeight="1" x14ac:dyDescent="0.25">
      <c r="A697"/>
      <c r="B697" t="s">
        <v>3743</v>
      </c>
      <c r="C697" t="s">
        <v>3868</v>
      </c>
      <c r="D697" t="s">
        <v>606</v>
      </c>
      <c r="E697" t="s">
        <v>3494</v>
      </c>
      <c r="F697" t="s">
        <v>3495</v>
      </c>
      <c r="G697" t="s">
        <v>1413</v>
      </c>
      <c r="H697" s="11">
        <v>84.46</v>
      </c>
      <c r="I697" s="10">
        <f>H697*(1-IFERROR(VLOOKUP(G697,Rabat!$C$9:$D$43,2,0),0))</f>
        <v>84.46</v>
      </c>
      <c r="J697" t="s">
        <v>1816</v>
      </c>
      <c r="K697" t="s">
        <v>3524</v>
      </c>
      <c r="L697" t="s">
        <v>1813</v>
      </c>
      <c r="M697">
        <v>50</v>
      </c>
      <c r="N697"/>
      <c r="O697" t="s">
        <v>1819</v>
      </c>
      <c r="P697" s="12" t="str">
        <f>HYPERLINK("https://b2b.kobi.pl/pl/product/13073,tasma-led-tramo-320-cob-5m-6500k-24v-ip65-kobi-premium?currency=PLN")</f>
        <v>https://b2b.kobi.pl/pl/product/13073,tasma-led-tramo-320-cob-5m-6500k-24v-ip65-kobi-premium?currency=PLN</v>
      </c>
      <c r="Q697" s="12" t="str">
        <f>HYPERLINK("https://eprel.ec.europa.eu/qr/2476535")</f>
        <v>https://eprel.ec.europa.eu/qr/2476535</v>
      </c>
      <c r="R697"/>
      <c r="S697" t="s">
        <v>2607</v>
      </c>
      <c r="T697">
        <v>0.08</v>
      </c>
      <c r="U697">
        <v>0.1</v>
      </c>
      <c r="V697">
        <v>0.2</v>
      </c>
      <c r="W697">
        <v>22</v>
      </c>
      <c r="X697">
        <v>28</v>
      </c>
      <c r="Y697">
        <v>1</v>
      </c>
    </row>
    <row r="698" spans="1:25" ht="60" customHeight="1" x14ac:dyDescent="0.25">
      <c r="A698"/>
      <c r="B698" t="s">
        <v>3743</v>
      </c>
      <c r="C698" t="s">
        <v>5</v>
      </c>
      <c r="D698" t="s">
        <v>618</v>
      </c>
      <c r="E698" t="s">
        <v>3496</v>
      </c>
      <c r="F698" t="s">
        <v>3497</v>
      </c>
      <c r="G698" t="s">
        <v>620</v>
      </c>
      <c r="H698" s="11">
        <v>4.4800000000000004</v>
      </c>
      <c r="I698" s="10">
        <f>H698*(1-IFERROR(VLOOKUP(G698,Rabat!$C$9:$D$43,2,0),0))</f>
        <v>4.4800000000000004</v>
      </c>
      <c r="J698" t="s">
        <v>1815</v>
      </c>
      <c r="K698" t="s">
        <v>3525</v>
      </c>
      <c r="L698" t="s">
        <v>1813</v>
      </c>
      <c r="M698">
        <v>10</v>
      </c>
      <c r="N698"/>
      <c r="O698" t="s">
        <v>1818</v>
      </c>
      <c r="P698" s="12" t="str">
        <f>HYPERLINK("https://b2b.kobi.pl/pl/product/13062,lacznik-9w1-tasmy-led-cob-8mm-kobi?currency=PLN")</f>
        <v>https://b2b.kobi.pl/pl/product/13062,lacznik-9w1-tasmy-led-cob-8mm-kobi?currency=PLN</v>
      </c>
      <c r="Q698" t="s">
        <v>14</v>
      </c>
      <c r="R698"/>
      <c r="S698" t="s">
        <v>2570</v>
      </c>
      <c r="T698">
        <v>0</v>
      </c>
      <c r="U698">
        <v>8.9999999999999998E-4</v>
      </c>
      <c r="V698">
        <v>1E-3</v>
      </c>
      <c r="W698">
        <v>8</v>
      </c>
      <c r="X698">
        <v>12</v>
      </c>
      <c r="Y698">
        <v>0</v>
      </c>
    </row>
    <row r="699" spans="1:25" ht="60" customHeight="1" x14ac:dyDescent="0.25">
      <c r="A699"/>
      <c r="B699" t="s">
        <v>3743</v>
      </c>
      <c r="C699" t="s">
        <v>3868</v>
      </c>
      <c r="D699" t="s">
        <v>606</v>
      </c>
      <c r="E699" t="s">
        <v>3869</v>
      </c>
      <c r="F699" t="s">
        <v>3870</v>
      </c>
      <c r="G699" t="s">
        <v>1413</v>
      </c>
      <c r="H699" s="11">
        <v>44.75</v>
      </c>
      <c r="I699" s="10">
        <f>H699*(1-IFERROR(VLOOKUP(G699,Rabat!$C$9:$D$43,2,0),0))</f>
        <v>44.75</v>
      </c>
      <c r="J699" t="s">
        <v>1816</v>
      </c>
      <c r="K699" t="s">
        <v>4156</v>
      </c>
      <c r="L699" t="s">
        <v>1813</v>
      </c>
      <c r="M699">
        <v>50</v>
      </c>
      <c r="N699"/>
      <c r="O699" t="s">
        <v>1819</v>
      </c>
      <c r="P699" s="12" t="str">
        <f>HYPERLINK("https://b2b.kobi.pl/pl/product/13498,tasma-led-tramo-320-cob-ambient-5m-4000k-24v-ip20-kobi-premium?currency=PLN")</f>
        <v>https://b2b.kobi.pl/pl/product/13498,tasma-led-tramo-320-cob-ambient-5m-4000k-24v-ip20-kobi-premium?currency=PLN</v>
      </c>
      <c r="Q699" t="s">
        <v>14</v>
      </c>
      <c r="R699" t="s">
        <v>4101</v>
      </c>
      <c r="S699" t="s">
        <v>2607</v>
      </c>
      <c r="T699">
        <v>0.08</v>
      </c>
      <c r="U699">
        <v>0.1</v>
      </c>
      <c r="V699">
        <v>0.2</v>
      </c>
      <c r="W699">
        <v>23</v>
      </c>
      <c r="X699">
        <v>21</v>
      </c>
      <c r="Y699">
        <v>1</v>
      </c>
    </row>
    <row r="700" spans="1:25" ht="60" customHeight="1" x14ac:dyDescent="0.25">
      <c r="A700"/>
      <c r="B700" t="s">
        <v>3743</v>
      </c>
      <c r="C700" t="s">
        <v>5</v>
      </c>
      <c r="D700" t="s">
        <v>618</v>
      </c>
      <c r="E700" t="s">
        <v>3871</v>
      </c>
      <c r="F700" t="s">
        <v>3872</v>
      </c>
      <c r="G700" t="s">
        <v>620</v>
      </c>
      <c r="H700" s="11">
        <v>4.25</v>
      </c>
      <c r="I700" s="10">
        <f>H700*(1-IFERROR(VLOOKUP(G700,Rabat!$C$9:$D$43,2,0),0))</f>
        <v>4.25</v>
      </c>
      <c r="J700" t="s">
        <v>1815</v>
      </c>
      <c r="K700" t="s">
        <v>4157</v>
      </c>
      <c r="L700" t="s">
        <v>1813</v>
      </c>
      <c r="M700">
        <v>10</v>
      </c>
      <c r="N700"/>
      <c r="O700" t="s">
        <v>1818</v>
      </c>
      <c r="P700" s="12" t="str">
        <f>HYPERLINK("https://b2b.kobi.pl/pl/product/13519,lacznik-10-cm-tasmy-led-cob-10mm-kobi?currency=PLN")</f>
        <v>https://b2b.kobi.pl/pl/product/13519,lacznik-10-cm-tasmy-led-cob-10mm-kobi?currency=PLN</v>
      </c>
      <c r="Q700" t="s">
        <v>14</v>
      </c>
      <c r="R700" t="s">
        <v>4101</v>
      </c>
      <c r="S700" t="s">
        <v>2570</v>
      </c>
      <c r="T700">
        <v>0</v>
      </c>
      <c r="U700">
        <v>3.5000000000000001E-3</v>
      </c>
      <c r="V700">
        <v>3.5999999999999999E-3</v>
      </c>
      <c r="W700">
        <v>8</v>
      </c>
      <c r="X700">
        <v>12</v>
      </c>
      <c r="Y700">
        <v>0.5</v>
      </c>
    </row>
    <row r="701" spans="1:25" ht="60" customHeight="1" x14ac:dyDescent="0.25">
      <c r="A701"/>
      <c r="B701" t="s">
        <v>3743</v>
      </c>
      <c r="C701" t="s">
        <v>3868</v>
      </c>
      <c r="D701" t="s">
        <v>606</v>
      </c>
      <c r="E701" t="s">
        <v>3873</v>
      </c>
      <c r="F701" t="s">
        <v>3874</v>
      </c>
      <c r="G701" t="s">
        <v>1413</v>
      </c>
      <c r="H701" s="11">
        <v>44.75</v>
      </c>
      <c r="I701" s="10">
        <f>H701*(1-IFERROR(VLOOKUP(G701,Rabat!$C$9:$D$43,2,0),0))</f>
        <v>44.75</v>
      </c>
      <c r="J701" t="s">
        <v>1816</v>
      </c>
      <c r="K701" t="s">
        <v>4158</v>
      </c>
      <c r="L701" t="s">
        <v>1813</v>
      </c>
      <c r="M701">
        <v>50</v>
      </c>
      <c r="N701"/>
      <c r="O701" t="s">
        <v>1819</v>
      </c>
      <c r="P701" s="12" t="str">
        <f>HYPERLINK("https://b2b.kobi.pl/pl/product/13499,tasma-led-tramo-320-cob-ambient-5m-6500k-24v-ip20-kobi-premium?currency=PLN")</f>
        <v>https://b2b.kobi.pl/pl/product/13499,tasma-led-tramo-320-cob-ambient-5m-6500k-24v-ip20-kobi-premium?currency=PLN</v>
      </c>
      <c r="Q701" t="s">
        <v>14</v>
      </c>
      <c r="R701" t="s">
        <v>4101</v>
      </c>
      <c r="S701" t="s">
        <v>2607</v>
      </c>
      <c r="T701">
        <v>0.08</v>
      </c>
      <c r="U701">
        <v>0.1</v>
      </c>
      <c r="V701">
        <v>0.2</v>
      </c>
      <c r="W701">
        <v>23</v>
      </c>
      <c r="X701">
        <v>21</v>
      </c>
      <c r="Y701">
        <v>1</v>
      </c>
    </row>
    <row r="702" spans="1:25" ht="60" customHeight="1" x14ac:dyDescent="0.25">
      <c r="A702"/>
      <c r="B702" t="s">
        <v>3743</v>
      </c>
      <c r="C702" t="s">
        <v>5</v>
      </c>
      <c r="D702" t="s">
        <v>618</v>
      </c>
      <c r="E702" t="s">
        <v>3875</v>
      </c>
      <c r="F702" t="s">
        <v>3876</v>
      </c>
      <c r="G702" t="s">
        <v>620</v>
      </c>
      <c r="H702" s="11">
        <v>6.25</v>
      </c>
      <c r="I702" s="10">
        <f>H702*(1-IFERROR(VLOOKUP(G702,Rabat!$C$9:$D$43,2,0),0))</f>
        <v>6.25</v>
      </c>
      <c r="J702" t="s">
        <v>1815</v>
      </c>
      <c r="K702" t="s">
        <v>4159</v>
      </c>
      <c r="L702" t="s">
        <v>1813</v>
      </c>
      <c r="M702">
        <v>10</v>
      </c>
      <c r="N702"/>
      <c r="O702" t="s">
        <v>1818</v>
      </c>
      <c r="P702" s="12" t="str">
        <f>HYPERLINK("https://b2b.kobi.pl/pl/product/13520,lacznik-dwustronny-10-cm-tasmy-led-cob-10mm-kobi?currency=PLN")</f>
        <v>https://b2b.kobi.pl/pl/product/13520,lacznik-dwustronny-10-cm-tasmy-led-cob-10mm-kobi?currency=PLN</v>
      </c>
      <c r="Q702" t="s">
        <v>14</v>
      </c>
      <c r="R702" t="s">
        <v>4101</v>
      </c>
      <c r="S702" t="s">
        <v>2570</v>
      </c>
      <c r="T702">
        <v>0</v>
      </c>
      <c r="U702">
        <v>4.7000000000000002E-3</v>
      </c>
      <c r="V702">
        <v>4.8999999999999998E-3</v>
      </c>
      <c r="W702">
        <v>8</v>
      </c>
      <c r="X702">
        <v>12</v>
      </c>
      <c r="Y702">
        <v>0.5</v>
      </c>
    </row>
    <row r="703" spans="1:25" ht="60" customHeight="1" x14ac:dyDescent="0.25">
      <c r="A703"/>
      <c r="B703" t="s">
        <v>3743</v>
      </c>
      <c r="C703" t="s">
        <v>3868</v>
      </c>
      <c r="D703" t="s">
        <v>606</v>
      </c>
      <c r="E703" t="s">
        <v>3877</v>
      </c>
      <c r="F703" t="s">
        <v>3878</v>
      </c>
      <c r="G703" t="s">
        <v>1413</v>
      </c>
      <c r="H703" s="11">
        <v>69.75</v>
      </c>
      <c r="I703" s="10">
        <f>H703*(1-IFERROR(VLOOKUP(G703,Rabat!$C$9:$D$43,2,0),0))</f>
        <v>69.75</v>
      </c>
      <c r="J703" t="s">
        <v>1816</v>
      </c>
      <c r="K703" t="s">
        <v>4160</v>
      </c>
      <c r="L703" t="s">
        <v>1813</v>
      </c>
      <c r="M703">
        <v>50</v>
      </c>
      <c r="N703"/>
      <c r="O703" t="s">
        <v>1819</v>
      </c>
      <c r="P703" s="12" t="str">
        <f>HYPERLINK("https://b2b.kobi.pl/pl/product/13500,tasma-led-tramo-320-cob-ambient-5m-3000k-24v-ip65-kobi-premium?currency=PLN")</f>
        <v>https://b2b.kobi.pl/pl/product/13500,tasma-led-tramo-320-cob-ambient-5m-3000k-24v-ip65-kobi-premium?currency=PLN</v>
      </c>
      <c r="Q703" t="s">
        <v>14</v>
      </c>
      <c r="R703" t="s">
        <v>4101</v>
      </c>
      <c r="S703" t="s">
        <v>2607</v>
      </c>
      <c r="T703">
        <v>0.08</v>
      </c>
      <c r="U703">
        <v>0.1</v>
      </c>
      <c r="V703">
        <v>0.2</v>
      </c>
      <c r="W703">
        <v>23</v>
      </c>
      <c r="X703">
        <v>21</v>
      </c>
      <c r="Y703">
        <v>1</v>
      </c>
    </row>
    <row r="704" spans="1:25" ht="60" customHeight="1" x14ac:dyDescent="0.25">
      <c r="A704"/>
      <c r="B704" t="s">
        <v>3743</v>
      </c>
      <c r="C704" t="s">
        <v>5</v>
      </c>
      <c r="D704"/>
      <c r="E704" t="s">
        <v>3879</v>
      </c>
      <c r="F704" t="s">
        <v>3880</v>
      </c>
      <c r="G704" t="s">
        <v>620</v>
      </c>
      <c r="H704" s="11">
        <v>3</v>
      </c>
      <c r="I704" s="10">
        <f>H704*(1-IFERROR(VLOOKUP(G704,Rabat!$C$9:$D$43,2,0),0))</f>
        <v>3</v>
      </c>
      <c r="J704" t="s">
        <v>1815</v>
      </c>
      <c r="K704" t="s">
        <v>4161</v>
      </c>
      <c r="L704" t="s">
        <v>1813</v>
      </c>
      <c r="M704">
        <v>10</v>
      </c>
      <c r="N704"/>
      <c r="O704" t="s">
        <v>1818</v>
      </c>
      <c r="P704" s="12" t="str">
        <f>HYPERLINK("https://b2b.kobi.pl/pl/product/13521,lacznik-i-tasmy-led-cob-10mm-kobi?currency=PLN")</f>
        <v>https://b2b.kobi.pl/pl/product/13521,lacznik-i-tasmy-led-cob-10mm-kobi?currency=PLN</v>
      </c>
      <c r="Q704" t="s">
        <v>14</v>
      </c>
      <c r="R704" t="s">
        <v>4101</v>
      </c>
      <c r="S704" t="s">
        <v>2570</v>
      </c>
      <c r="T704">
        <v>0</v>
      </c>
      <c r="U704">
        <v>8.9999999999999998E-4</v>
      </c>
      <c r="V704">
        <v>1.0499999999999999E-3</v>
      </c>
      <c r="W704">
        <v>8</v>
      </c>
      <c r="X704">
        <v>12</v>
      </c>
      <c r="Y704">
        <v>0.5</v>
      </c>
    </row>
    <row r="705" spans="1:25" ht="60" customHeight="1" x14ac:dyDescent="0.25">
      <c r="A705"/>
      <c r="B705" t="s">
        <v>3743</v>
      </c>
      <c r="C705" t="s">
        <v>3868</v>
      </c>
      <c r="D705" t="s">
        <v>606</v>
      </c>
      <c r="E705" t="s">
        <v>3881</v>
      </c>
      <c r="F705" t="s">
        <v>3882</v>
      </c>
      <c r="G705" t="s">
        <v>1413</v>
      </c>
      <c r="H705" s="11">
        <v>69.75</v>
      </c>
      <c r="I705" s="10">
        <f>H705*(1-IFERROR(VLOOKUP(G705,Rabat!$C$9:$D$43,2,0),0))</f>
        <v>69.75</v>
      </c>
      <c r="J705" t="s">
        <v>1816</v>
      </c>
      <c r="K705" t="s">
        <v>4162</v>
      </c>
      <c r="L705" t="s">
        <v>1813</v>
      </c>
      <c r="M705">
        <v>50</v>
      </c>
      <c r="N705"/>
      <c r="O705" t="s">
        <v>1819</v>
      </c>
      <c r="P705" s="12" t="str">
        <f>HYPERLINK("https://b2b.kobi.pl/pl/product/13501,tasma-led-tramo-320-cob-ambient-5m-4000k-24v-ip65-kobi-premium?currency=PLN")</f>
        <v>https://b2b.kobi.pl/pl/product/13501,tasma-led-tramo-320-cob-ambient-5m-4000k-24v-ip65-kobi-premium?currency=PLN</v>
      </c>
      <c r="Q705" t="s">
        <v>14</v>
      </c>
      <c r="R705" t="s">
        <v>4101</v>
      </c>
      <c r="S705" t="s">
        <v>2607</v>
      </c>
      <c r="T705">
        <v>0.13</v>
      </c>
      <c r="U705">
        <v>0.15</v>
      </c>
      <c r="V705">
        <v>0.25</v>
      </c>
      <c r="W705">
        <v>23</v>
      </c>
      <c r="X705">
        <v>21</v>
      </c>
      <c r="Y705">
        <v>1</v>
      </c>
    </row>
    <row r="706" spans="1:25" ht="60" customHeight="1" x14ac:dyDescent="0.25">
      <c r="A706"/>
      <c r="B706" t="s">
        <v>3743</v>
      </c>
      <c r="C706" t="s">
        <v>3868</v>
      </c>
      <c r="D706" t="s">
        <v>606</v>
      </c>
      <c r="E706" t="s">
        <v>3883</v>
      </c>
      <c r="F706" t="s">
        <v>3884</v>
      </c>
      <c r="G706" t="s">
        <v>1413</v>
      </c>
      <c r="H706" s="11">
        <v>44.75</v>
      </c>
      <c r="I706" s="10">
        <f>H706*(1-IFERROR(VLOOKUP(G706,Rabat!$C$9:$D$43,2,0),0))</f>
        <v>44.75</v>
      </c>
      <c r="J706" t="s">
        <v>1816</v>
      </c>
      <c r="K706" t="s">
        <v>4163</v>
      </c>
      <c r="L706" t="s">
        <v>1813</v>
      </c>
      <c r="M706">
        <v>50</v>
      </c>
      <c r="N706"/>
      <c r="O706" t="s">
        <v>1819</v>
      </c>
      <c r="P706" s="12" t="str">
        <f>HYPERLINK("https://b2b.kobi.pl/pl/product/13502,tasma-led-tramo-320-cob-ambient-5m-3000k-24v-ip20-kobi-premium?currency=PLN")</f>
        <v>https://b2b.kobi.pl/pl/product/13502,tasma-led-tramo-320-cob-ambient-5m-3000k-24v-ip20-kobi-premium?currency=PLN</v>
      </c>
      <c r="Q706" t="s">
        <v>14</v>
      </c>
      <c r="R706" t="s">
        <v>4101</v>
      </c>
      <c r="S706" t="s">
        <v>2607</v>
      </c>
      <c r="T706">
        <v>0.13</v>
      </c>
      <c r="U706">
        <v>0.15</v>
      </c>
      <c r="V706">
        <v>0.25</v>
      </c>
      <c r="W706">
        <v>23</v>
      </c>
      <c r="X706">
        <v>21</v>
      </c>
      <c r="Y706">
        <v>1</v>
      </c>
    </row>
    <row r="707" spans="1:25" ht="60" customHeight="1" x14ac:dyDescent="0.25">
      <c r="A707"/>
      <c r="B707" t="s">
        <v>3743</v>
      </c>
      <c r="C707" t="s">
        <v>5</v>
      </c>
      <c r="D707"/>
      <c r="E707" t="s">
        <v>3885</v>
      </c>
      <c r="F707" t="s">
        <v>3886</v>
      </c>
      <c r="G707" t="s">
        <v>620</v>
      </c>
      <c r="H707" s="11">
        <v>6.75</v>
      </c>
      <c r="I707" s="10">
        <f>H707*(1-IFERROR(VLOOKUP(G707,Rabat!$C$9:$D$43,2,0),0))</f>
        <v>6.75</v>
      </c>
      <c r="J707" t="s">
        <v>1815</v>
      </c>
      <c r="K707" t="s">
        <v>4164</v>
      </c>
      <c r="L707" t="s">
        <v>1813</v>
      </c>
      <c r="M707">
        <v>10</v>
      </c>
      <c r="N707"/>
      <c r="O707" t="s">
        <v>1818</v>
      </c>
      <c r="P707" s="12" t="str">
        <f>HYPERLINK("https://b2b.kobi.pl/pl/product/13522,lacznik-l-tasmy-led-cob-10mm-kobi?currency=PLN")</f>
        <v>https://b2b.kobi.pl/pl/product/13522,lacznik-l-tasmy-led-cob-10mm-kobi?currency=PLN</v>
      </c>
      <c r="Q707" t="s">
        <v>14</v>
      </c>
      <c r="R707" t="s">
        <v>4101</v>
      </c>
      <c r="S707" t="s">
        <v>2570</v>
      </c>
      <c r="T707">
        <v>0</v>
      </c>
      <c r="U707">
        <v>1.6000000000000001E-3</v>
      </c>
      <c r="V707">
        <v>1.75E-3</v>
      </c>
      <c r="W707">
        <v>8</v>
      </c>
      <c r="X707">
        <v>12</v>
      </c>
      <c r="Y707">
        <v>0.5</v>
      </c>
    </row>
    <row r="708" spans="1:25" ht="60" customHeight="1" x14ac:dyDescent="0.25">
      <c r="A708"/>
      <c r="B708" t="s">
        <v>3743</v>
      </c>
      <c r="C708" t="s">
        <v>5</v>
      </c>
      <c r="D708" t="s">
        <v>14</v>
      </c>
      <c r="E708" t="s">
        <v>3887</v>
      </c>
      <c r="F708" t="s">
        <v>3888</v>
      </c>
      <c r="G708" t="s">
        <v>620</v>
      </c>
      <c r="H708" s="11">
        <v>59.67</v>
      </c>
      <c r="I708" s="10">
        <f>H708*(1-IFERROR(VLOOKUP(G708,Rabat!$C$9:$D$43,2,0),0))</f>
        <v>59.67</v>
      </c>
      <c r="J708"/>
      <c r="K708" t="s">
        <v>4165</v>
      </c>
      <c r="L708" t="s">
        <v>1813</v>
      </c>
      <c r="M708">
        <v>200</v>
      </c>
      <c r="N708"/>
      <c r="O708"/>
      <c r="P708" s="12" t="str">
        <f>HYPERLINK("https://b2b.kobi.pl/pl/product/13513,sterownik-do-tasm-led-cob-12-24v-miboxer-sr5?currency=PLN")</f>
        <v>https://b2b.kobi.pl/pl/product/13513,sterownik-do-tasm-led-cob-12-24v-miboxer-sr5?currency=PLN</v>
      </c>
      <c r="Q708" t="s">
        <v>14</v>
      </c>
      <c r="R708" t="s">
        <v>4101</v>
      </c>
      <c r="S708" t="s">
        <v>2627</v>
      </c>
      <c r="T708">
        <v>0.02</v>
      </c>
      <c r="U708">
        <v>4.1000000000000002E-2</v>
      </c>
      <c r="V708">
        <v>4.3999999999999997E-2</v>
      </c>
      <c r="W708">
        <v>7.6</v>
      </c>
      <c r="X708">
        <v>3.7</v>
      </c>
      <c r="Y708">
        <v>2.4</v>
      </c>
    </row>
    <row r="709" spans="1:25" ht="60" customHeight="1" x14ac:dyDescent="0.25">
      <c r="A709"/>
      <c r="B709" t="s">
        <v>3743</v>
      </c>
      <c r="C709" t="s">
        <v>3868</v>
      </c>
      <c r="D709" t="s">
        <v>606</v>
      </c>
      <c r="E709" t="s">
        <v>3889</v>
      </c>
      <c r="F709" t="s">
        <v>3890</v>
      </c>
      <c r="G709" t="s">
        <v>1413</v>
      </c>
      <c r="H709" s="11">
        <v>69.75</v>
      </c>
      <c r="I709" s="10">
        <f>H709*(1-IFERROR(VLOOKUP(G709,Rabat!$C$9:$D$43,2,0),0))</f>
        <v>69.75</v>
      </c>
      <c r="J709" t="s">
        <v>1816</v>
      </c>
      <c r="K709" t="s">
        <v>4166</v>
      </c>
      <c r="L709" t="s">
        <v>1813</v>
      </c>
      <c r="M709">
        <v>50</v>
      </c>
      <c r="N709"/>
      <c r="O709" t="s">
        <v>1819</v>
      </c>
      <c r="P709" s="12" t="str">
        <f>HYPERLINK("https://b2b.kobi.pl/pl/product/13503,tasma-led-tramo-320-cob-ambient-5m-6500k-24v-ip65-kobi-premium?currency=PLN")</f>
        <v>https://b2b.kobi.pl/pl/product/13503,tasma-led-tramo-320-cob-ambient-5m-6500k-24v-ip65-kobi-premium?currency=PLN</v>
      </c>
      <c r="Q709" t="s">
        <v>14</v>
      </c>
      <c r="R709" t="s">
        <v>4101</v>
      </c>
      <c r="S709" t="s">
        <v>2607</v>
      </c>
      <c r="T709">
        <v>0.13</v>
      </c>
      <c r="U709">
        <v>0.15</v>
      </c>
      <c r="V709">
        <v>0.25</v>
      </c>
      <c r="W709">
        <v>23</v>
      </c>
      <c r="X709">
        <v>21</v>
      </c>
      <c r="Y709">
        <v>1</v>
      </c>
    </row>
    <row r="710" spans="1:25" ht="60" customHeight="1" x14ac:dyDescent="0.25">
      <c r="A710"/>
      <c r="B710" t="s">
        <v>3743</v>
      </c>
      <c r="C710" t="s">
        <v>5</v>
      </c>
      <c r="D710"/>
      <c r="E710" t="s">
        <v>3891</v>
      </c>
      <c r="F710" t="s">
        <v>3892</v>
      </c>
      <c r="G710" t="s">
        <v>620</v>
      </c>
      <c r="H710" s="11">
        <v>146.33000000000001</v>
      </c>
      <c r="I710" s="10">
        <f>H710*(1-IFERROR(VLOOKUP(G710,Rabat!$C$9:$D$43,2,0),0))</f>
        <v>146.33000000000001</v>
      </c>
      <c r="J710"/>
      <c r="K710" t="s">
        <v>4167</v>
      </c>
      <c r="L710" t="s">
        <v>1813</v>
      </c>
      <c r="M710">
        <v>200</v>
      </c>
      <c r="N710"/>
      <c r="O710"/>
      <c r="P710" s="12" t="str">
        <f>HYPERLINK("https://b2b.kobi.pl/pl/product/13514,sterownik-do-tasm-led-cob-12-24v-wifi-miboxer-sw5?currency=PLN")</f>
        <v>https://b2b.kobi.pl/pl/product/13514,sterownik-do-tasm-led-cob-12-24v-wifi-miboxer-sw5?currency=PLN</v>
      </c>
      <c r="Q710" t="s">
        <v>14</v>
      </c>
      <c r="R710" t="s">
        <v>4101</v>
      </c>
      <c r="S710" t="s">
        <v>2627</v>
      </c>
      <c r="T710">
        <v>0.02</v>
      </c>
      <c r="U710">
        <v>4.2999999999999997E-2</v>
      </c>
      <c r="V710">
        <v>4.9000000000000002E-2</v>
      </c>
      <c r="W710">
        <v>7.6</v>
      </c>
      <c r="X710">
        <v>3.7</v>
      </c>
      <c r="Y710">
        <v>2.4</v>
      </c>
    </row>
    <row r="711" spans="1:25" ht="60" customHeight="1" x14ac:dyDescent="0.25">
      <c r="A711"/>
      <c r="B711" t="s">
        <v>3743</v>
      </c>
      <c r="C711" t="s">
        <v>3868</v>
      </c>
      <c r="D711" t="s">
        <v>606</v>
      </c>
      <c r="E711" t="s">
        <v>3893</v>
      </c>
      <c r="F711" t="s">
        <v>3894</v>
      </c>
      <c r="G711" t="s">
        <v>1413</v>
      </c>
      <c r="H711" s="11">
        <v>99.75</v>
      </c>
      <c r="I711" s="10">
        <f>H711*(1-IFERROR(VLOOKUP(G711,Rabat!$C$9:$D$43,2,0),0))</f>
        <v>99.75</v>
      </c>
      <c r="J711" t="s">
        <v>1812</v>
      </c>
      <c r="K711" t="s">
        <v>4168</v>
      </c>
      <c r="L711" t="s">
        <v>1813</v>
      </c>
      <c r="M711">
        <v>50</v>
      </c>
      <c r="N711"/>
      <c r="O711" t="s">
        <v>1819</v>
      </c>
      <c r="P711" s="12" t="str">
        <f>HYPERLINK("https://b2b.kobi.pl/pl/product/13504,tasma-led-tramo-608-cob-5m-3cct-24v-ip20-kobi-premium?currency=PLN")</f>
        <v>https://b2b.kobi.pl/pl/product/13504,tasma-led-tramo-608-cob-5m-3cct-24v-ip20-kobi-premium?currency=PLN</v>
      </c>
      <c r="Q711" t="s">
        <v>14</v>
      </c>
      <c r="R711" t="s">
        <v>4101</v>
      </c>
      <c r="S711" t="s">
        <v>2607</v>
      </c>
      <c r="T711">
        <v>0.08</v>
      </c>
      <c r="U711">
        <v>0.1</v>
      </c>
      <c r="V711">
        <v>0.2</v>
      </c>
      <c r="W711">
        <v>23</v>
      </c>
      <c r="X711">
        <v>21</v>
      </c>
      <c r="Y711">
        <v>1</v>
      </c>
    </row>
    <row r="712" spans="1:25" ht="60" customHeight="1" x14ac:dyDescent="0.25">
      <c r="A712"/>
      <c r="B712" t="s">
        <v>3743</v>
      </c>
      <c r="C712" t="s">
        <v>5</v>
      </c>
      <c r="D712"/>
      <c r="E712" t="s">
        <v>3895</v>
      </c>
      <c r="F712" t="s">
        <v>3896</v>
      </c>
      <c r="G712" t="s">
        <v>620</v>
      </c>
      <c r="H712" s="11">
        <v>93.33</v>
      </c>
      <c r="I712" s="10">
        <f>H712*(1-IFERROR(VLOOKUP(G712,Rabat!$C$9:$D$43,2,0),0))</f>
        <v>93.33</v>
      </c>
      <c r="J712"/>
      <c r="K712" t="s">
        <v>4169</v>
      </c>
      <c r="L712" t="s">
        <v>1813</v>
      </c>
      <c r="M712">
        <v>200</v>
      </c>
      <c r="N712"/>
      <c r="O712"/>
      <c r="P712" s="12" t="str">
        <f>HYPERLINK("https://b2b.kobi.pl/pl/product/13515,pilot-4-strefowy-do-tasm-cob-rgb-cct-miboxer-fut092?currency=PLN")</f>
        <v>https://b2b.kobi.pl/pl/product/13515,pilot-4-strefowy-do-tasm-cob-rgb-cct-miboxer-fut092?currency=PLN</v>
      </c>
      <c r="Q712" t="s">
        <v>14</v>
      </c>
      <c r="R712" t="s">
        <v>4101</v>
      </c>
      <c r="S712" t="s">
        <v>2627</v>
      </c>
      <c r="T712">
        <v>0.03</v>
      </c>
      <c r="U712">
        <v>0.08</v>
      </c>
      <c r="V712">
        <v>8.2000000000000003E-2</v>
      </c>
      <c r="W712">
        <v>14</v>
      </c>
      <c r="X712">
        <v>5.8</v>
      </c>
      <c r="Y712">
        <v>2.2000000000000002</v>
      </c>
    </row>
    <row r="713" spans="1:25" ht="60" customHeight="1" x14ac:dyDescent="0.25">
      <c r="A713"/>
      <c r="B713" t="s">
        <v>3743</v>
      </c>
      <c r="C713" t="s">
        <v>3868</v>
      </c>
      <c r="D713" t="s">
        <v>606</v>
      </c>
      <c r="E713" t="s">
        <v>3897</v>
      </c>
      <c r="F713" t="s">
        <v>3898</v>
      </c>
      <c r="G713" t="s">
        <v>1413</v>
      </c>
      <c r="H713" s="11">
        <v>124.75</v>
      </c>
      <c r="I713" s="10">
        <f>H713*(1-IFERROR(VLOOKUP(G713,Rabat!$C$9:$D$43,2,0),0))</f>
        <v>124.75</v>
      </c>
      <c r="J713" t="s">
        <v>1812</v>
      </c>
      <c r="K713" t="s">
        <v>4170</v>
      </c>
      <c r="L713" t="s">
        <v>1813</v>
      </c>
      <c r="M713">
        <v>50</v>
      </c>
      <c r="N713"/>
      <c r="O713" t="s">
        <v>1819</v>
      </c>
      <c r="P713" s="12" t="str">
        <f>HYPERLINK("https://b2b.kobi.pl/pl/product/13505,tasma-led-tramo-608-cob-5m-3cct-24v-ip65-kobi-premium?currency=PLN")</f>
        <v>https://b2b.kobi.pl/pl/product/13505,tasma-led-tramo-608-cob-5m-3cct-24v-ip65-kobi-premium?currency=PLN</v>
      </c>
      <c r="Q713" t="s">
        <v>14</v>
      </c>
      <c r="R713" t="s">
        <v>4101</v>
      </c>
      <c r="S713" t="s">
        <v>2607</v>
      </c>
      <c r="T713">
        <v>0.13</v>
      </c>
      <c r="U713">
        <v>0.15</v>
      </c>
      <c r="V713">
        <v>0.25</v>
      </c>
      <c r="W713">
        <v>23</v>
      </c>
      <c r="X713">
        <v>21</v>
      </c>
      <c r="Y713">
        <v>1</v>
      </c>
    </row>
    <row r="714" spans="1:25" ht="60" customHeight="1" x14ac:dyDescent="0.25">
      <c r="A714"/>
      <c r="B714" t="s">
        <v>3743</v>
      </c>
      <c r="C714" t="s">
        <v>5</v>
      </c>
      <c r="D714"/>
      <c r="E714" t="s">
        <v>3899</v>
      </c>
      <c r="F714" t="s">
        <v>3900</v>
      </c>
      <c r="G714" t="s">
        <v>620</v>
      </c>
      <c r="H714" s="11">
        <v>52.04</v>
      </c>
      <c r="I714" s="10">
        <f>H714*(1-IFERROR(VLOOKUP(G714,Rabat!$C$9:$D$43,2,0),0))</f>
        <v>52.04</v>
      </c>
      <c r="J714"/>
      <c r="K714" t="s">
        <v>4171</v>
      </c>
      <c r="L714" t="s">
        <v>1813</v>
      </c>
      <c r="M714">
        <v>200</v>
      </c>
      <c r="N714"/>
      <c r="O714" t="s">
        <v>14</v>
      </c>
      <c r="P714" s="12" t="str">
        <f>HYPERLINK("https://b2b.kobi.pl/pl/product/13516,pilot-4-strefowy-do-tasm-cob-mono-cct-miboxer-fut006?currency=PLN")</f>
        <v>https://b2b.kobi.pl/pl/product/13516,pilot-4-strefowy-do-tasm-cob-mono-cct-miboxer-fut006?currency=PLN</v>
      </c>
      <c r="Q714" t="s">
        <v>14</v>
      </c>
      <c r="R714" t="s">
        <v>4101</v>
      </c>
      <c r="S714" t="s">
        <v>2627</v>
      </c>
      <c r="T714">
        <v>0.02</v>
      </c>
      <c r="U714">
        <v>5.8999999999999997E-2</v>
      </c>
      <c r="V714">
        <v>6.1499999999999999E-2</v>
      </c>
      <c r="W714">
        <v>11.5</v>
      </c>
      <c r="X714">
        <v>5.7</v>
      </c>
      <c r="Y714">
        <v>2.7</v>
      </c>
    </row>
    <row r="715" spans="1:25" ht="60" customHeight="1" x14ac:dyDescent="0.25">
      <c r="A715"/>
      <c r="B715" t="s">
        <v>3743</v>
      </c>
      <c r="C715" t="s">
        <v>3868</v>
      </c>
      <c r="D715" t="s">
        <v>606</v>
      </c>
      <c r="E715" t="s">
        <v>3901</v>
      </c>
      <c r="F715" t="s">
        <v>3902</v>
      </c>
      <c r="G715" t="s">
        <v>1413</v>
      </c>
      <c r="H715" s="11">
        <v>119.75</v>
      </c>
      <c r="I715" s="10">
        <f>H715*(1-IFERROR(VLOOKUP(G715,Rabat!$C$9:$D$43,2,0),0))</f>
        <v>119.75</v>
      </c>
      <c r="J715" t="s">
        <v>1815</v>
      </c>
      <c r="K715" t="s">
        <v>4172</v>
      </c>
      <c r="L715" t="s">
        <v>1813</v>
      </c>
      <c r="M715">
        <v>50</v>
      </c>
      <c r="N715"/>
      <c r="O715" t="s">
        <v>1819</v>
      </c>
      <c r="P715" s="12" t="str">
        <f>HYPERLINK("https://b2b.kobi.pl/pl/product/13506,tasma-led-tramo-672-cob-5m-rgb-24v-ip20-kobi-premium?currency=PLN")</f>
        <v>https://b2b.kobi.pl/pl/product/13506,tasma-led-tramo-672-cob-5m-rgb-24v-ip20-kobi-premium?currency=PLN</v>
      </c>
      <c r="Q715" t="s">
        <v>14</v>
      </c>
      <c r="R715" t="s">
        <v>4101</v>
      </c>
      <c r="S715" t="s">
        <v>2607</v>
      </c>
      <c r="T715">
        <v>0.08</v>
      </c>
      <c r="U715">
        <v>0.1</v>
      </c>
      <c r="V715">
        <v>0.2</v>
      </c>
      <c r="W715">
        <v>23</v>
      </c>
      <c r="X715">
        <v>21</v>
      </c>
      <c r="Y715">
        <v>1</v>
      </c>
    </row>
    <row r="716" spans="1:25" ht="60" customHeight="1" x14ac:dyDescent="0.25">
      <c r="A716"/>
      <c r="B716" t="s">
        <v>3743</v>
      </c>
      <c r="C716" t="s">
        <v>5</v>
      </c>
      <c r="D716"/>
      <c r="E716" t="s">
        <v>3903</v>
      </c>
      <c r="F716" t="s">
        <v>3904</v>
      </c>
      <c r="G716" t="s">
        <v>620</v>
      </c>
      <c r="H716" s="11">
        <v>143.08000000000001</v>
      </c>
      <c r="I716" s="10">
        <f>H716*(1-IFERROR(VLOOKUP(G716,Rabat!$C$9:$D$43,2,0),0))</f>
        <v>143.08000000000001</v>
      </c>
      <c r="J716"/>
      <c r="K716" t="s">
        <v>4173</v>
      </c>
      <c r="L716" t="s">
        <v>1813</v>
      </c>
      <c r="M716">
        <v>100</v>
      </c>
      <c r="N716"/>
      <c r="O716"/>
      <c r="P716" s="12" t="str">
        <f>HYPERLINK("https://b2b.kobi.pl/pl/product/13517,nascienny-panel-sterujacy-4-strefowy-rgb-rgbcct-cct-miboxer-b4?currency=PLN")</f>
        <v>https://b2b.kobi.pl/pl/product/13517,nascienny-panel-sterujacy-4-strefowy-rgb-rgbcct-cct-miboxer-b4?currency=PLN</v>
      </c>
      <c r="Q716" t="s">
        <v>14</v>
      </c>
      <c r="R716" t="s">
        <v>4101</v>
      </c>
      <c r="S716" t="s">
        <v>2627</v>
      </c>
      <c r="T716">
        <v>0.05</v>
      </c>
      <c r="U716">
        <v>0.14000000000000001</v>
      </c>
      <c r="V716">
        <v>0.14499999999999999</v>
      </c>
      <c r="W716">
        <v>10.199999999999999</v>
      </c>
      <c r="X716">
        <v>10.199999999999999</v>
      </c>
      <c r="Y716">
        <v>2.5</v>
      </c>
    </row>
    <row r="717" spans="1:25" ht="60" customHeight="1" x14ac:dyDescent="0.25">
      <c r="A717"/>
      <c r="B717" t="s">
        <v>3743</v>
      </c>
      <c r="C717" t="s">
        <v>3868</v>
      </c>
      <c r="D717" t="s">
        <v>606</v>
      </c>
      <c r="E717" t="s">
        <v>3905</v>
      </c>
      <c r="F717" t="s">
        <v>3906</v>
      </c>
      <c r="G717" t="s">
        <v>1413</v>
      </c>
      <c r="H717" s="11">
        <v>144.75</v>
      </c>
      <c r="I717" s="10">
        <f>H717*(1-IFERROR(VLOOKUP(G717,Rabat!$C$9:$D$43,2,0),0))</f>
        <v>144.75</v>
      </c>
      <c r="J717" t="s">
        <v>1815</v>
      </c>
      <c r="K717" t="s">
        <v>4174</v>
      </c>
      <c r="L717" t="s">
        <v>1813</v>
      </c>
      <c r="M717">
        <v>50</v>
      </c>
      <c r="N717"/>
      <c r="O717" t="s">
        <v>1819</v>
      </c>
      <c r="P717" s="12" t="str">
        <f>HYPERLINK("https://b2b.kobi.pl/pl/product/13507,tasma-led-tramo-672-cob-5m-rgb-24v-ip65-kobi-premium?currency=PLN")</f>
        <v>https://b2b.kobi.pl/pl/product/13507,tasma-led-tramo-672-cob-5m-rgb-24v-ip65-kobi-premium?currency=PLN</v>
      </c>
      <c r="Q717" t="s">
        <v>14</v>
      </c>
      <c r="R717" t="s">
        <v>4101</v>
      </c>
      <c r="S717" t="s">
        <v>2607</v>
      </c>
      <c r="T717">
        <v>0.13</v>
      </c>
      <c r="U717">
        <v>0.15</v>
      </c>
      <c r="V717">
        <v>0.25</v>
      </c>
      <c r="W717">
        <v>23</v>
      </c>
      <c r="X717">
        <v>21</v>
      </c>
      <c r="Y717">
        <v>1</v>
      </c>
    </row>
    <row r="718" spans="1:25" ht="60" customHeight="1" x14ac:dyDescent="0.25">
      <c r="A718"/>
      <c r="B718" t="s">
        <v>3743</v>
      </c>
      <c r="C718" t="s">
        <v>5</v>
      </c>
      <c r="D718"/>
      <c r="E718" t="s">
        <v>3907</v>
      </c>
      <c r="F718" t="s">
        <v>3908</v>
      </c>
      <c r="G718" t="s">
        <v>620</v>
      </c>
      <c r="H718" s="11">
        <v>143.08000000000001</v>
      </c>
      <c r="I718" s="10">
        <f>H718*(1-IFERROR(VLOOKUP(G718,Rabat!$C$9:$D$43,2,0),0))</f>
        <v>143.08000000000001</v>
      </c>
      <c r="J718"/>
      <c r="K718" t="s">
        <v>4175</v>
      </c>
      <c r="L718" t="s">
        <v>1813</v>
      </c>
      <c r="M718">
        <v>100</v>
      </c>
      <c r="N718"/>
      <c r="O718"/>
      <c r="P718" s="12" t="str">
        <f>HYPERLINK("https://b2b.kobi.pl/pl/product/13518,nascienny-panel-sterujacy-4-strefowy-rgb-rgbcct-cct-miboxer-b4-b?currency=PLN")</f>
        <v>https://b2b.kobi.pl/pl/product/13518,nascienny-panel-sterujacy-4-strefowy-rgb-rgbcct-cct-miboxer-b4-b?currency=PLN</v>
      </c>
      <c r="Q718" t="s">
        <v>14</v>
      </c>
      <c r="R718" t="s">
        <v>4101</v>
      </c>
      <c r="S718" t="s">
        <v>2627</v>
      </c>
      <c r="T718">
        <v>0.05</v>
      </c>
      <c r="U718">
        <v>0.14000000000000001</v>
      </c>
      <c r="V718">
        <v>0.14499999999999999</v>
      </c>
      <c r="W718">
        <v>10.199999999999999</v>
      </c>
      <c r="X718">
        <v>10.199999999999999</v>
      </c>
      <c r="Y718">
        <v>2.5</v>
      </c>
    </row>
    <row r="719" spans="1:25" ht="60" customHeight="1" x14ac:dyDescent="0.25">
      <c r="A719"/>
      <c r="B719" t="s">
        <v>3743</v>
      </c>
      <c r="C719" t="s">
        <v>3868</v>
      </c>
      <c r="D719" t="s">
        <v>606</v>
      </c>
      <c r="E719" t="s">
        <v>3909</v>
      </c>
      <c r="F719" t="s">
        <v>3910</v>
      </c>
      <c r="G719" t="s">
        <v>1413</v>
      </c>
      <c r="H719" s="11">
        <v>262.5</v>
      </c>
      <c r="I719" s="10">
        <f>H719*(1-IFERROR(VLOOKUP(G719,Rabat!$C$9:$D$43,2,0),0))</f>
        <v>262.5</v>
      </c>
      <c r="J719" t="s">
        <v>1820</v>
      </c>
      <c r="K719" t="s">
        <v>4176</v>
      </c>
      <c r="L719" t="s">
        <v>1813</v>
      </c>
      <c r="M719">
        <v>50</v>
      </c>
      <c r="N719"/>
      <c r="O719" t="s">
        <v>1819</v>
      </c>
      <c r="P719" s="12" t="str">
        <f>HYPERLINK("https://b2b.kobi.pl/pl/product/13508,tasma-led-tramo-840-cob-5m-rgb-3cct-24v-ip20-kobi-premium?currency=PLN")</f>
        <v>https://b2b.kobi.pl/pl/product/13508,tasma-led-tramo-840-cob-5m-rgb-3cct-24v-ip20-kobi-premium?currency=PLN</v>
      </c>
      <c r="Q719" t="s">
        <v>14</v>
      </c>
      <c r="R719" t="s">
        <v>4101</v>
      </c>
      <c r="S719" t="s">
        <v>2607</v>
      </c>
      <c r="T719">
        <v>0.13</v>
      </c>
      <c r="U719">
        <v>0.15</v>
      </c>
      <c r="V719">
        <v>0.25</v>
      </c>
      <c r="W719">
        <v>23</v>
      </c>
      <c r="X719">
        <v>21</v>
      </c>
      <c r="Y719">
        <v>1</v>
      </c>
    </row>
    <row r="720" spans="1:25" ht="60" customHeight="1" x14ac:dyDescent="0.25">
      <c r="A720"/>
      <c r="B720" t="s">
        <v>3743</v>
      </c>
      <c r="C720" t="s">
        <v>3868</v>
      </c>
      <c r="D720" t="s">
        <v>606</v>
      </c>
      <c r="E720" t="s">
        <v>3911</v>
      </c>
      <c r="F720" t="s">
        <v>3912</v>
      </c>
      <c r="G720" t="s">
        <v>1413</v>
      </c>
      <c r="H720" s="11">
        <v>287.5</v>
      </c>
      <c r="I720" s="10">
        <f>H720*(1-IFERROR(VLOOKUP(G720,Rabat!$C$9:$D$43,2,0),0))</f>
        <v>287.5</v>
      </c>
      <c r="J720" t="s">
        <v>1820</v>
      </c>
      <c r="K720" t="s">
        <v>4177</v>
      </c>
      <c r="L720" t="s">
        <v>1813</v>
      </c>
      <c r="M720">
        <v>50</v>
      </c>
      <c r="N720"/>
      <c r="O720" t="s">
        <v>1819</v>
      </c>
      <c r="P720" s="12" t="str">
        <f>HYPERLINK("https://b2b.kobi.pl/pl/product/13509,tasma-led-tramo-840-cob-5m-rgb-3cct-24v-ip65-kobi-premium?currency=PLN")</f>
        <v>https://b2b.kobi.pl/pl/product/13509,tasma-led-tramo-840-cob-5m-rgb-3cct-24v-ip65-kobi-premium?currency=PLN</v>
      </c>
      <c r="Q720" t="s">
        <v>14</v>
      </c>
      <c r="R720" t="s">
        <v>4101</v>
      </c>
      <c r="S720" t="s">
        <v>2607</v>
      </c>
      <c r="T720">
        <v>0.13</v>
      </c>
      <c r="U720">
        <v>0.15</v>
      </c>
      <c r="V720">
        <v>0.25</v>
      </c>
      <c r="W720">
        <v>23</v>
      </c>
      <c r="X720">
        <v>21</v>
      </c>
      <c r="Y720">
        <v>1</v>
      </c>
    </row>
    <row r="721" spans="1:25" ht="60" customHeight="1" x14ac:dyDescent="0.25">
      <c r="A721"/>
      <c r="B721" t="s">
        <v>3743</v>
      </c>
      <c r="C721" t="s">
        <v>3868</v>
      </c>
      <c r="D721" t="s">
        <v>606</v>
      </c>
      <c r="E721" t="s">
        <v>3913</v>
      </c>
      <c r="F721" t="s">
        <v>3914</v>
      </c>
      <c r="G721" t="s">
        <v>1413</v>
      </c>
      <c r="H721" s="11">
        <v>372.5</v>
      </c>
      <c r="I721" s="10">
        <f>H721*(1-IFERROR(VLOOKUP(G721,Rabat!$C$9:$D$43,2,0),0))</f>
        <v>372.5</v>
      </c>
      <c r="J721" t="s">
        <v>1820</v>
      </c>
      <c r="K721" t="s">
        <v>4178</v>
      </c>
      <c r="L721" t="s">
        <v>1813</v>
      </c>
      <c r="M721">
        <v>10</v>
      </c>
      <c r="N721"/>
      <c r="O721" t="s">
        <v>1819</v>
      </c>
      <c r="P721" s="12" t="str">
        <f>HYPERLINK("https://b2b.kobi.pl/pl/product/13510,tasma-led-tramo-320-cob-25m-3000k-24v-ip65-kobi-premium?currency=PLN")</f>
        <v>https://b2b.kobi.pl/pl/product/13510,tasma-led-tramo-320-cob-25m-3000k-24v-ip65-kobi-premium?currency=PLN</v>
      </c>
      <c r="Q721" t="s">
        <v>14</v>
      </c>
      <c r="R721" t="s">
        <v>4101</v>
      </c>
      <c r="S721" t="s">
        <v>2607</v>
      </c>
      <c r="T721">
        <v>0.46</v>
      </c>
      <c r="U721">
        <v>0.55000000000000004</v>
      </c>
      <c r="V721">
        <v>0.6</v>
      </c>
      <c r="W721">
        <v>32</v>
      </c>
      <c r="X721">
        <v>32</v>
      </c>
      <c r="Y721">
        <v>1</v>
      </c>
    </row>
    <row r="722" spans="1:25" ht="60" customHeight="1" x14ac:dyDescent="0.25">
      <c r="A722"/>
      <c r="B722" t="s">
        <v>3743</v>
      </c>
      <c r="C722" t="s">
        <v>3868</v>
      </c>
      <c r="D722" t="s">
        <v>606</v>
      </c>
      <c r="E722" t="s">
        <v>3915</v>
      </c>
      <c r="F722" t="s">
        <v>3916</v>
      </c>
      <c r="G722" t="s">
        <v>1413</v>
      </c>
      <c r="H722" s="11">
        <v>372.5</v>
      </c>
      <c r="I722" s="10">
        <f>H722*(1-IFERROR(VLOOKUP(G722,Rabat!$C$9:$D$43,2,0),0))</f>
        <v>372.5</v>
      </c>
      <c r="J722" t="s">
        <v>1816</v>
      </c>
      <c r="K722" t="s">
        <v>4179</v>
      </c>
      <c r="L722" t="s">
        <v>1813</v>
      </c>
      <c r="M722">
        <v>10</v>
      </c>
      <c r="N722"/>
      <c r="O722" t="s">
        <v>1819</v>
      </c>
      <c r="P722" s="12" t="str">
        <f>HYPERLINK("https://b2b.kobi.pl/pl/product/13511,tasma-led-tramo-320-cob-25m-4000k-24v-ip65-kobi-premium?currency=PLN")</f>
        <v>https://b2b.kobi.pl/pl/product/13511,tasma-led-tramo-320-cob-25m-4000k-24v-ip65-kobi-premium?currency=PLN</v>
      </c>
      <c r="Q722" t="s">
        <v>14</v>
      </c>
      <c r="R722" t="s">
        <v>4101</v>
      </c>
      <c r="S722" t="s">
        <v>2607</v>
      </c>
      <c r="T722">
        <v>0.46</v>
      </c>
      <c r="U722">
        <v>0.55000000000000004</v>
      </c>
      <c r="V722">
        <v>0.6</v>
      </c>
      <c r="W722">
        <v>32</v>
      </c>
      <c r="X722">
        <v>32</v>
      </c>
      <c r="Y722">
        <v>1</v>
      </c>
    </row>
    <row r="723" spans="1:25" ht="60" customHeight="1" x14ac:dyDescent="0.25">
      <c r="A723"/>
      <c r="B723" t="s">
        <v>3743</v>
      </c>
      <c r="C723" t="s">
        <v>3868</v>
      </c>
      <c r="D723" t="s">
        <v>606</v>
      </c>
      <c r="E723" t="s">
        <v>3917</v>
      </c>
      <c r="F723" t="s">
        <v>3918</v>
      </c>
      <c r="G723" t="s">
        <v>1413</v>
      </c>
      <c r="H723" s="11">
        <v>372.5</v>
      </c>
      <c r="I723" s="10">
        <f>H723*(1-IFERROR(VLOOKUP(G723,Rabat!$C$9:$D$43,2,0),0))</f>
        <v>372.5</v>
      </c>
      <c r="J723" t="s">
        <v>1816</v>
      </c>
      <c r="K723" t="s">
        <v>4180</v>
      </c>
      <c r="L723" t="s">
        <v>1813</v>
      </c>
      <c r="M723">
        <v>10</v>
      </c>
      <c r="N723"/>
      <c r="O723" t="s">
        <v>1819</v>
      </c>
      <c r="P723" s="12" t="str">
        <f>HYPERLINK("https://b2b.kobi.pl/pl/product/13512,tasma-led-tramo-320-cob-25m-6500k-24v-ip65-kobi-premium?currency=PLN")</f>
        <v>https://b2b.kobi.pl/pl/product/13512,tasma-led-tramo-320-cob-25m-6500k-24v-ip65-kobi-premium?currency=PLN</v>
      </c>
      <c r="Q723" t="s">
        <v>14</v>
      </c>
      <c r="R723" t="s">
        <v>4101</v>
      </c>
      <c r="S723" t="s">
        <v>2607</v>
      </c>
      <c r="T723">
        <v>0.46</v>
      </c>
      <c r="U723">
        <v>0.55000000000000004</v>
      </c>
      <c r="V723">
        <v>0.6</v>
      </c>
      <c r="W723">
        <v>32</v>
      </c>
      <c r="X723">
        <v>32</v>
      </c>
      <c r="Y723">
        <v>1</v>
      </c>
    </row>
    <row r="724" spans="1:25" ht="60" customHeight="1" x14ac:dyDescent="0.25">
      <c r="A724"/>
      <c r="B724" t="s">
        <v>621</v>
      </c>
      <c r="C724" t="s">
        <v>19</v>
      </c>
      <c r="D724" t="s">
        <v>644</v>
      </c>
      <c r="E724" t="s">
        <v>805</v>
      </c>
      <c r="F724" t="s">
        <v>806</v>
      </c>
      <c r="G724" t="s">
        <v>620</v>
      </c>
      <c r="H724" s="11">
        <v>69.099999999999994</v>
      </c>
      <c r="I724" s="10">
        <f>H724*(1-IFERROR(VLOOKUP(G724,Rabat!$C$9:$D$43,2,0),0))</f>
        <v>69.099999999999994</v>
      </c>
      <c r="J724" t="s">
        <v>1815</v>
      </c>
      <c r="K724" t="s">
        <v>439</v>
      </c>
      <c r="L724" t="s">
        <v>1813</v>
      </c>
      <c r="M724">
        <v>20</v>
      </c>
      <c r="N724">
        <v>700</v>
      </c>
      <c r="O724" t="s">
        <v>1818</v>
      </c>
      <c r="P724" s="12" t="str">
        <f>HYPERLINK("https://b2b.kobi.pl/pl/product/9787,przedluzacz-connecto-4gn-usb-1-5m-zu-w-1-5mm-czarny-kobi-design?currency=PLN")</f>
        <v>https://b2b.kobi.pl/pl/product/9787,przedluzacz-connecto-4gn-usb-1-5m-zu-w-1-5mm-czarny-kobi-design?currency=PLN</v>
      </c>
      <c r="Q724" t="s">
        <v>14</v>
      </c>
      <c r="R724"/>
      <c r="S724" t="s">
        <v>2615</v>
      </c>
      <c r="T724">
        <v>0.15</v>
      </c>
      <c r="U724">
        <v>0.39</v>
      </c>
      <c r="V724">
        <v>0.41</v>
      </c>
      <c r="W724">
        <v>42</v>
      </c>
      <c r="X724">
        <v>4</v>
      </c>
      <c r="Y724">
        <v>16</v>
      </c>
    </row>
    <row r="725" spans="1:25" ht="60" customHeight="1" x14ac:dyDescent="0.25">
      <c r="A725"/>
      <c r="B725" t="s">
        <v>621</v>
      </c>
      <c r="C725" t="s">
        <v>19</v>
      </c>
      <c r="D725" t="s">
        <v>644</v>
      </c>
      <c r="E725" t="s">
        <v>807</v>
      </c>
      <c r="F725" t="s">
        <v>808</v>
      </c>
      <c r="G725" t="s">
        <v>620</v>
      </c>
      <c r="H725" s="11">
        <v>69.099999999999994</v>
      </c>
      <c r="I725" s="10">
        <f>H725*(1-IFERROR(VLOOKUP(G725,Rabat!$C$9:$D$43,2,0),0))</f>
        <v>69.099999999999994</v>
      </c>
      <c r="J725" t="s">
        <v>1815</v>
      </c>
      <c r="K725" t="s">
        <v>440</v>
      </c>
      <c r="L725" t="s">
        <v>1813</v>
      </c>
      <c r="M725">
        <v>20</v>
      </c>
      <c r="N725">
        <v>700</v>
      </c>
      <c r="O725" t="s">
        <v>1818</v>
      </c>
      <c r="P725" s="12" t="str">
        <f>HYPERLINK("https://b2b.kobi.pl/pl/product/9788,przedluzacz-connecto-4gn-usb-1-5m-zu-w-1-5mm-bialy-kobi-design?currency=PLN")</f>
        <v>https://b2b.kobi.pl/pl/product/9788,przedluzacz-connecto-4gn-usb-1-5m-zu-w-1-5mm-bialy-kobi-design?currency=PLN</v>
      </c>
      <c r="Q725" t="s">
        <v>14</v>
      </c>
      <c r="R725"/>
      <c r="S725" t="s">
        <v>2615</v>
      </c>
      <c r="T725">
        <v>0.15</v>
      </c>
      <c r="U725">
        <v>0.39</v>
      </c>
      <c r="V725">
        <v>0.41</v>
      </c>
      <c r="W725">
        <v>42</v>
      </c>
      <c r="X725">
        <v>4</v>
      </c>
      <c r="Y725">
        <v>16</v>
      </c>
    </row>
    <row r="726" spans="1:25" ht="60" customHeight="1" x14ac:dyDescent="0.25">
      <c r="A726"/>
      <c r="B726" t="s">
        <v>621</v>
      </c>
      <c r="C726" t="s">
        <v>19</v>
      </c>
      <c r="D726" t="s">
        <v>644</v>
      </c>
      <c r="E726" t="s">
        <v>811</v>
      </c>
      <c r="F726" t="s">
        <v>812</v>
      </c>
      <c r="G726" t="s">
        <v>620</v>
      </c>
      <c r="H726" s="11">
        <v>87.59</v>
      </c>
      <c r="I726" s="10">
        <f>H726*(1-IFERROR(VLOOKUP(G726,Rabat!$C$9:$D$43,2,0),0))</f>
        <v>87.59</v>
      </c>
      <c r="J726" t="s">
        <v>1815</v>
      </c>
      <c r="K726" t="s">
        <v>441</v>
      </c>
      <c r="L726" t="s">
        <v>1813</v>
      </c>
      <c r="M726">
        <v>20</v>
      </c>
      <c r="N726">
        <v>700</v>
      </c>
      <c r="O726" t="s">
        <v>1818</v>
      </c>
      <c r="P726" s="12" t="str">
        <f>HYPERLINK("https://b2b.kobi.pl/pl/product/9789,przedluzacz-connecto-4gn-usb-3m-zu-w-1-5mm-czarny-kobi-design?currency=PLN")</f>
        <v>https://b2b.kobi.pl/pl/product/9789,przedluzacz-connecto-4gn-usb-3m-zu-w-1-5mm-czarny-kobi-design?currency=PLN</v>
      </c>
      <c r="Q726" t="s">
        <v>14</v>
      </c>
      <c r="R726"/>
      <c r="S726" t="s">
        <v>2615</v>
      </c>
      <c r="T726">
        <v>0.21</v>
      </c>
      <c r="U726">
        <v>0.55000000000000004</v>
      </c>
      <c r="V726">
        <v>0.56999999999999995</v>
      </c>
      <c r="W726">
        <v>42</v>
      </c>
      <c r="X726">
        <v>4</v>
      </c>
      <c r="Y726">
        <v>16</v>
      </c>
    </row>
    <row r="727" spans="1:25" ht="60" customHeight="1" x14ac:dyDescent="0.25">
      <c r="A727"/>
      <c r="B727" t="s">
        <v>621</v>
      </c>
      <c r="C727" t="s">
        <v>19</v>
      </c>
      <c r="D727" t="s">
        <v>644</v>
      </c>
      <c r="E727" t="s">
        <v>815</v>
      </c>
      <c r="F727" t="s">
        <v>816</v>
      </c>
      <c r="G727" t="s">
        <v>620</v>
      </c>
      <c r="H727" s="11">
        <v>87.59</v>
      </c>
      <c r="I727" s="10">
        <f>H727*(1-IFERROR(VLOOKUP(G727,Rabat!$C$9:$D$43,2,0),0))</f>
        <v>87.59</v>
      </c>
      <c r="J727" t="s">
        <v>1815</v>
      </c>
      <c r="K727" t="s">
        <v>442</v>
      </c>
      <c r="L727" t="s">
        <v>1813</v>
      </c>
      <c r="M727">
        <v>20</v>
      </c>
      <c r="N727">
        <v>700</v>
      </c>
      <c r="O727" t="s">
        <v>1818</v>
      </c>
      <c r="P727" s="12" t="str">
        <f>HYPERLINK("https://b2b.kobi.pl/pl/product/9790,przedluzacz-connecto-4gn-usb-3m-zu-w-1-5mm-bialy-kobi-design?currency=PLN")</f>
        <v>https://b2b.kobi.pl/pl/product/9790,przedluzacz-connecto-4gn-usb-3m-zu-w-1-5mm-bialy-kobi-design?currency=PLN</v>
      </c>
      <c r="Q727" t="s">
        <v>14</v>
      </c>
      <c r="R727"/>
      <c r="S727" t="s">
        <v>2615</v>
      </c>
      <c r="T727">
        <v>0.21</v>
      </c>
      <c r="U727">
        <v>0.55000000000000004</v>
      </c>
      <c r="V727">
        <v>0.56999999999999995</v>
      </c>
      <c r="W727">
        <v>42</v>
      </c>
      <c r="X727">
        <v>4</v>
      </c>
      <c r="Y727">
        <v>16</v>
      </c>
    </row>
    <row r="728" spans="1:25" ht="60" customHeight="1" x14ac:dyDescent="0.25">
      <c r="A728"/>
      <c r="B728" t="s">
        <v>621</v>
      </c>
      <c r="C728" t="s">
        <v>19</v>
      </c>
      <c r="D728" t="s">
        <v>644</v>
      </c>
      <c r="E728" t="s">
        <v>819</v>
      </c>
      <c r="F728" t="s">
        <v>820</v>
      </c>
      <c r="G728" t="s">
        <v>620</v>
      </c>
      <c r="H728" s="11">
        <v>113.25</v>
      </c>
      <c r="I728" s="10">
        <f>H728*(1-IFERROR(VLOOKUP(G728,Rabat!$C$9:$D$43,2,0),0))</f>
        <v>113.25</v>
      </c>
      <c r="J728" t="s">
        <v>1815</v>
      </c>
      <c r="K728" t="s">
        <v>443</v>
      </c>
      <c r="L728" t="s">
        <v>1813</v>
      </c>
      <c r="M728">
        <v>20</v>
      </c>
      <c r="N728">
        <v>700</v>
      </c>
      <c r="O728" t="s">
        <v>1818</v>
      </c>
      <c r="P728" s="12" t="str">
        <f>HYPERLINK("https://b2b.kobi.pl/pl/product/9791,przedluzacz-connecto-4gn-usb-5m-zu-w-1-5mm-czarny-kobi-design?currency=PLN")</f>
        <v>https://b2b.kobi.pl/pl/product/9791,przedluzacz-connecto-4gn-usb-5m-zu-w-1-5mm-czarny-kobi-design?currency=PLN</v>
      </c>
      <c r="Q728" t="s">
        <v>14</v>
      </c>
      <c r="R728"/>
      <c r="S728" t="s">
        <v>2615</v>
      </c>
      <c r="T728">
        <v>0.3</v>
      </c>
      <c r="U728">
        <v>0.76</v>
      </c>
      <c r="V728">
        <v>0.79</v>
      </c>
      <c r="W728">
        <v>42</v>
      </c>
      <c r="X728">
        <v>4</v>
      </c>
      <c r="Y728">
        <v>16</v>
      </c>
    </row>
    <row r="729" spans="1:25" ht="60" customHeight="1" x14ac:dyDescent="0.25">
      <c r="A729"/>
      <c r="B729" t="s">
        <v>621</v>
      </c>
      <c r="C729" t="s">
        <v>19</v>
      </c>
      <c r="D729" t="s">
        <v>644</v>
      </c>
      <c r="E729" t="s">
        <v>823</v>
      </c>
      <c r="F729" t="s">
        <v>824</v>
      </c>
      <c r="G729" t="s">
        <v>620</v>
      </c>
      <c r="H729" s="11">
        <v>113.25</v>
      </c>
      <c r="I729" s="10">
        <f>H729*(1-IFERROR(VLOOKUP(G729,Rabat!$C$9:$D$43,2,0),0))</f>
        <v>113.25</v>
      </c>
      <c r="J729" t="s">
        <v>1815</v>
      </c>
      <c r="K729" t="s">
        <v>444</v>
      </c>
      <c r="L729" t="s">
        <v>1813</v>
      </c>
      <c r="M729">
        <v>20</v>
      </c>
      <c r="N729">
        <v>700</v>
      </c>
      <c r="O729" t="s">
        <v>1818</v>
      </c>
      <c r="P729" s="12" t="str">
        <f>HYPERLINK("https://b2b.kobi.pl/pl/product/9792,przedluzacz-connecto-4gn-usb-5m-zu-w-1-5mm-bialy-kobi-design?currency=PLN")</f>
        <v>https://b2b.kobi.pl/pl/product/9792,przedluzacz-connecto-4gn-usb-5m-zu-w-1-5mm-bialy-kobi-design?currency=PLN</v>
      </c>
      <c r="Q729" t="s">
        <v>14</v>
      </c>
      <c r="R729"/>
      <c r="S729" t="s">
        <v>2615</v>
      </c>
      <c r="T729">
        <v>0.3</v>
      </c>
      <c r="U729">
        <v>0.76</v>
      </c>
      <c r="V729">
        <v>0.79</v>
      </c>
      <c r="W729">
        <v>42</v>
      </c>
      <c r="X729">
        <v>4</v>
      </c>
      <c r="Y729">
        <v>16</v>
      </c>
    </row>
    <row r="730" spans="1:25" ht="60" customHeight="1" x14ac:dyDescent="0.25">
      <c r="A730"/>
      <c r="B730" t="s">
        <v>621</v>
      </c>
      <c r="C730" t="s">
        <v>19</v>
      </c>
      <c r="D730" t="s">
        <v>644</v>
      </c>
      <c r="E730" t="s">
        <v>845</v>
      </c>
      <c r="F730" t="s">
        <v>846</v>
      </c>
      <c r="G730" t="s">
        <v>620</v>
      </c>
      <c r="H730" s="11">
        <v>104</v>
      </c>
      <c r="I730" s="10">
        <f>H730*(1-IFERROR(VLOOKUP(G730,Rabat!$C$9:$D$43,2,0),0))</f>
        <v>104</v>
      </c>
      <c r="J730" t="s">
        <v>1815</v>
      </c>
      <c r="K730" t="s">
        <v>466</v>
      </c>
      <c r="L730" t="s">
        <v>1813</v>
      </c>
      <c r="M730">
        <v>18</v>
      </c>
      <c r="N730"/>
      <c r="O730" t="s">
        <v>1818</v>
      </c>
      <c r="P730" s="12" t="str">
        <f>HYPERLINK("https://b2b.kobi.pl/pl/product/9801,przedluzacz-flowflexer-orange-w-2gn-usb-1-4m-zu-1-5mm-bialy-kobi-design?currency=PLN")</f>
        <v>https://b2b.kobi.pl/pl/product/9801,przedluzacz-flowflexer-orange-w-2gn-usb-1-4m-zu-1-5mm-bialy-kobi-design?currency=PLN</v>
      </c>
      <c r="Q730" t="s">
        <v>14</v>
      </c>
      <c r="R730"/>
      <c r="S730" t="s">
        <v>2615</v>
      </c>
      <c r="T730">
        <v>0.14000000000000001</v>
      </c>
      <c r="U730">
        <v>0.35</v>
      </c>
      <c r="V730">
        <v>0.38</v>
      </c>
      <c r="W730">
        <v>27</v>
      </c>
      <c r="X730">
        <v>13</v>
      </c>
      <c r="Y730">
        <v>5</v>
      </c>
    </row>
    <row r="731" spans="1:25" ht="60" customHeight="1" x14ac:dyDescent="0.25">
      <c r="A731"/>
      <c r="B731" t="s">
        <v>621</v>
      </c>
      <c r="C731" t="s">
        <v>19</v>
      </c>
      <c r="D731" t="s">
        <v>644</v>
      </c>
      <c r="E731" t="s">
        <v>849</v>
      </c>
      <c r="F731" t="s">
        <v>850</v>
      </c>
      <c r="G731" t="s">
        <v>620</v>
      </c>
      <c r="H731" s="11">
        <v>104</v>
      </c>
      <c r="I731" s="10">
        <f>H731*(1-IFERROR(VLOOKUP(G731,Rabat!$C$9:$D$43,2,0),0))</f>
        <v>104</v>
      </c>
      <c r="J731" t="s">
        <v>1815</v>
      </c>
      <c r="K731" t="s">
        <v>467</v>
      </c>
      <c r="L731" t="s">
        <v>1813</v>
      </c>
      <c r="M731">
        <v>18</v>
      </c>
      <c r="N731">
        <v>1170</v>
      </c>
      <c r="O731" t="s">
        <v>1818</v>
      </c>
      <c r="P731" s="12" t="str">
        <f>HYPERLINK("https://b2b.kobi.pl/pl/product/9802,przedluzacz-flowflexer-orange-b-2gn-usb-1-4m-zu-1-5mm-czarny-kobi-design?currency=PLN")</f>
        <v>https://b2b.kobi.pl/pl/product/9802,przedluzacz-flowflexer-orange-b-2gn-usb-1-4m-zu-1-5mm-czarny-kobi-design?currency=PLN</v>
      </c>
      <c r="Q731" t="s">
        <v>14</v>
      </c>
      <c r="R731"/>
      <c r="S731" t="s">
        <v>2615</v>
      </c>
      <c r="T731">
        <v>0.14000000000000001</v>
      </c>
      <c r="U731">
        <v>0.35</v>
      </c>
      <c r="V731">
        <v>0.38</v>
      </c>
      <c r="W731">
        <v>27</v>
      </c>
      <c r="X731">
        <v>13</v>
      </c>
      <c r="Y731">
        <v>5</v>
      </c>
    </row>
    <row r="732" spans="1:25" ht="60" customHeight="1" x14ac:dyDescent="0.25">
      <c r="A732"/>
      <c r="B732" t="s">
        <v>621</v>
      </c>
      <c r="C732" t="s">
        <v>19</v>
      </c>
      <c r="D732" t="s">
        <v>618</v>
      </c>
      <c r="E732" t="s">
        <v>3334</v>
      </c>
      <c r="F732" t="s">
        <v>1150</v>
      </c>
      <c r="G732" t="s">
        <v>620</v>
      </c>
      <c r="H732" s="11">
        <v>21.73</v>
      </c>
      <c r="I732" s="10">
        <f>H732*(1-IFERROR(VLOOKUP(G732,Rabat!$C$9:$D$43,2,0),0))</f>
        <v>21.73</v>
      </c>
      <c r="J732" t="s">
        <v>1815</v>
      </c>
      <c r="K732" t="s">
        <v>417</v>
      </c>
      <c r="L732" t="s">
        <v>1813</v>
      </c>
      <c r="M732">
        <v>40</v>
      </c>
      <c r="N732">
        <v>1200</v>
      </c>
      <c r="O732" t="s">
        <v>1818</v>
      </c>
      <c r="P732" s="12" t="str">
        <f>HYPERLINK("https://b2b.kobi.pl/pl/product/10240,przedluzacz-linea-3gn-1-5m-zu-kobi?currency=PLN")</f>
        <v>https://b2b.kobi.pl/pl/product/10240,przedluzacz-linea-3gn-1-5m-zu-kobi?currency=PLN</v>
      </c>
      <c r="Q732" t="s">
        <v>14</v>
      </c>
      <c r="R732"/>
      <c r="S732" t="s">
        <v>2615</v>
      </c>
      <c r="T732">
        <v>0.1</v>
      </c>
      <c r="U732">
        <v>0.25</v>
      </c>
      <c r="V732">
        <v>0.26400000000000001</v>
      </c>
      <c r="W732">
        <v>30</v>
      </c>
      <c r="X732">
        <v>14</v>
      </c>
      <c r="Y732">
        <v>4.5</v>
      </c>
    </row>
    <row r="733" spans="1:25" ht="60" customHeight="1" x14ac:dyDescent="0.25">
      <c r="A733"/>
      <c r="B733" t="s">
        <v>621</v>
      </c>
      <c r="C733" t="s">
        <v>19</v>
      </c>
      <c r="D733" t="s">
        <v>618</v>
      </c>
      <c r="E733" t="s">
        <v>3335</v>
      </c>
      <c r="F733" t="s">
        <v>1151</v>
      </c>
      <c r="G733" t="s">
        <v>620</v>
      </c>
      <c r="H733" s="11">
        <v>31.67</v>
      </c>
      <c r="I733" s="10">
        <f>H733*(1-IFERROR(VLOOKUP(G733,Rabat!$C$9:$D$43,2,0),0))</f>
        <v>31.67</v>
      </c>
      <c r="J733" t="s">
        <v>1815</v>
      </c>
      <c r="K733" t="s">
        <v>418</v>
      </c>
      <c r="L733" t="s">
        <v>1813</v>
      </c>
      <c r="M733">
        <v>30</v>
      </c>
      <c r="N733">
        <v>1080</v>
      </c>
      <c r="O733" t="s">
        <v>1818</v>
      </c>
      <c r="P733" s="12" t="str">
        <f>HYPERLINK("https://b2b.kobi.pl/pl/product/10241,przedluzacz-linea-3gn-3m-zu-kobi?currency=PLN")</f>
        <v>https://b2b.kobi.pl/pl/product/10241,przedluzacz-linea-3gn-3m-zu-kobi?currency=PLN</v>
      </c>
      <c r="Q733" t="s">
        <v>14</v>
      </c>
      <c r="R733"/>
      <c r="S733" t="s">
        <v>2615</v>
      </c>
      <c r="T733">
        <v>0.14000000000000001</v>
      </c>
      <c r="U733">
        <v>0.36</v>
      </c>
      <c r="V733">
        <v>0.39600000000000002</v>
      </c>
      <c r="W733">
        <v>24</v>
      </c>
      <c r="X733">
        <v>11</v>
      </c>
      <c r="Y733">
        <v>9</v>
      </c>
    </row>
    <row r="734" spans="1:25" ht="60" customHeight="1" x14ac:dyDescent="0.25">
      <c r="A734"/>
      <c r="B734" t="s">
        <v>621</v>
      </c>
      <c r="C734" t="s">
        <v>19</v>
      </c>
      <c r="D734" t="s">
        <v>618</v>
      </c>
      <c r="E734" t="s">
        <v>3336</v>
      </c>
      <c r="F734" t="s">
        <v>1152</v>
      </c>
      <c r="G734" t="s">
        <v>620</v>
      </c>
      <c r="H734" s="11">
        <v>43.09</v>
      </c>
      <c r="I734" s="10">
        <f>H734*(1-IFERROR(VLOOKUP(G734,Rabat!$C$9:$D$43,2,0),0))</f>
        <v>43.09</v>
      </c>
      <c r="J734" t="s">
        <v>1815</v>
      </c>
      <c r="K734" t="s">
        <v>420</v>
      </c>
      <c r="L734" t="s">
        <v>1813</v>
      </c>
      <c r="M734">
        <v>30</v>
      </c>
      <c r="N734">
        <v>900</v>
      </c>
      <c r="O734" t="s">
        <v>1818</v>
      </c>
      <c r="P734" s="12" t="str">
        <f>HYPERLINK("https://b2b.kobi.pl/pl/product/10242,przedluzacz-linea-3gn-5m-zu-kobi?currency=PLN")</f>
        <v>https://b2b.kobi.pl/pl/product/10242,przedluzacz-linea-3gn-5m-zu-kobi?currency=PLN</v>
      </c>
      <c r="Q734" t="s">
        <v>14</v>
      </c>
      <c r="R734"/>
      <c r="S734" t="s">
        <v>2615</v>
      </c>
      <c r="T734">
        <v>0.2</v>
      </c>
      <c r="U734">
        <v>0.52</v>
      </c>
      <c r="V734">
        <v>0.57199999999999995</v>
      </c>
      <c r="W734">
        <v>26</v>
      </c>
      <c r="X734">
        <v>11</v>
      </c>
      <c r="Y734">
        <v>9</v>
      </c>
    </row>
    <row r="735" spans="1:25" ht="60" customHeight="1" x14ac:dyDescent="0.25">
      <c r="A735"/>
      <c r="B735" t="s">
        <v>621</v>
      </c>
      <c r="C735" t="s">
        <v>19</v>
      </c>
      <c r="D735" t="s">
        <v>618</v>
      </c>
      <c r="E735" t="s">
        <v>3337</v>
      </c>
      <c r="F735" t="s">
        <v>1153</v>
      </c>
      <c r="G735" t="s">
        <v>620</v>
      </c>
      <c r="H735" s="11">
        <v>23.59</v>
      </c>
      <c r="I735" s="10">
        <f>H735*(1-IFERROR(VLOOKUP(G735,Rabat!$C$9:$D$43,2,0),0))</f>
        <v>23.59</v>
      </c>
      <c r="J735" t="s">
        <v>1815</v>
      </c>
      <c r="K735" t="s">
        <v>422</v>
      </c>
      <c r="L735" t="s">
        <v>1813</v>
      </c>
      <c r="M735">
        <v>40</v>
      </c>
      <c r="N735">
        <v>1200</v>
      </c>
      <c r="O735" t="s">
        <v>1818</v>
      </c>
      <c r="P735" s="12" t="str">
        <f>HYPERLINK("https://b2b.kobi.pl/pl/product/10243,przedluzacz-linea-4gn-1-5m-zu-kobi?currency=PLN")</f>
        <v>https://b2b.kobi.pl/pl/product/10243,przedluzacz-linea-4gn-1-5m-zu-kobi?currency=PLN</v>
      </c>
      <c r="Q735" t="s">
        <v>14</v>
      </c>
      <c r="R735"/>
      <c r="S735" t="s">
        <v>2615</v>
      </c>
      <c r="T735">
        <v>0.11</v>
      </c>
      <c r="U735">
        <v>0.28000000000000003</v>
      </c>
      <c r="V735">
        <v>0.29399999999999998</v>
      </c>
      <c r="W735">
        <v>30</v>
      </c>
      <c r="X735">
        <v>14</v>
      </c>
      <c r="Y735">
        <v>4.5</v>
      </c>
    </row>
    <row r="736" spans="1:25" ht="60" customHeight="1" x14ac:dyDescent="0.25">
      <c r="A736"/>
      <c r="B736" t="s">
        <v>621</v>
      </c>
      <c r="C736" t="s">
        <v>19</v>
      </c>
      <c r="D736" t="s">
        <v>618</v>
      </c>
      <c r="E736" t="s">
        <v>3338</v>
      </c>
      <c r="F736" t="s">
        <v>1156</v>
      </c>
      <c r="G736" t="s">
        <v>620</v>
      </c>
      <c r="H736" s="11">
        <v>33.520000000000003</v>
      </c>
      <c r="I736" s="10">
        <f>H736*(1-IFERROR(VLOOKUP(G736,Rabat!$C$9:$D$43,2,0),0))</f>
        <v>33.520000000000003</v>
      </c>
      <c r="J736" t="s">
        <v>1815</v>
      </c>
      <c r="K736" t="s">
        <v>423</v>
      </c>
      <c r="L736" t="s">
        <v>1813</v>
      </c>
      <c r="M736">
        <v>30</v>
      </c>
      <c r="N736">
        <v>1080</v>
      </c>
      <c r="O736" t="s">
        <v>1818</v>
      </c>
      <c r="P736" s="12" t="str">
        <f>HYPERLINK("https://b2b.kobi.pl/pl/product/10244,przedluzacz-linea-4gn-3m-zu-kobi?currency=PLN")</f>
        <v>https://b2b.kobi.pl/pl/product/10244,przedluzacz-linea-4gn-3m-zu-kobi?currency=PLN</v>
      </c>
      <c r="Q736" t="s">
        <v>14</v>
      </c>
      <c r="R736"/>
      <c r="S736" t="s">
        <v>2615</v>
      </c>
      <c r="T736">
        <v>0.15</v>
      </c>
      <c r="U736">
        <v>0.39</v>
      </c>
      <c r="V736">
        <v>0.40300000000000002</v>
      </c>
      <c r="W736">
        <v>30</v>
      </c>
      <c r="X736">
        <v>14</v>
      </c>
      <c r="Y736">
        <v>4.5</v>
      </c>
    </row>
    <row r="737" spans="1:25" ht="60" customHeight="1" x14ac:dyDescent="0.25">
      <c r="A737"/>
      <c r="B737" t="s">
        <v>621</v>
      </c>
      <c r="C737" t="s">
        <v>19</v>
      </c>
      <c r="D737" t="s">
        <v>618</v>
      </c>
      <c r="E737" t="s">
        <v>3339</v>
      </c>
      <c r="F737" t="s">
        <v>1157</v>
      </c>
      <c r="G737" t="s">
        <v>620</v>
      </c>
      <c r="H737" s="11">
        <v>44.9</v>
      </c>
      <c r="I737" s="10">
        <f>H737*(1-IFERROR(VLOOKUP(G737,Rabat!$C$9:$D$43,2,0),0))</f>
        <v>44.9</v>
      </c>
      <c r="J737" t="s">
        <v>1815</v>
      </c>
      <c r="K737" t="s">
        <v>424</v>
      </c>
      <c r="L737" t="s">
        <v>1813</v>
      </c>
      <c r="M737">
        <v>30</v>
      </c>
      <c r="N737">
        <v>750</v>
      </c>
      <c r="O737" t="s">
        <v>1818</v>
      </c>
      <c r="P737" s="12" t="str">
        <f>HYPERLINK("https://b2b.kobi.pl/pl/product/10245,przedluzacz-linea-4gn-5m-zu-kobi?currency=PLN")</f>
        <v>https://b2b.kobi.pl/pl/product/10245,przedluzacz-linea-4gn-5m-zu-kobi?currency=PLN</v>
      </c>
      <c r="Q737" t="s">
        <v>14</v>
      </c>
      <c r="R737"/>
      <c r="S737" t="s">
        <v>2615</v>
      </c>
      <c r="T737">
        <v>0.21</v>
      </c>
      <c r="U737">
        <v>0.54</v>
      </c>
      <c r="V737">
        <v>0.55800000000000005</v>
      </c>
      <c r="W737">
        <v>30</v>
      </c>
      <c r="X737">
        <v>14</v>
      </c>
      <c r="Y737">
        <v>4.5</v>
      </c>
    </row>
    <row r="738" spans="1:25" ht="60" customHeight="1" x14ac:dyDescent="0.25">
      <c r="A738"/>
      <c r="B738" t="s">
        <v>621</v>
      </c>
      <c r="C738" t="s">
        <v>19</v>
      </c>
      <c r="D738" t="s">
        <v>618</v>
      </c>
      <c r="E738" t="s">
        <v>3340</v>
      </c>
      <c r="F738" t="s">
        <v>1160</v>
      </c>
      <c r="G738" t="s">
        <v>620</v>
      </c>
      <c r="H738" s="11">
        <v>25.4</v>
      </c>
      <c r="I738" s="10">
        <f>H738*(1-IFERROR(VLOOKUP(G738,Rabat!$C$9:$D$43,2,0),0))</f>
        <v>25.4</v>
      </c>
      <c r="J738" t="s">
        <v>1815</v>
      </c>
      <c r="K738" t="s">
        <v>425</v>
      </c>
      <c r="L738" t="s">
        <v>1813</v>
      </c>
      <c r="M738">
        <v>40</v>
      </c>
      <c r="N738">
        <v>1000</v>
      </c>
      <c r="O738" t="s">
        <v>1818</v>
      </c>
      <c r="P738" s="12" t="str">
        <f>HYPERLINK("https://b2b.kobi.pl/pl/product/10246,przedluzacz-linea-5gn-1-5m-zu-kobi?currency=PLN")</f>
        <v>https://b2b.kobi.pl/pl/product/10246,przedluzacz-linea-5gn-1-5m-zu-kobi?currency=PLN</v>
      </c>
      <c r="Q738" t="s">
        <v>14</v>
      </c>
      <c r="R738"/>
      <c r="S738" t="s">
        <v>2615</v>
      </c>
      <c r="T738">
        <v>0.14000000000000001</v>
      </c>
      <c r="U738">
        <v>0.37</v>
      </c>
      <c r="V738">
        <v>0.38800000000000001</v>
      </c>
      <c r="W738">
        <v>35</v>
      </c>
      <c r="X738">
        <v>14</v>
      </c>
      <c r="Y738">
        <v>4.5</v>
      </c>
    </row>
    <row r="739" spans="1:25" ht="60" customHeight="1" x14ac:dyDescent="0.25">
      <c r="A739"/>
      <c r="B739" t="s">
        <v>621</v>
      </c>
      <c r="C739" t="s">
        <v>19</v>
      </c>
      <c r="D739" t="s">
        <v>618</v>
      </c>
      <c r="E739" t="s">
        <v>3341</v>
      </c>
      <c r="F739" t="s">
        <v>1161</v>
      </c>
      <c r="G739" t="s">
        <v>620</v>
      </c>
      <c r="H739" s="11">
        <v>35.33</v>
      </c>
      <c r="I739" s="10">
        <f>H739*(1-IFERROR(VLOOKUP(G739,Rabat!$C$9:$D$43,2,0),0))</f>
        <v>35.33</v>
      </c>
      <c r="J739" t="s">
        <v>1815</v>
      </c>
      <c r="K739" t="s">
        <v>426</v>
      </c>
      <c r="L739" t="s">
        <v>1813</v>
      </c>
      <c r="M739">
        <v>30</v>
      </c>
      <c r="N739">
        <v>900</v>
      </c>
      <c r="O739" t="s">
        <v>1818</v>
      </c>
      <c r="P739" s="12" t="str">
        <f>HYPERLINK("https://b2b.kobi.pl/pl/product/10247,przedluzacz-linea-5gn-3m-zu-kobi?currency=PLN")</f>
        <v>https://b2b.kobi.pl/pl/product/10247,przedluzacz-linea-5gn-3m-zu-kobi?currency=PLN</v>
      </c>
      <c r="Q739" t="s">
        <v>14</v>
      </c>
      <c r="R739"/>
      <c r="S739" t="s">
        <v>2615</v>
      </c>
      <c r="T739">
        <v>0.2</v>
      </c>
      <c r="U739">
        <v>0.51</v>
      </c>
      <c r="V739">
        <v>0.56100000000000005</v>
      </c>
      <c r="W739">
        <v>25</v>
      </c>
      <c r="X739">
        <v>9</v>
      </c>
      <c r="Y739">
        <v>6</v>
      </c>
    </row>
    <row r="740" spans="1:25" ht="60" customHeight="1" x14ac:dyDescent="0.25">
      <c r="A740"/>
      <c r="B740" t="s">
        <v>621</v>
      </c>
      <c r="C740" t="s">
        <v>19</v>
      </c>
      <c r="D740" t="s">
        <v>618</v>
      </c>
      <c r="E740" t="s">
        <v>3342</v>
      </c>
      <c r="F740" t="s">
        <v>1164</v>
      </c>
      <c r="G740" t="s">
        <v>620</v>
      </c>
      <c r="H740" s="11">
        <v>46.57</v>
      </c>
      <c r="I740" s="10">
        <f>H740*(1-IFERROR(VLOOKUP(G740,Rabat!$C$9:$D$43,2,0),0))</f>
        <v>46.57</v>
      </c>
      <c r="J740" t="s">
        <v>1815</v>
      </c>
      <c r="K740" t="s">
        <v>428</v>
      </c>
      <c r="L740" t="s">
        <v>1813</v>
      </c>
      <c r="M740">
        <v>30</v>
      </c>
      <c r="N740">
        <v>750</v>
      </c>
      <c r="O740" t="s">
        <v>1818</v>
      </c>
      <c r="P740" s="12" t="str">
        <f>HYPERLINK("https://b2b.kobi.pl/pl/product/10248,przedluzacz-linea-5gn-5m-zu-kobi?currency=PLN")</f>
        <v>https://b2b.kobi.pl/pl/product/10248,przedluzacz-linea-5gn-5m-zu-kobi?currency=PLN</v>
      </c>
      <c r="Q740" t="s">
        <v>14</v>
      </c>
      <c r="R740"/>
      <c r="S740" t="s">
        <v>2615</v>
      </c>
      <c r="T740">
        <v>0.28000000000000003</v>
      </c>
      <c r="U740">
        <v>0.73</v>
      </c>
      <c r="V740">
        <v>0.748</v>
      </c>
      <c r="W740">
        <v>35</v>
      </c>
      <c r="X740">
        <v>14</v>
      </c>
      <c r="Y740">
        <v>4.5</v>
      </c>
    </row>
    <row r="741" spans="1:25" ht="60" customHeight="1" x14ac:dyDescent="0.25">
      <c r="A741"/>
      <c r="B741" t="s">
        <v>621</v>
      </c>
      <c r="C741" t="s">
        <v>19</v>
      </c>
      <c r="D741" t="s">
        <v>618</v>
      </c>
      <c r="E741" t="s">
        <v>3343</v>
      </c>
      <c r="F741" t="s">
        <v>1165</v>
      </c>
      <c r="G741" t="s">
        <v>620</v>
      </c>
      <c r="H741" s="11">
        <v>34.590000000000003</v>
      </c>
      <c r="I741" s="10">
        <f>H741*(1-IFERROR(VLOOKUP(G741,Rabat!$C$9:$D$43,2,0),0))</f>
        <v>34.590000000000003</v>
      </c>
      <c r="J741" t="s">
        <v>1815</v>
      </c>
      <c r="K741" t="s">
        <v>419</v>
      </c>
      <c r="L741" t="s">
        <v>1813</v>
      </c>
      <c r="M741">
        <v>30</v>
      </c>
      <c r="N741">
        <v>1080</v>
      </c>
      <c r="O741" t="s">
        <v>1818</v>
      </c>
      <c r="P741" s="12" t="str">
        <f>HYPERLINK("https://b2b.kobi.pl/pl/product/10249,przedluzacz-linea-3gn-3m-zu-w-kobi?currency=PLN")</f>
        <v>https://b2b.kobi.pl/pl/product/10249,przedluzacz-linea-3gn-3m-zu-w-kobi?currency=PLN</v>
      </c>
      <c r="Q741" t="s">
        <v>14</v>
      </c>
      <c r="R741"/>
      <c r="S741" t="s">
        <v>2615</v>
      </c>
      <c r="T741">
        <v>0.15</v>
      </c>
      <c r="U741">
        <v>0.39</v>
      </c>
      <c r="V741">
        <v>0.40400000000000003</v>
      </c>
      <c r="W741">
        <v>3</v>
      </c>
      <c r="X741">
        <v>14</v>
      </c>
      <c r="Y741">
        <v>4.5</v>
      </c>
    </row>
    <row r="742" spans="1:25" ht="60" customHeight="1" x14ac:dyDescent="0.25">
      <c r="A742"/>
      <c r="B742" t="s">
        <v>621</v>
      </c>
      <c r="C742" t="s">
        <v>19</v>
      </c>
      <c r="D742" t="s">
        <v>618</v>
      </c>
      <c r="E742" t="s">
        <v>3344</v>
      </c>
      <c r="F742" t="s">
        <v>1166</v>
      </c>
      <c r="G742" t="s">
        <v>620</v>
      </c>
      <c r="H742" s="11">
        <v>47.87</v>
      </c>
      <c r="I742" s="10">
        <f>H742*(1-IFERROR(VLOOKUP(G742,Rabat!$C$9:$D$43,2,0),0))</f>
        <v>47.87</v>
      </c>
      <c r="J742" t="s">
        <v>1815</v>
      </c>
      <c r="K742" t="s">
        <v>421</v>
      </c>
      <c r="L742" t="s">
        <v>1813</v>
      </c>
      <c r="M742">
        <v>30</v>
      </c>
      <c r="N742"/>
      <c r="O742" t="s">
        <v>1818</v>
      </c>
      <c r="P742" s="12" t="str">
        <f>HYPERLINK("https://b2b.kobi.pl/pl/product/10250,przedluzacz-linea-3gn-5m-zu-w-kobi?currency=PLN")</f>
        <v>https://b2b.kobi.pl/pl/product/10250,przedluzacz-linea-3gn-5m-zu-w-kobi?currency=PLN</v>
      </c>
      <c r="Q742" t="s">
        <v>14</v>
      </c>
      <c r="R742"/>
      <c r="S742" t="s">
        <v>2615</v>
      </c>
      <c r="T742">
        <v>0.21</v>
      </c>
      <c r="U742">
        <v>0.54</v>
      </c>
      <c r="V742">
        <v>0.55400000000000005</v>
      </c>
      <c r="W742">
        <v>30</v>
      </c>
      <c r="X742">
        <v>14</v>
      </c>
      <c r="Y742">
        <v>4.5</v>
      </c>
    </row>
    <row r="743" spans="1:25" ht="60" customHeight="1" x14ac:dyDescent="0.25">
      <c r="A743"/>
      <c r="B743" t="s">
        <v>621</v>
      </c>
      <c r="C743" t="s">
        <v>19</v>
      </c>
      <c r="D743" t="s">
        <v>618</v>
      </c>
      <c r="E743" t="s">
        <v>3345</v>
      </c>
      <c r="F743" t="s">
        <v>1167</v>
      </c>
      <c r="G743" t="s">
        <v>620</v>
      </c>
      <c r="H743" s="11">
        <v>38.299999999999997</v>
      </c>
      <c r="I743" s="10">
        <f>H743*(1-IFERROR(VLOOKUP(G743,Rabat!$C$9:$D$43,2,0),0))</f>
        <v>38.299999999999997</v>
      </c>
      <c r="J743" t="s">
        <v>1815</v>
      </c>
      <c r="K743" t="s">
        <v>427</v>
      </c>
      <c r="L743" t="s">
        <v>1813</v>
      </c>
      <c r="M743">
        <v>30</v>
      </c>
      <c r="N743">
        <v>720</v>
      </c>
      <c r="O743" t="s">
        <v>1818</v>
      </c>
      <c r="P743" s="12" t="str">
        <f>HYPERLINK("https://b2b.kobi.pl/pl/product/10251,przedluzacz-linea-5gn-3m-zu-w-kobi?currency=PLN")</f>
        <v>https://b2b.kobi.pl/pl/product/10251,przedluzacz-linea-5gn-3m-zu-w-kobi?currency=PLN</v>
      </c>
      <c r="Q743" t="s">
        <v>14</v>
      </c>
      <c r="R743"/>
      <c r="S743" t="s">
        <v>2615</v>
      </c>
      <c r="T743">
        <v>0.21</v>
      </c>
      <c r="U743">
        <v>0.53</v>
      </c>
      <c r="V743">
        <v>0.54400000000000004</v>
      </c>
      <c r="W743">
        <v>35</v>
      </c>
      <c r="X743">
        <v>14</v>
      </c>
      <c r="Y743">
        <v>4.5</v>
      </c>
    </row>
    <row r="744" spans="1:25" ht="60" customHeight="1" x14ac:dyDescent="0.25">
      <c r="A744"/>
      <c r="B744" t="s">
        <v>621</v>
      </c>
      <c r="C744" t="s">
        <v>19</v>
      </c>
      <c r="D744" t="s">
        <v>618</v>
      </c>
      <c r="E744" t="s">
        <v>3346</v>
      </c>
      <c r="F744" t="s">
        <v>1168</v>
      </c>
      <c r="G744" t="s">
        <v>620</v>
      </c>
      <c r="H744" s="11">
        <v>51.53</v>
      </c>
      <c r="I744" s="10">
        <f>H744*(1-IFERROR(VLOOKUP(G744,Rabat!$C$9:$D$43,2,0),0))</f>
        <v>51.53</v>
      </c>
      <c r="J744" t="s">
        <v>1815</v>
      </c>
      <c r="K744" t="s">
        <v>429</v>
      </c>
      <c r="L744" t="s">
        <v>1813</v>
      </c>
      <c r="M744">
        <v>30</v>
      </c>
      <c r="N744">
        <v>540</v>
      </c>
      <c r="O744" t="s">
        <v>1818</v>
      </c>
      <c r="P744" s="12" t="str">
        <f>HYPERLINK("https://b2b.kobi.pl/pl/product/10252,przedluzacz-linea-5gn-5m-zu-w-kobi?currency=PLN")</f>
        <v>https://b2b.kobi.pl/pl/product/10252,przedluzacz-linea-5gn-5m-zu-w-kobi?currency=PLN</v>
      </c>
      <c r="Q744" t="s">
        <v>14</v>
      </c>
      <c r="R744"/>
      <c r="S744" t="s">
        <v>2615</v>
      </c>
      <c r="T744">
        <v>0.28999999999999998</v>
      </c>
      <c r="U744">
        <v>0.75</v>
      </c>
      <c r="V744">
        <v>0.76400000000000001</v>
      </c>
      <c r="W744">
        <v>35</v>
      </c>
      <c r="X744">
        <v>14</v>
      </c>
      <c r="Y744">
        <v>4.5</v>
      </c>
    </row>
    <row r="745" spans="1:25" ht="60" customHeight="1" x14ac:dyDescent="0.25">
      <c r="A745"/>
      <c r="B745" t="s">
        <v>621</v>
      </c>
      <c r="C745" t="s">
        <v>19</v>
      </c>
      <c r="D745" t="s">
        <v>618</v>
      </c>
      <c r="E745" t="s">
        <v>3600</v>
      </c>
      <c r="F745" t="s">
        <v>1169</v>
      </c>
      <c r="G745" t="s">
        <v>620</v>
      </c>
      <c r="H745" s="11">
        <v>108.62</v>
      </c>
      <c r="I745" s="10">
        <f>H745*(1-IFERROR(VLOOKUP(G745,Rabat!$C$9:$D$43,2,0),0))</f>
        <v>108.62</v>
      </c>
      <c r="J745" t="s">
        <v>1815</v>
      </c>
      <c r="K745" t="s">
        <v>515</v>
      </c>
      <c r="L745" t="s">
        <v>1813</v>
      </c>
      <c r="M745">
        <v>60</v>
      </c>
      <c r="N745">
        <v>1440</v>
      </c>
      <c r="O745" t="s">
        <v>1818</v>
      </c>
      <c r="P745" s="12" t="str">
        <f>HYPERLINK("https://b2b.kobi.pl/pl/product/10253,przedluzacz-linea-pro-cube-3gn-3usb-1usb-c-zu-w-bialy-kobi?currency=PLN")</f>
        <v>https://b2b.kobi.pl/pl/product/10253,przedluzacz-linea-pro-cube-3gn-3usb-1usb-c-zu-w-bialy-kobi?currency=PLN</v>
      </c>
      <c r="Q745" t="s">
        <v>14</v>
      </c>
      <c r="R745"/>
      <c r="S745" t="s">
        <v>2615</v>
      </c>
      <c r="T745">
        <v>7.0000000000000007E-2</v>
      </c>
      <c r="U745">
        <v>0.189</v>
      </c>
      <c r="V745">
        <v>0.22900000000000001</v>
      </c>
      <c r="W745">
        <v>8.3000000000000007</v>
      </c>
      <c r="X745">
        <v>10.7</v>
      </c>
      <c r="Y745">
        <v>8.3000000000000007</v>
      </c>
    </row>
    <row r="746" spans="1:25" ht="60" customHeight="1" x14ac:dyDescent="0.25">
      <c r="A746"/>
      <c r="B746" t="s">
        <v>621</v>
      </c>
      <c r="C746" t="s">
        <v>19</v>
      </c>
      <c r="D746" t="s">
        <v>618</v>
      </c>
      <c r="E746" t="s">
        <v>3601</v>
      </c>
      <c r="F746" t="s">
        <v>1170</v>
      </c>
      <c r="G746" t="s">
        <v>620</v>
      </c>
      <c r="H746" s="11">
        <v>108.62</v>
      </c>
      <c r="I746" s="10">
        <f>H746*(1-IFERROR(VLOOKUP(G746,Rabat!$C$9:$D$43,2,0),0))</f>
        <v>108.62</v>
      </c>
      <c r="J746" t="s">
        <v>1815</v>
      </c>
      <c r="K746" t="s">
        <v>512</v>
      </c>
      <c r="L746" t="s">
        <v>1813</v>
      </c>
      <c r="M746">
        <v>60</v>
      </c>
      <c r="N746">
        <v>1080</v>
      </c>
      <c r="O746" t="s">
        <v>1818</v>
      </c>
      <c r="P746" s="12" t="str">
        <f>HYPERLINK("https://b2b.kobi.pl/pl/product/10254,przedluzacz-linea-pro-cube-3gn-3usb-1usb-c-zu-w-czarny-kobi?currency=PLN")</f>
        <v>https://b2b.kobi.pl/pl/product/10254,przedluzacz-linea-pro-cube-3gn-3usb-1usb-c-zu-w-czarny-kobi?currency=PLN</v>
      </c>
      <c r="Q746" t="s">
        <v>14</v>
      </c>
      <c r="R746"/>
      <c r="S746" t="s">
        <v>2615</v>
      </c>
      <c r="T746">
        <v>7.0000000000000007E-2</v>
      </c>
      <c r="U746">
        <v>0.189</v>
      </c>
      <c r="V746">
        <v>0.22900000000000001</v>
      </c>
      <c r="W746">
        <v>8.3000000000000007</v>
      </c>
      <c r="X746">
        <v>10.7</v>
      </c>
      <c r="Y746">
        <v>8.3000000000000007</v>
      </c>
    </row>
    <row r="747" spans="1:25" ht="60" customHeight="1" x14ac:dyDescent="0.25">
      <c r="A747"/>
      <c r="B747" t="s">
        <v>621</v>
      </c>
      <c r="C747" t="s">
        <v>19</v>
      </c>
      <c r="D747" t="s">
        <v>618</v>
      </c>
      <c r="E747" t="s">
        <v>3602</v>
      </c>
      <c r="F747" t="s">
        <v>1171</v>
      </c>
      <c r="G747" t="s">
        <v>620</v>
      </c>
      <c r="H747" s="11">
        <v>113.25</v>
      </c>
      <c r="I747" s="10">
        <f>H747*(1-IFERROR(VLOOKUP(G747,Rabat!$C$9:$D$43,2,0),0))</f>
        <v>113.25</v>
      </c>
      <c r="J747" t="s">
        <v>1815</v>
      </c>
      <c r="K747" t="s">
        <v>514</v>
      </c>
      <c r="L747" t="s">
        <v>1813</v>
      </c>
      <c r="M747">
        <v>50</v>
      </c>
      <c r="N747"/>
      <c r="O747" t="s">
        <v>1818</v>
      </c>
      <c r="P747" s="12" t="str">
        <f>HYPERLINK("https://b2b.kobi.pl/pl/product/10255,przedluzacz-linea-pro-cube-c-3gn-3usb-1usb-c-1-5m-zu-w-bialy-kobi?currency=PLN")</f>
        <v>https://b2b.kobi.pl/pl/product/10255,przedluzacz-linea-pro-cube-c-3gn-3usb-1usb-c-1-5m-zu-w-bialy-kobi?currency=PLN</v>
      </c>
      <c r="Q747" t="s">
        <v>14</v>
      </c>
      <c r="R747" t="s">
        <v>1945</v>
      </c>
      <c r="S747" t="s">
        <v>2615</v>
      </c>
      <c r="T747">
        <v>0.13</v>
      </c>
      <c r="U747">
        <v>0.33</v>
      </c>
      <c r="V747">
        <v>0.40500000000000003</v>
      </c>
      <c r="W747">
        <v>22</v>
      </c>
      <c r="X747">
        <v>8.3000000000000007</v>
      </c>
      <c r="Y747">
        <v>8.5</v>
      </c>
    </row>
    <row r="748" spans="1:25" ht="60" customHeight="1" x14ac:dyDescent="0.25">
      <c r="A748"/>
      <c r="B748" t="s">
        <v>621</v>
      </c>
      <c r="C748" t="s">
        <v>19</v>
      </c>
      <c r="D748" t="s">
        <v>618</v>
      </c>
      <c r="E748" t="s">
        <v>3603</v>
      </c>
      <c r="F748" t="s">
        <v>1172</v>
      </c>
      <c r="G748" t="s">
        <v>620</v>
      </c>
      <c r="H748" s="11">
        <v>113.25</v>
      </c>
      <c r="I748" s="10">
        <f>H748*(1-IFERROR(VLOOKUP(G748,Rabat!$C$9:$D$43,2,0),0))</f>
        <v>113.25</v>
      </c>
      <c r="J748" t="s">
        <v>1815</v>
      </c>
      <c r="K748" t="s">
        <v>513</v>
      </c>
      <c r="L748" t="s">
        <v>1813</v>
      </c>
      <c r="M748">
        <v>50</v>
      </c>
      <c r="N748"/>
      <c r="O748" t="s">
        <v>1818</v>
      </c>
      <c r="P748" s="12" t="str">
        <f>HYPERLINK("https://b2b.kobi.pl/pl/product/10256,przedluzacz-linea-pro-cube-c-3gn-3usb-1usb-c-1-5m-zu-w-czarny-kobi?currency=PLN")</f>
        <v>https://b2b.kobi.pl/pl/product/10256,przedluzacz-linea-pro-cube-c-3gn-3usb-1usb-c-1-5m-zu-w-czarny-kobi?currency=PLN</v>
      </c>
      <c r="Q748" t="s">
        <v>14</v>
      </c>
      <c r="R748" t="s">
        <v>1945</v>
      </c>
      <c r="S748" t="s">
        <v>2615</v>
      </c>
      <c r="T748">
        <v>0.13</v>
      </c>
      <c r="U748">
        <v>0.33</v>
      </c>
      <c r="V748">
        <v>0.40500000000000003</v>
      </c>
      <c r="W748">
        <v>22</v>
      </c>
      <c r="X748">
        <v>8.3000000000000007</v>
      </c>
      <c r="Y748">
        <v>8.5</v>
      </c>
    </row>
    <row r="749" spans="1:25" ht="60" customHeight="1" x14ac:dyDescent="0.25">
      <c r="A749"/>
      <c r="B749" t="s">
        <v>621</v>
      </c>
      <c r="C749" t="s">
        <v>19</v>
      </c>
      <c r="D749" t="s">
        <v>618</v>
      </c>
      <c r="E749" t="s">
        <v>3604</v>
      </c>
      <c r="F749" t="s">
        <v>1173</v>
      </c>
      <c r="G749" t="s">
        <v>620</v>
      </c>
      <c r="H749" s="11">
        <v>67.02</v>
      </c>
      <c r="I749" s="10">
        <f>H749*(1-IFERROR(VLOOKUP(G749,Rabat!$C$9:$D$43,2,0),0))</f>
        <v>67.02</v>
      </c>
      <c r="J749" t="s">
        <v>1815</v>
      </c>
      <c r="K749" t="s">
        <v>517</v>
      </c>
      <c r="L749" t="s">
        <v>1813</v>
      </c>
      <c r="M749">
        <v>20</v>
      </c>
      <c r="N749">
        <v>620</v>
      </c>
      <c r="O749" t="s">
        <v>1818</v>
      </c>
      <c r="P749" s="12" t="str">
        <f>HYPERLINK("https://b2b.kobi.pl/pl/product/10257,przedluzacz-linea-pro-fl-2gn-3usb-1usb-c-0-2m-bialy-kobi?currency=PLN")</f>
        <v>https://b2b.kobi.pl/pl/product/10257,przedluzacz-linea-pro-fl-2gn-3usb-1usb-c-0-2m-bialy-kobi?currency=PLN</v>
      </c>
      <c r="Q749" t="s">
        <v>14</v>
      </c>
      <c r="R749"/>
      <c r="S749" t="s">
        <v>2615</v>
      </c>
      <c r="T749">
        <v>0.28000000000000003</v>
      </c>
      <c r="U749">
        <v>0.73</v>
      </c>
      <c r="V749">
        <v>1.01</v>
      </c>
      <c r="W749">
        <v>17</v>
      </c>
      <c r="X749">
        <v>5.5</v>
      </c>
      <c r="Y749">
        <v>23</v>
      </c>
    </row>
    <row r="750" spans="1:25" ht="60" customHeight="1" x14ac:dyDescent="0.25">
      <c r="A750"/>
      <c r="B750" t="s">
        <v>621</v>
      </c>
      <c r="C750" t="s">
        <v>19</v>
      </c>
      <c r="D750" t="s">
        <v>618</v>
      </c>
      <c r="E750" t="s">
        <v>3605</v>
      </c>
      <c r="F750" t="s">
        <v>1174</v>
      </c>
      <c r="G750" t="s">
        <v>620</v>
      </c>
      <c r="H750" s="11">
        <v>67.02</v>
      </c>
      <c r="I750" s="10">
        <f>H750*(1-IFERROR(VLOOKUP(G750,Rabat!$C$9:$D$43,2,0),0))</f>
        <v>67.02</v>
      </c>
      <c r="J750" t="s">
        <v>1815</v>
      </c>
      <c r="K750" t="s">
        <v>516</v>
      </c>
      <c r="L750" t="s">
        <v>1813</v>
      </c>
      <c r="M750">
        <v>20</v>
      </c>
      <c r="N750">
        <v>620</v>
      </c>
      <c r="O750" t="s">
        <v>1818</v>
      </c>
      <c r="P750" s="12" t="str">
        <f>HYPERLINK("https://b2b.kobi.pl/pl/product/10258,przedluzacz-linea-pro-fl-2gn-3usb-1usb-c-0-2m-czarny-kobi?currency=PLN")</f>
        <v>https://b2b.kobi.pl/pl/product/10258,przedluzacz-linea-pro-fl-2gn-3usb-1usb-c-0-2m-czarny-kobi?currency=PLN</v>
      </c>
      <c r="Q750" t="s">
        <v>14</v>
      </c>
      <c r="R750"/>
      <c r="S750" t="s">
        <v>2615</v>
      </c>
      <c r="T750">
        <v>0.09</v>
      </c>
      <c r="U750">
        <v>0.22</v>
      </c>
      <c r="V750">
        <v>0.28000000000000003</v>
      </c>
      <c r="W750">
        <v>17</v>
      </c>
      <c r="X750">
        <v>5.5</v>
      </c>
      <c r="Y750">
        <v>23</v>
      </c>
    </row>
    <row r="751" spans="1:25" ht="60" customHeight="1" x14ac:dyDescent="0.25">
      <c r="A751"/>
      <c r="B751" t="s">
        <v>621</v>
      </c>
      <c r="C751" t="s">
        <v>19</v>
      </c>
      <c r="D751" t="s">
        <v>618</v>
      </c>
      <c r="E751" t="s">
        <v>3606</v>
      </c>
      <c r="F751" t="s">
        <v>1175</v>
      </c>
      <c r="G751" t="s">
        <v>620</v>
      </c>
      <c r="H751" s="11">
        <v>72.569999999999993</v>
      </c>
      <c r="I751" s="10">
        <f>H751*(1-IFERROR(VLOOKUP(G751,Rabat!$C$9:$D$43,2,0),0))</f>
        <v>72.569999999999993</v>
      </c>
      <c r="J751" t="s">
        <v>1815</v>
      </c>
      <c r="K751" t="s">
        <v>518</v>
      </c>
      <c r="L751" t="s">
        <v>1813</v>
      </c>
      <c r="M751">
        <v>20</v>
      </c>
      <c r="N751"/>
      <c r="O751" t="s">
        <v>1818</v>
      </c>
      <c r="P751" s="12" t="str">
        <f>HYPERLINK("https://b2b.kobi.pl/pl/product/10259,przedluzacz-linea-pro-3gn-4usb-1usb-c-1-5m-zu-w-bialy-kobi?currency=PLN")</f>
        <v>https://b2b.kobi.pl/pl/product/10259,przedluzacz-linea-pro-3gn-4usb-1usb-c-1-5m-zu-w-bialy-kobi?currency=PLN</v>
      </c>
      <c r="Q751" t="s">
        <v>14</v>
      </c>
      <c r="R751"/>
      <c r="S751" t="s">
        <v>2615</v>
      </c>
      <c r="T751">
        <v>0.14000000000000001</v>
      </c>
      <c r="U751">
        <v>0.36</v>
      </c>
      <c r="V751">
        <v>0.45500000000000002</v>
      </c>
      <c r="W751">
        <v>14.5</v>
      </c>
      <c r="X751">
        <v>5</v>
      </c>
      <c r="Y751">
        <v>22</v>
      </c>
    </row>
    <row r="752" spans="1:25" ht="60" customHeight="1" x14ac:dyDescent="0.25">
      <c r="A752"/>
      <c r="B752" t="s">
        <v>621</v>
      </c>
      <c r="C752" t="s">
        <v>19</v>
      </c>
      <c r="D752" t="s">
        <v>618</v>
      </c>
      <c r="E752" t="s">
        <v>3607</v>
      </c>
      <c r="F752" t="s">
        <v>1176</v>
      </c>
      <c r="G752" t="s">
        <v>620</v>
      </c>
      <c r="H752" s="11">
        <v>72.569999999999993</v>
      </c>
      <c r="I752" s="10">
        <f>H752*(1-IFERROR(VLOOKUP(G752,Rabat!$C$9:$D$43,2,0),0))</f>
        <v>72.569999999999993</v>
      </c>
      <c r="J752" t="s">
        <v>1815</v>
      </c>
      <c r="K752" t="s">
        <v>509</v>
      </c>
      <c r="L752" t="s">
        <v>1813</v>
      </c>
      <c r="M752">
        <v>20</v>
      </c>
      <c r="N752"/>
      <c r="O752" t="s">
        <v>1818</v>
      </c>
      <c r="P752" s="12" t="str">
        <f>HYPERLINK("https://b2b.kobi.pl/pl/product/10260,przedluzacz-linea-pro-3gn-4usb-1usb-c-1-5m-zu-w-czarny-kobi?currency=PLN")</f>
        <v>https://b2b.kobi.pl/pl/product/10260,przedluzacz-linea-pro-3gn-4usb-1usb-c-1-5m-zu-w-czarny-kobi?currency=PLN</v>
      </c>
      <c r="Q752" t="s">
        <v>14</v>
      </c>
      <c r="R752"/>
      <c r="S752" t="s">
        <v>2615</v>
      </c>
      <c r="T752">
        <v>0.14000000000000001</v>
      </c>
      <c r="U752">
        <v>0.36</v>
      </c>
      <c r="V752">
        <v>0.45500000000000002</v>
      </c>
      <c r="W752">
        <v>14.5</v>
      </c>
      <c r="X752">
        <v>5</v>
      </c>
      <c r="Y752">
        <v>22</v>
      </c>
    </row>
    <row r="753" spans="1:25" ht="60" customHeight="1" x14ac:dyDescent="0.25">
      <c r="A753"/>
      <c r="B753" t="s">
        <v>621</v>
      </c>
      <c r="C753" t="s">
        <v>19</v>
      </c>
      <c r="D753" t="s">
        <v>618</v>
      </c>
      <c r="E753" t="s">
        <v>3608</v>
      </c>
      <c r="F753" t="s">
        <v>1177</v>
      </c>
      <c r="G753" t="s">
        <v>620</v>
      </c>
      <c r="H753" s="11">
        <v>92.22</v>
      </c>
      <c r="I753" s="10">
        <f>H753*(1-IFERROR(VLOOKUP(G753,Rabat!$C$9:$D$43,2,0),0))</f>
        <v>92.22</v>
      </c>
      <c r="J753" t="s">
        <v>1815</v>
      </c>
      <c r="K753" t="s">
        <v>519</v>
      </c>
      <c r="L753" t="s">
        <v>1813</v>
      </c>
      <c r="M753">
        <v>20</v>
      </c>
      <c r="N753"/>
      <c r="O753" t="s">
        <v>1818</v>
      </c>
      <c r="P753" s="12" t="str">
        <f>HYPERLINK("https://b2b.kobi.pl/pl/product/10261,przedluzacz-linea-pro-3gn-4usb-1usb-c-3m-zu-w-bialy-kobi?currency=PLN")</f>
        <v>https://b2b.kobi.pl/pl/product/10261,przedluzacz-linea-pro-3gn-4usb-1usb-c-3m-zu-w-bialy-kobi?currency=PLN</v>
      </c>
      <c r="Q753" t="s">
        <v>14</v>
      </c>
      <c r="R753"/>
      <c r="S753" t="s">
        <v>2615</v>
      </c>
      <c r="T753">
        <v>0.2</v>
      </c>
      <c r="U753">
        <v>0.52</v>
      </c>
      <c r="V753">
        <v>0.61</v>
      </c>
      <c r="W753">
        <v>14.5</v>
      </c>
      <c r="X753">
        <v>5</v>
      </c>
      <c r="Y753">
        <v>22</v>
      </c>
    </row>
    <row r="754" spans="1:25" ht="60" customHeight="1" x14ac:dyDescent="0.25">
      <c r="A754"/>
      <c r="B754" t="s">
        <v>621</v>
      </c>
      <c r="C754" t="s">
        <v>19</v>
      </c>
      <c r="D754" t="s">
        <v>618</v>
      </c>
      <c r="E754" t="s">
        <v>3609</v>
      </c>
      <c r="F754" t="s">
        <v>1178</v>
      </c>
      <c r="G754" t="s">
        <v>620</v>
      </c>
      <c r="H754" s="11">
        <v>92.22</v>
      </c>
      <c r="I754" s="10">
        <f>H754*(1-IFERROR(VLOOKUP(G754,Rabat!$C$9:$D$43,2,0),0))</f>
        <v>92.22</v>
      </c>
      <c r="J754" t="s">
        <v>1815</v>
      </c>
      <c r="K754" t="s">
        <v>510</v>
      </c>
      <c r="L754" t="s">
        <v>1813</v>
      </c>
      <c r="M754">
        <v>20</v>
      </c>
      <c r="N754"/>
      <c r="O754" t="s">
        <v>1818</v>
      </c>
      <c r="P754" s="12" t="str">
        <f>HYPERLINK("https://b2b.kobi.pl/pl/product/10262,przedluzacz-linea-pro-3gn-4usb-1usb-c-3m-zu-w-czarny-kobi?currency=PLN")</f>
        <v>https://b2b.kobi.pl/pl/product/10262,przedluzacz-linea-pro-3gn-4usb-1usb-c-3m-zu-w-czarny-kobi?currency=PLN</v>
      </c>
      <c r="Q754" t="s">
        <v>14</v>
      </c>
      <c r="R754"/>
      <c r="S754" t="s">
        <v>2615</v>
      </c>
      <c r="T754">
        <v>0.2</v>
      </c>
      <c r="U754">
        <v>0.52</v>
      </c>
      <c r="V754">
        <v>0.61</v>
      </c>
      <c r="W754">
        <v>14.5</v>
      </c>
      <c r="X754">
        <v>5</v>
      </c>
      <c r="Y754">
        <v>22</v>
      </c>
    </row>
    <row r="755" spans="1:25" ht="60" customHeight="1" x14ac:dyDescent="0.25">
      <c r="A755"/>
      <c r="B755" t="s">
        <v>621</v>
      </c>
      <c r="C755" t="s">
        <v>19</v>
      </c>
      <c r="D755" t="s">
        <v>618</v>
      </c>
      <c r="E755" t="s">
        <v>3610</v>
      </c>
      <c r="F755" t="s">
        <v>1181</v>
      </c>
      <c r="G755" t="s">
        <v>620</v>
      </c>
      <c r="H755" s="11">
        <v>122.26</v>
      </c>
      <c r="I755" s="10">
        <f>H755*(1-IFERROR(VLOOKUP(G755,Rabat!$C$9:$D$43,2,0),0))</f>
        <v>122.26</v>
      </c>
      <c r="J755" t="s">
        <v>1815</v>
      </c>
      <c r="K755" t="s">
        <v>520</v>
      </c>
      <c r="L755" t="s">
        <v>1813</v>
      </c>
      <c r="M755">
        <v>20</v>
      </c>
      <c r="N755"/>
      <c r="O755" t="s">
        <v>1818</v>
      </c>
      <c r="P755" s="12" t="str">
        <f>HYPERLINK("https://b2b.kobi.pl/pl/product/10263,przedluzacz-linea-pro-3gn-4usb-1usb-c-5m-zu-w-bialy-kobi?currency=PLN")</f>
        <v>https://b2b.kobi.pl/pl/product/10263,przedluzacz-linea-pro-3gn-4usb-1usb-c-5m-zu-w-bialy-kobi?currency=PLN</v>
      </c>
      <c r="Q755" t="s">
        <v>14</v>
      </c>
      <c r="R755"/>
      <c r="S755" t="s">
        <v>2615</v>
      </c>
      <c r="T755">
        <v>0.28000000000000003</v>
      </c>
      <c r="U755">
        <v>0.73</v>
      </c>
      <c r="V755">
        <v>0.81499999999999995</v>
      </c>
      <c r="W755">
        <v>17</v>
      </c>
      <c r="X755">
        <v>5.5</v>
      </c>
      <c r="Y755">
        <v>23</v>
      </c>
    </row>
    <row r="756" spans="1:25" ht="60" customHeight="1" x14ac:dyDescent="0.25">
      <c r="A756"/>
      <c r="B756" t="s">
        <v>621</v>
      </c>
      <c r="C756" t="s">
        <v>19</v>
      </c>
      <c r="D756" t="s">
        <v>618</v>
      </c>
      <c r="E756" t="s">
        <v>3611</v>
      </c>
      <c r="F756" t="s">
        <v>1184</v>
      </c>
      <c r="G756" t="s">
        <v>620</v>
      </c>
      <c r="H756" s="11">
        <v>122.26</v>
      </c>
      <c r="I756" s="10">
        <f>H756*(1-IFERROR(VLOOKUP(G756,Rabat!$C$9:$D$43,2,0),0))</f>
        <v>122.26</v>
      </c>
      <c r="J756" t="s">
        <v>1815</v>
      </c>
      <c r="K756" t="s">
        <v>511</v>
      </c>
      <c r="L756" t="s">
        <v>1813</v>
      </c>
      <c r="M756">
        <v>20</v>
      </c>
      <c r="N756"/>
      <c r="O756" t="s">
        <v>1818</v>
      </c>
      <c r="P756" s="12" t="str">
        <f>HYPERLINK("https://b2b.kobi.pl/pl/product/10264,przedluzacz-linea-pro-3gn-4usb-1usb-c-5m-zu-w-czarny-kobi?currency=PLN")</f>
        <v>https://b2b.kobi.pl/pl/product/10264,przedluzacz-linea-pro-3gn-4usb-1usb-c-5m-zu-w-czarny-kobi?currency=PLN</v>
      </c>
      <c r="Q756" t="s">
        <v>14</v>
      </c>
      <c r="R756"/>
      <c r="S756" t="s">
        <v>2615</v>
      </c>
      <c r="T756">
        <v>0.28000000000000003</v>
      </c>
      <c r="U756">
        <v>0.73</v>
      </c>
      <c r="V756">
        <v>0.81499999999999995</v>
      </c>
      <c r="W756">
        <v>17</v>
      </c>
      <c r="X756">
        <v>5.5</v>
      </c>
      <c r="Y756">
        <v>23</v>
      </c>
    </row>
    <row r="757" spans="1:25" ht="60" customHeight="1" x14ac:dyDescent="0.25">
      <c r="A757"/>
      <c r="B757" t="s">
        <v>621</v>
      </c>
      <c r="C757" t="s">
        <v>19</v>
      </c>
      <c r="D757" t="s">
        <v>618</v>
      </c>
      <c r="E757" t="s">
        <v>2202</v>
      </c>
      <c r="F757" t="s">
        <v>2203</v>
      </c>
      <c r="G757" t="s">
        <v>620</v>
      </c>
      <c r="H757" s="11">
        <v>64.739999999999995</v>
      </c>
      <c r="I757" s="10">
        <f>H757*(1-IFERROR(VLOOKUP(G757,Rabat!$C$9:$D$43,2,0),0))</f>
        <v>64.739999999999995</v>
      </c>
      <c r="J757" t="s">
        <v>1815</v>
      </c>
      <c r="K757" t="s">
        <v>2245</v>
      </c>
      <c r="L757" t="s">
        <v>1813</v>
      </c>
      <c r="M757">
        <v>20</v>
      </c>
      <c r="N757">
        <v>600</v>
      </c>
      <c r="O757" t="s">
        <v>1818</v>
      </c>
      <c r="P757" s="12" t="str">
        <f>HYPERLINK("https://b2b.kobi.pl/pl/product/12648,przedluzacz-linea-pro-xc-3gn-3usb-1usb-c-1-5m-zu-w-bialy-kobi?currency=PLN")</f>
        <v>https://b2b.kobi.pl/pl/product/12648,przedluzacz-linea-pro-xc-3gn-3usb-1usb-c-1-5m-zu-w-bialy-kobi?currency=PLN</v>
      </c>
      <c r="Q757" t="s">
        <v>14</v>
      </c>
      <c r="R757" t="s">
        <v>1945</v>
      </c>
      <c r="S757" t="s">
        <v>2615</v>
      </c>
      <c r="T757">
        <v>0.14000000000000001</v>
      </c>
      <c r="U757">
        <v>0.35299999999999998</v>
      </c>
      <c r="V757">
        <v>0.44</v>
      </c>
      <c r="W757">
        <v>13.2</v>
      </c>
      <c r="X757">
        <v>4.8</v>
      </c>
      <c r="Y757">
        <v>25.2</v>
      </c>
    </row>
    <row r="758" spans="1:25" ht="60" customHeight="1" x14ac:dyDescent="0.25">
      <c r="A758"/>
      <c r="B758" t="s">
        <v>621</v>
      </c>
      <c r="C758" t="s">
        <v>19</v>
      </c>
      <c r="D758" t="s">
        <v>618</v>
      </c>
      <c r="E758" t="s">
        <v>2204</v>
      </c>
      <c r="F758" t="s">
        <v>2205</v>
      </c>
      <c r="G758" t="s">
        <v>620</v>
      </c>
      <c r="H758" s="11">
        <v>64.739999999999995</v>
      </c>
      <c r="I758" s="10">
        <f>H758*(1-IFERROR(VLOOKUP(G758,Rabat!$C$9:$D$43,2,0),0))</f>
        <v>64.739999999999995</v>
      </c>
      <c r="J758" t="s">
        <v>1815</v>
      </c>
      <c r="K758" t="s">
        <v>2246</v>
      </c>
      <c r="L758" t="s">
        <v>1813</v>
      </c>
      <c r="M758">
        <v>20</v>
      </c>
      <c r="N758">
        <v>600</v>
      </c>
      <c r="O758" t="s">
        <v>1818</v>
      </c>
      <c r="P758" s="12" t="str">
        <f>HYPERLINK("https://b2b.kobi.pl/pl/product/12649,przedluzacz-linea-pro-xc-3gn-3usb-1usb-c-1-5m-zu-w-czarny-kobi?currency=PLN")</f>
        <v>https://b2b.kobi.pl/pl/product/12649,przedluzacz-linea-pro-xc-3gn-3usb-1usb-c-1-5m-zu-w-czarny-kobi?currency=PLN</v>
      </c>
      <c r="Q758" t="s">
        <v>14</v>
      </c>
      <c r="R758" t="s">
        <v>1945</v>
      </c>
      <c r="S758" t="s">
        <v>2615</v>
      </c>
      <c r="T758">
        <v>0.14000000000000001</v>
      </c>
      <c r="U758">
        <v>0.35299999999999998</v>
      </c>
      <c r="V758">
        <v>0.44</v>
      </c>
      <c r="W758">
        <v>13.2</v>
      </c>
      <c r="X758">
        <v>4.8</v>
      </c>
      <c r="Y758">
        <v>25.2</v>
      </c>
    </row>
    <row r="759" spans="1:25" ht="60" customHeight="1" x14ac:dyDescent="0.25">
      <c r="A759"/>
      <c r="B759" t="s">
        <v>621</v>
      </c>
      <c r="C759" t="s">
        <v>19</v>
      </c>
      <c r="D759" t="s">
        <v>618</v>
      </c>
      <c r="E759" t="s">
        <v>2206</v>
      </c>
      <c r="F759" t="s">
        <v>2207</v>
      </c>
      <c r="G759" t="s">
        <v>620</v>
      </c>
      <c r="H759" s="11">
        <v>81.900000000000006</v>
      </c>
      <c r="I759" s="10">
        <f>H759*(1-IFERROR(VLOOKUP(G759,Rabat!$C$9:$D$43,2,0),0))</f>
        <v>81.900000000000006</v>
      </c>
      <c r="J759" t="s">
        <v>1815</v>
      </c>
      <c r="K759" t="s">
        <v>2247</v>
      </c>
      <c r="L759" t="s">
        <v>1813</v>
      </c>
      <c r="M759">
        <v>20</v>
      </c>
      <c r="N759">
        <v>600</v>
      </c>
      <c r="O759" t="s">
        <v>1818</v>
      </c>
      <c r="P759" s="12" t="str">
        <f>HYPERLINK("https://b2b.kobi.pl/pl/product/12650,przedluzacz-linea-pro-xc-3gn-3usb-1usb-c-3m-zu-w-bialy-kobi?currency=PLN")</f>
        <v>https://b2b.kobi.pl/pl/product/12650,przedluzacz-linea-pro-xc-3gn-3usb-1usb-c-3m-zu-w-bialy-kobi?currency=PLN</v>
      </c>
      <c r="Q759" t="s">
        <v>14</v>
      </c>
      <c r="R759" t="s">
        <v>1945</v>
      </c>
      <c r="S759" t="s">
        <v>2615</v>
      </c>
      <c r="T759">
        <v>0.2</v>
      </c>
      <c r="U759">
        <v>0.51700000000000002</v>
      </c>
      <c r="V759">
        <v>0.6</v>
      </c>
      <c r="W759">
        <v>13.2</v>
      </c>
      <c r="X759">
        <v>4.8</v>
      </c>
      <c r="Y759">
        <v>25.2</v>
      </c>
    </row>
    <row r="760" spans="1:25" ht="60" customHeight="1" x14ac:dyDescent="0.25">
      <c r="A760"/>
      <c r="B760" t="s">
        <v>621</v>
      </c>
      <c r="C760" t="s">
        <v>19</v>
      </c>
      <c r="D760" t="s">
        <v>618</v>
      </c>
      <c r="E760" t="s">
        <v>2208</v>
      </c>
      <c r="F760" t="s">
        <v>2209</v>
      </c>
      <c r="G760" t="s">
        <v>620</v>
      </c>
      <c r="H760" s="11">
        <v>81.900000000000006</v>
      </c>
      <c r="I760" s="10">
        <f>H760*(1-IFERROR(VLOOKUP(G760,Rabat!$C$9:$D$43,2,0),0))</f>
        <v>81.900000000000006</v>
      </c>
      <c r="J760" t="s">
        <v>1815</v>
      </c>
      <c r="K760" t="s">
        <v>2248</v>
      </c>
      <c r="L760" t="s">
        <v>1813</v>
      </c>
      <c r="M760">
        <v>20</v>
      </c>
      <c r="N760">
        <v>600</v>
      </c>
      <c r="O760" t="s">
        <v>1818</v>
      </c>
      <c r="P760" s="12" t="str">
        <f>HYPERLINK("https://b2b.kobi.pl/pl/product/12651,przedluzacz-linea-pro-xc-3gn-3usb-1usb-c-3m-zu-w-czarny-kobi?currency=PLN")</f>
        <v>https://b2b.kobi.pl/pl/product/12651,przedluzacz-linea-pro-xc-3gn-3usb-1usb-c-3m-zu-w-czarny-kobi?currency=PLN</v>
      </c>
      <c r="Q760" t="s">
        <v>14</v>
      </c>
      <c r="R760" t="s">
        <v>1945</v>
      </c>
      <c r="S760" t="s">
        <v>2615</v>
      </c>
      <c r="T760">
        <v>0.2</v>
      </c>
      <c r="U760">
        <v>0.51700000000000002</v>
      </c>
      <c r="V760">
        <v>0.6</v>
      </c>
      <c r="W760">
        <v>13.2</v>
      </c>
      <c r="X760">
        <v>4.8</v>
      </c>
      <c r="Y760">
        <v>25.2</v>
      </c>
    </row>
    <row r="761" spans="1:25" ht="60" customHeight="1" x14ac:dyDescent="0.25">
      <c r="A761"/>
      <c r="B761" t="s">
        <v>621</v>
      </c>
      <c r="C761" t="s">
        <v>19</v>
      </c>
      <c r="D761" t="s">
        <v>618</v>
      </c>
      <c r="E761" t="s">
        <v>2707</v>
      </c>
      <c r="F761" t="s">
        <v>2642</v>
      </c>
      <c r="G761" t="s">
        <v>620</v>
      </c>
      <c r="H761" s="11">
        <v>35.1</v>
      </c>
      <c r="I761" s="10">
        <f>H761*(1-IFERROR(VLOOKUP(G761,Rabat!$C$9:$D$43,2,0),0))</f>
        <v>35.1</v>
      </c>
      <c r="J761" t="s">
        <v>1815</v>
      </c>
      <c r="K761" t="s">
        <v>2667</v>
      </c>
      <c r="L761" t="s">
        <v>1813</v>
      </c>
      <c r="M761">
        <v>96</v>
      </c>
      <c r="N761">
        <v>1344</v>
      </c>
      <c r="O761" t="s">
        <v>1818</v>
      </c>
      <c r="P761" s="12" t="str">
        <f>HYPERLINK("https://b2b.kobi.pl/pl/product/12761,rozgaleznik-linea-pro-fl2-2gn-2usb-1usb-c-bialy-kobi?currency=PLN")</f>
        <v>https://b2b.kobi.pl/pl/product/12761,rozgaleznik-linea-pro-fl2-2gn-2usb-1usb-c-bialy-kobi?currency=PLN</v>
      </c>
      <c r="Q761" t="s">
        <v>14</v>
      </c>
      <c r="R761"/>
      <c r="S761" t="s">
        <v>2615</v>
      </c>
      <c r="T761">
        <v>0.05</v>
      </c>
      <c r="U761">
        <v>0.14000000000000001</v>
      </c>
      <c r="V761">
        <v>0.17499999999999999</v>
      </c>
      <c r="W761">
        <v>9.6</v>
      </c>
      <c r="X761">
        <v>8.6</v>
      </c>
      <c r="Y761">
        <v>9.6999999999999993</v>
      </c>
    </row>
    <row r="762" spans="1:25" ht="60" customHeight="1" x14ac:dyDescent="0.25">
      <c r="A762"/>
      <c r="B762" t="s">
        <v>621</v>
      </c>
      <c r="C762" t="s">
        <v>19</v>
      </c>
      <c r="D762" t="s">
        <v>618</v>
      </c>
      <c r="E762" t="s">
        <v>2643</v>
      </c>
      <c r="F762" t="s">
        <v>2644</v>
      </c>
      <c r="G762" t="s">
        <v>620</v>
      </c>
      <c r="H762" s="11">
        <v>35.1</v>
      </c>
      <c r="I762" s="10">
        <f>H762*(1-IFERROR(VLOOKUP(G762,Rabat!$C$9:$D$43,2,0),0))</f>
        <v>35.1</v>
      </c>
      <c r="J762" t="s">
        <v>1815</v>
      </c>
      <c r="K762" t="s">
        <v>2668</v>
      </c>
      <c r="L762" t="s">
        <v>1813</v>
      </c>
      <c r="M762">
        <v>96</v>
      </c>
      <c r="N762">
        <v>1344</v>
      </c>
      <c r="O762" t="s">
        <v>1818</v>
      </c>
      <c r="P762" s="12" t="str">
        <f>HYPERLINK("https://b2b.kobi.pl/pl/product/12762,rozgaleznik-linea-pro-fl2-2gn-2usb-1usb-c-czarny-kobi?currency=PLN")</f>
        <v>https://b2b.kobi.pl/pl/product/12762,rozgaleznik-linea-pro-fl2-2gn-2usb-1usb-c-czarny-kobi?currency=PLN</v>
      </c>
      <c r="Q762" t="s">
        <v>14</v>
      </c>
      <c r="R762"/>
      <c r="S762" t="s">
        <v>2615</v>
      </c>
      <c r="T762">
        <v>0.05</v>
      </c>
      <c r="U762">
        <v>0.14000000000000001</v>
      </c>
      <c r="V762">
        <v>0.17499999999999999</v>
      </c>
      <c r="W762">
        <v>9.6</v>
      </c>
      <c r="X762">
        <v>8.6</v>
      </c>
      <c r="Y762">
        <v>9.6999999999999993</v>
      </c>
    </row>
    <row r="763" spans="1:25" ht="60" customHeight="1" x14ac:dyDescent="0.25">
      <c r="A763"/>
      <c r="B763" t="s">
        <v>621</v>
      </c>
      <c r="C763" t="s">
        <v>19</v>
      </c>
      <c r="D763" t="s">
        <v>618</v>
      </c>
      <c r="E763" t="s">
        <v>3498</v>
      </c>
      <c r="F763" t="s">
        <v>3499</v>
      </c>
      <c r="G763" t="s">
        <v>620</v>
      </c>
      <c r="H763" s="11">
        <v>44.18</v>
      </c>
      <c r="I763" s="10">
        <f>H763*(1-IFERROR(VLOOKUP(G763,Rabat!$C$9:$D$43,2,0),0))</f>
        <v>44.18</v>
      </c>
      <c r="J763"/>
      <c r="K763" t="s">
        <v>3526</v>
      </c>
      <c r="L763" t="s">
        <v>1813</v>
      </c>
      <c r="M763">
        <v>20</v>
      </c>
      <c r="N763">
        <v>840</v>
      </c>
      <c r="O763" t="s">
        <v>1818</v>
      </c>
      <c r="P763" s="12" t="str">
        <f>HYPERLINK("https://b2b.kobi.pl/pl/product/13151,przedluzacz-linea-g-1gn-10m-bu-2x1mm-pomaranczowy-kobi?currency=PLN")</f>
        <v>https://b2b.kobi.pl/pl/product/13151,przedluzacz-linea-g-1gn-10m-bu-2x1mm-pomaranczowy-kobi?currency=PLN</v>
      </c>
      <c r="Q763" t="s">
        <v>14</v>
      </c>
      <c r="R763"/>
      <c r="S763" t="s">
        <v>2615</v>
      </c>
      <c r="T763">
        <v>0.27</v>
      </c>
      <c r="U763">
        <v>0.68500000000000005</v>
      </c>
      <c r="V763">
        <v>0.69899999999999995</v>
      </c>
      <c r="W763">
        <v>18</v>
      </c>
      <c r="X763">
        <v>18</v>
      </c>
      <c r="Y763">
        <v>6</v>
      </c>
    </row>
    <row r="764" spans="1:25" ht="60" customHeight="1" x14ac:dyDescent="0.25">
      <c r="A764"/>
      <c r="B764" t="s">
        <v>621</v>
      </c>
      <c r="C764" t="s">
        <v>19</v>
      </c>
      <c r="D764" t="s">
        <v>618</v>
      </c>
      <c r="E764" t="s">
        <v>3538</v>
      </c>
      <c r="F764" t="s">
        <v>3500</v>
      </c>
      <c r="G764" t="s">
        <v>620</v>
      </c>
      <c r="H764" s="11">
        <v>61.1</v>
      </c>
      <c r="I764" s="10">
        <f>H764*(1-IFERROR(VLOOKUP(G764,Rabat!$C$9:$D$43,2,0),0))</f>
        <v>61.1</v>
      </c>
      <c r="J764"/>
      <c r="K764" t="s">
        <v>3527</v>
      </c>
      <c r="L764" t="s">
        <v>1813</v>
      </c>
      <c r="M764">
        <v>10</v>
      </c>
      <c r="N764">
        <v>720</v>
      </c>
      <c r="O764" t="s">
        <v>1818</v>
      </c>
      <c r="P764" s="12" t="str">
        <f>HYPERLINK("https://b2b.kobi.pl/pl/product/13152,przedluzacz-linea-g-1gn-15m-bu-2x1mm-pomaranczowy-kobi?currency=PLN")</f>
        <v>https://b2b.kobi.pl/pl/product/13152,przedluzacz-linea-g-1gn-15m-bu-2x1mm-pomaranczowy-kobi?currency=PLN</v>
      </c>
      <c r="Q764" t="s">
        <v>14</v>
      </c>
      <c r="R764"/>
      <c r="S764" t="s">
        <v>2615</v>
      </c>
      <c r="T764">
        <v>0.39</v>
      </c>
      <c r="U764">
        <v>0.997</v>
      </c>
      <c r="V764">
        <v>1</v>
      </c>
      <c r="W764">
        <v>20</v>
      </c>
      <c r="X764">
        <v>20</v>
      </c>
      <c r="Y764">
        <v>6</v>
      </c>
    </row>
    <row r="765" spans="1:25" ht="60" customHeight="1" x14ac:dyDescent="0.25">
      <c r="A765"/>
      <c r="B765" t="s">
        <v>621</v>
      </c>
      <c r="C765" t="s">
        <v>19</v>
      </c>
      <c r="D765" t="s">
        <v>618</v>
      </c>
      <c r="E765" t="s">
        <v>3539</v>
      </c>
      <c r="F765" t="s">
        <v>3501</v>
      </c>
      <c r="G765" t="s">
        <v>620</v>
      </c>
      <c r="H765" s="11">
        <v>79.3</v>
      </c>
      <c r="I765" s="10">
        <f>H765*(1-IFERROR(VLOOKUP(G765,Rabat!$C$9:$D$43,2,0),0))</f>
        <v>79.3</v>
      </c>
      <c r="J765"/>
      <c r="K765" t="s">
        <v>3528</v>
      </c>
      <c r="L765" t="s">
        <v>1813</v>
      </c>
      <c r="M765">
        <v>10</v>
      </c>
      <c r="N765">
        <v>600</v>
      </c>
      <c r="O765" t="s">
        <v>1818</v>
      </c>
      <c r="P765" s="12" t="str">
        <f>HYPERLINK("https://b2b.kobi.pl/pl/product/13153,przedluzacz-linea-g-1gn-20m-bu-2x1mm-pomaranczowy-kobi?currency=PLN")</f>
        <v>https://b2b.kobi.pl/pl/product/13153,przedluzacz-linea-g-1gn-20m-bu-2x1mm-pomaranczowy-kobi?currency=PLN</v>
      </c>
      <c r="Q765" t="s">
        <v>14</v>
      </c>
      <c r="R765"/>
      <c r="S765" t="s">
        <v>2615</v>
      </c>
      <c r="T765">
        <v>0.5</v>
      </c>
      <c r="U765">
        <v>1.29</v>
      </c>
      <c r="V765">
        <v>1.3</v>
      </c>
      <c r="W765">
        <v>21</v>
      </c>
      <c r="X765">
        <v>21</v>
      </c>
      <c r="Y765">
        <v>6</v>
      </c>
    </row>
    <row r="766" spans="1:25" ht="60" customHeight="1" x14ac:dyDescent="0.25">
      <c r="A766"/>
      <c r="B766" t="s">
        <v>621</v>
      </c>
      <c r="C766" t="s">
        <v>19</v>
      </c>
      <c r="D766" t="s">
        <v>618</v>
      </c>
      <c r="E766" t="s">
        <v>3540</v>
      </c>
      <c r="F766" t="s">
        <v>3502</v>
      </c>
      <c r="G766" t="s">
        <v>620</v>
      </c>
      <c r="H766" s="11">
        <v>111.78</v>
      </c>
      <c r="I766" s="10">
        <f>H766*(1-IFERROR(VLOOKUP(G766,Rabat!$C$9:$D$43,2,0),0))</f>
        <v>111.78</v>
      </c>
      <c r="J766"/>
      <c r="K766" t="s">
        <v>3529</v>
      </c>
      <c r="L766" t="s">
        <v>1813</v>
      </c>
      <c r="M766">
        <v>4</v>
      </c>
      <c r="N766">
        <v>416</v>
      </c>
      <c r="O766" t="s">
        <v>1818</v>
      </c>
      <c r="P766" s="12" t="str">
        <f>HYPERLINK("https://b2b.kobi.pl/pl/product/13155,przedluzacz-linea-g-1gn-30m-bu-2x1mm-pomaranczowy-kobi?currency=PLN")</f>
        <v>https://b2b.kobi.pl/pl/product/13155,przedluzacz-linea-g-1gn-30m-bu-2x1mm-pomaranczowy-kobi?currency=PLN</v>
      </c>
      <c r="Q766" t="s">
        <v>14</v>
      </c>
      <c r="R766"/>
      <c r="S766" t="s">
        <v>2615</v>
      </c>
      <c r="T766">
        <v>0.74</v>
      </c>
      <c r="U766">
        <v>1.887</v>
      </c>
      <c r="V766">
        <v>1.8979999999999999</v>
      </c>
      <c r="W766">
        <v>22.5</v>
      </c>
      <c r="X766">
        <v>22.5</v>
      </c>
      <c r="Y766">
        <v>6.5</v>
      </c>
    </row>
    <row r="767" spans="1:25" ht="60" customHeight="1" x14ac:dyDescent="0.25">
      <c r="A767"/>
      <c r="B767" t="s">
        <v>621</v>
      </c>
      <c r="C767" t="s">
        <v>19</v>
      </c>
      <c r="D767" t="s">
        <v>618</v>
      </c>
      <c r="E767" t="s">
        <v>3919</v>
      </c>
      <c r="F767" t="s">
        <v>3920</v>
      </c>
      <c r="G767" t="s">
        <v>620</v>
      </c>
      <c r="H767" s="11">
        <v>24.47</v>
      </c>
      <c r="I767" s="10">
        <f>H767*(1-IFERROR(VLOOKUP(G767,Rabat!$C$9:$D$43,2,0),0))</f>
        <v>24.47</v>
      </c>
      <c r="J767" t="s">
        <v>1815</v>
      </c>
      <c r="K767" t="s">
        <v>4181</v>
      </c>
      <c r="L767" t="s">
        <v>1813</v>
      </c>
      <c r="M767">
        <v>30</v>
      </c>
      <c r="N767">
        <v>1260</v>
      </c>
      <c r="O767" t="s">
        <v>1818</v>
      </c>
      <c r="P767" s="12" t="str">
        <f>HYPERLINK("https://b2b.kobi.pl/pl/product/13323,przedluzacz-linea-3gn-1-5m-zu-w-bialy-kobi?currency=PLN")</f>
        <v>https://b2b.kobi.pl/pl/product/13323,przedluzacz-linea-3gn-1-5m-zu-w-bialy-kobi?currency=PLN</v>
      </c>
      <c r="Q767" t="s">
        <v>14</v>
      </c>
      <c r="R767" t="s">
        <v>4101</v>
      </c>
      <c r="S767" t="s">
        <v>2615</v>
      </c>
      <c r="T767">
        <v>0.1</v>
      </c>
      <c r="U767">
        <v>0.245</v>
      </c>
      <c r="V767">
        <v>0.25800000000000001</v>
      </c>
      <c r="W767">
        <v>32</v>
      </c>
      <c r="X767">
        <v>12</v>
      </c>
      <c r="Y767">
        <v>4.5</v>
      </c>
    </row>
    <row r="768" spans="1:25" ht="60" customHeight="1" x14ac:dyDescent="0.25">
      <c r="A768"/>
      <c r="B768" t="s">
        <v>621</v>
      </c>
      <c r="C768" t="s">
        <v>19</v>
      </c>
      <c r="D768" t="s">
        <v>618</v>
      </c>
      <c r="E768" t="s">
        <v>3541</v>
      </c>
      <c r="F768" t="s">
        <v>3455</v>
      </c>
      <c r="G768" t="s">
        <v>620</v>
      </c>
      <c r="H768" s="11">
        <v>95.94</v>
      </c>
      <c r="I768" s="10">
        <f>H768*(1-IFERROR(VLOOKUP(G768,Rabat!$C$9:$D$43,2,0),0))</f>
        <v>95.94</v>
      </c>
      <c r="J768"/>
      <c r="K768" t="s">
        <v>3504</v>
      </c>
      <c r="L768" t="s">
        <v>1813</v>
      </c>
      <c r="M768">
        <v>4</v>
      </c>
      <c r="N768">
        <v>364</v>
      </c>
      <c r="O768" t="s">
        <v>1818</v>
      </c>
      <c r="P768" s="12" t="str">
        <f>HYPERLINK("https://b2b.kobi.pl/pl/product/13154,przedluzacz-linea-g-1gn-25m-bu-2x1mm-pomaranczowy-kobi?currency=PLN")</f>
        <v>https://b2b.kobi.pl/pl/product/13154,przedluzacz-linea-g-1gn-25m-bu-2x1mm-pomaranczowy-kobi?currency=PLN</v>
      </c>
      <c r="Q768" t="s">
        <v>14</v>
      </c>
      <c r="R768"/>
      <c r="S768" t="s">
        <v>2615</v>
      </c>
      <c r="T768">
        <v>0.62</v>
      </c>
      <c r="U768">
        <v>1.6</v>
      </c>
      <c r="V768">
        <v>1.61</v>
      </c>
      <c r="W768">
        <v>21.5</v>
      </c>
      <c r="X768">
        <v>21.5</v>
      </c>
      <c r="Y768">
        <v>6.5</v>
      </c>
    </row>
    <row r="769" spans="1:25" ht="60" customHeight="1" x14ac:dyDescent="0.25">
      <c r="A769"/>
      <c r="B769" t="s">
        <v>621</v>
      </c>
      <c r="C769" t="s">
        <v>19</v>
      </c>
      <c r="D769" t="s">
        <v>618</v>
      </c>
      <c r="E769" t="s">
        <v>3921</v>
      </c>
      <c r="F769" t="s">
        <v>3922</v>
      </c>
      <c r="G769" t="s">
        <v>620</v>
      </c>
      <c r="H769" s="11">
        <v>21.73</v>
      </c>
      <c r="I769" s="10">
        <f>H769*(1-IFERROR(VLOOKUP(G769,Rabat!$C$9:$D$43,2,0),0))</f>
        <v>21.73</v>
      </c>
      <c r="J769" t="s">
        <v>1815</v>
      </c>
      <c r="K769" t="s">
        <v>4182</v>
      </c>
      <c r="L769" t="s">
        <v>1813</v>
      </c>
      <c r="M769">
        <v>30</v>
      </c>
      <c r="N769">
        <v>1260</v>
      </c>
      <c r="O769" t="s">
        <v>1818</v>
      </c>
      <c r="P769" s="12" t="str">
        <f>HYPERLINK("https://b2b.kobi.pl/pl/product/13327,przedluzacz-linea-3gn-1-5m-zu-czarny-kobi?currency=PLN")</f>
        <v>https://b2b.kobi.pl/pl/product/13327,przedluzacz-linea-3gn-1-5m-zu-czarny-kobi?currency=PLN</v>
      </c>
      <c r="Q769" t="s">
        <v>14</v>
      </c>
      <c r="R769" t="s">
        <v>4101</v>
      </c>
      <c r="S769" t="s">
        <v>2615</v>
      </c>
      <c r="T769">
        <v>0.09</v>
      </c>
      <c r="U769">
        <v>0.22</v>
      </c>
      <c r="V769">
        <v>0.23300000000000001</v>
      </c>
      <c r="W769">
        <v>32</v>
      </c>
      <c r="X769">
        <v>12</v>
      </c>
      <c r="Y769">
        <v>4.5</v>
      </c>
    </row>
    <row r="770" spans="1:25" ht="60" customHeight="1" x14ac:dyDescent="0.25">
      <c r="A770"/>
      <c r="B770" t="s">
        <v>621</v>
      </c>
      <c r="C770" t="s">
        <v>19</v>
      </c>
      <c r="D770" t="s">
        <v>618</v>
      </c>
      <c r="E770" t="s">
        <v>3923</v>
      </c>
      <c r="F770" t="s">
        <v>3924</v>
      </c>
      <c r="G770" t="s">
        <v>620</v>
      </c>
      <c r="H770" s="11">
        <v>23.59</v>
      </c>
      <c r="I770" s="10">
        <f>H770*(1-IFERROR(VLOOKUP(G770,Rabat!$C$9:$D$43,2,0),0))</f>
        <v>23.59</v>
      </c>
      <c r="J770" t="s">
        <v>1815</v>
      </c>
      <c r="K770" t="s">
        <v>4183</v>
      </c>
      <c r="L770" t="s">
        <v>1813</v>
      </c>
      <c r="M770">
        <v>20</v>
      </c>
      <c r="N770">
        <v>1300</v>
      </c>
      <c r="O770" t="s">
        <v>1818</v>
      </c>
      <c r="P770" s="12" t="str">
        <f>HYPERLINK("https://b2b.kobi.pl/pl/product/13330,przedluzacz-linea-4gn-1-5m-zu-czarny-kobi?currency=PLN")</f>
        <v>https://b2b.kobi.pl/pl/product/13330,przedluzacz-linea-4gn-1-5m-zu-czarny-kobi?currency=PLN</v>
      </c>
      <c r="Q770" t="s">
        <v>14</v>
      </c>
      <c r="R770" t="s">
        <v>4101</v>
      </c>
      <c r="S770" t="s">
        <v>2615</v>
      </c>
      <c r="T770">
        <v>0.09</v>
      </c>
      <c r="U770">
        <v>0.24</v>
      </c>
      <c r="V770">
        <v>0.25700000000000001</v>
      </c>
      <c r="W770">
        <v>37</v>
      </c>
      <c r="X770">
        <v>12</v>
      </c>
      <c r="Y770">
        <v>4.5</v>
      </c>
    </row>
    <row r="771" spans="1:25" ht="60" customHeight="1" x14ac:dyDescent="0.25">
      <c r="A771"/>
      <c r="B771" t="s">
        <v>621</v>
      </c>
      <c r="C771" t="s">
        <v>19</v>
      </c>
      <c r="D771" t="s">
        <v>618</v>
      </c>
      <c r="E771" t="s">
        <v>3925</v>
      </c>
      <c r="F771" t="s">
        <v>3926</v>
      </c>
      <c r="G771" t="s">
        <v>620</v>
      </c>
      <c r="H771" s="11">
        <v>25.4</v>
      </c>
      <c r="I771" s="10">
        <f>H771*(1-IFERROR(VLOOKUP(G771,Rabat!$C$9:$D$43,2,0),0))</f>
        <v>25.4</v>
      </c>
      <c r="J771" t="s">
        <v>1815</v>
      </c>
      <c r="K771" t="s">
        <v>4184</v>
      </c>
      <c r="L771" t="s">
        <v>1813</v>
      </c>
      <c r="M771">
        <v>20</v>
      </c>
      <c r="N771">
        <v>1200</v>
      </c>
      <c r="O771" t="s">
        <v>1818</v>
      </c>
      <c r="P771" s="12" t="str">
        <f>HYPERLINK("https://b2b.kobi.pl/pl/product/13331,przedluzacz-linea-5gn-1-5m-zu-czarny-kobi?currency=PLN")</f>
        <v>https://b2b.kobi.pl/pl/product/13331,przedluzacz-linea-5gn-1-5m-zu-czarny-kobi?currency=PLN</v>
      </c>
      <c r="Q771" t="s">
        <v>14</v>
      </c>
      <c r="R771" t="s">
        <v>4101</v>
      </c>
      <c r="S771" t="s">
        <v>2615</v>
      </c>
      <c r="T771">
        <v>0.1</v>
      </c>
      <c r="U771">
        <v>0.26</v>
      </c>
      <c r="V771">
        <v>0.27400000000000002</v>
      </c>
      <c r="W771">
        <v>39</v>
      </c>
      <c r="X771">
        <v>12</v>
      </c>
      <c r="Y771">
        <v>4.5</v>
      </c>
    </row>
    <row r="772" spans="1:25" ht="60" customHeight="1" x14ac:dyDescent="0.25">
      <c r="A772"/>
      <c r="B772" t="s">
        <v>621</v>
      </c>
      <c r="C772" t="s">
        <v>19</v>
      </c>
      <c r="D772" t="s">
        <v>618</v>
      </c>
      <c r="E772" t="s">
        <v>3927</v>
      </c>
      <c r="F772" t="s">
        <v>3928</v>
      </c>
      <c r="G772" t="s">
        <v>620</v>
      </c>
      <c r="H772" s="11">
        <v>31.67</v>
      </c>
      <c r="I772" s="10">
        <f>H772*(1-IFERROR(VLOOKUP(G772,Rabat!$C$9:$D$43,2,0),0))</f>
        <v>31.67</v>
      </c>
      <c r="J772" t="s">
        <v>1815</v>
      </c>
      <c r="K772" t="s">
        <v>4185</v>
      </c>
      <c r="L772" t="s">
        <v>1813</v>
      </c>
      <c r="M772">
        <v>30</v>
      </c>
      <c r="N772">
        <v>1080</v>
      </c>
      <c r="O772" t="s">
        <v>1818</v>
      </c>
      <c r="P772" s="12" t="str">
        <f>HYPERLINK("https://b2b.kobi.pl/pl/product/13332,przedluzacz-linea-3gn-3m-zu-czarny-kobi?currency=PLN")</f>
        <v>https://b2b.kobi.pl/pl/product/13332,przedluzacz-linea-3gn-3m-zu-czarny-kobi?currency=PLN</v>
      </c>
      <c r="Q772" t="s">
        <v>14</v>
      </c>
      <c r="R772" t="s">
        <v>4101</v>
      </c>
      <c r="S772" t="s">
        <v>2615</v>
      </c>
      <c r="T772">
        <v>0.12</v>
      </c>
      <c r="U772">
        <v>0.32</v>
      </c>
      <c r="V772">
        <v>0.33500000000000002</v>
      </c>
      <c r="W772">
        <v>34</v>
      </c>
      <c r="X772">
        <v>14</v>
      </c>
      <c r="Y772">
        <v>4.5</v>
      </c>
    </row>
    <row r="773" spans="1:25" ht="60" customHeight="1" x14ac:dyDescent="0.25">
      <c r="A773"/>
      <c r="B773" t="s">
        <v>621</v>
      </c>
      <c r="C773" t="s">
        <v>19</v>
      </c>
      <c r="D773" t="s">
        <v>618</v>
      </c>
      <c r="E773" t="s">
        <v>3929</v>
      </c>
      <c r="F773" t="s">
        <v>3930</v>
      </c>
      <c r="G773" t="s">
        <v>620</v>
      </c>
      <c r="H773" s="11">
        <v>33.520000000000003</v>
      </c>
      <c r="I773" s="10">
        <f>H773*(1-IFERROR(VLOOKUP(G773,Rabat!$C$9:$D$43,2,0),0))</f>
        <v>33.520000000000003</v>
      </c>
      <c r="J773" t="s">
        <v>1815</v>
      </c>
      <c r="K773" t="s">
        <v>4186</v>
      </c>
      <c r="L773" t="s">
        <v>1813</v>
      </c>
      <c r="M773">
        <v>20</v>
      </c>
      <c r="N773"/>
      <c r="O773" t="s">
        <v>1818</v>
      </c>
      <c r="P773" s="12" t="str">
        <f>HYPERLINK("https://b2b.kobi.pl/pl/product/13333,przedluzacz-linea-4gn-3m-zu-czarny-kobi?currency=PLN")</f>
        <v>https://b2b.kobi.pl/pl/product/13333,przedluzacz-linea-4gn-3m-zu-czarny-kobi?currency=PLN</v>
      </c>
      <c r="Q773" t="s">
        <v>14</v>
      </c>
      <c r="R773" t="s">
        <v>4101</v>
      </c>
      <c r="S773" t="s">
        <v>2615</v>
      </c>
      <c r="T773">
        <v>0.13</v>
      </c>
      <c r="U773">
        <v>0.34200000000000003</v>
      </c>
      <c r="V773">
        <v>0.35699999999999998</v>
      </c>
      <c r="W773">
        <v>33</v>
      </c>
      <c r="X773">
        <v>14</v>
      </c>
      <c r="Y773">
        <v>4.5</v>
      </c>
    </row>
    <row r="774" spans="1:25" ht="60" customHeight="1" x14ac:dyDescent="0.25">
      <c r="A774"/>
      <c r="B774" t="s">
        <v>621</v>
      </c>
      <c r="C774" t="s">
        <v>19</v>
      </c>
      <c r="D774" t="s">
        <v>618</v>
      </c>
      <c r="E774" t="s">
        <v>3931</v>
      </c>
      <c r="F774" t="s">
        <v>3932</v>
      </c>
      <c r="G774" t="s">
        <v>620</v>
      </c>
      <c r="H774" s="11">
        <v>35.33</v>
      </c>
      <c r="I774" s="10">
        <f>H774*(1-IFERROR(VLOOKUP(G774,Rabat!$C$9:$D$43,2,0),0))</f>
        <v>35.33</v>
      </c>
      <c r="J774" t="s">
        <v>1815</v>
      </c>
      <c r="K774" t="s">
        <v>4187</v>
      </c>
      <c r="L774" t="s">
        <v>1813</v>
      </c>
      <c r="M774">
        <v>20</v>
      </c>
      <c r="N774">
        <v>720</v>
      </c>
      <c r="O774" t="s">
        <v>1818</v>
      </c>
      <c r="P774" s="12" t="str">
        <f>HYPERLINK("https://b2b.kobi.pl/pl/product/13334,przedluzacz-linea-5gn-3m-zu-czarny-kobi?currency=PLN")</f>
        <v>https://b2b.kobi.pl/pl/product/13334,przedluzacz-linea-5gn-3m-zu-czarny-kobi?currency=PLN</v>
      </c>
      <c r="Q774" t="s">
        <v>14</v>
      </c>
      <c r="R774" t="s">
        <v>4101</v>
      </c>
      <c r="S774" t="s">
        <v>2615</v>
      </c>
      <c r="T774">
        <v>0.14000000000000001</v>
      </c>
      <c r="U774">
        <v>0.36299999999999999</v>
      </c>
      <c r="V774">
        <v>0.375</v>
      </c>
      <c r="W774">
        <v>38</v>
      </c>
      <c r="X774">
        <v>14</v>
      </c>
      <c r="Y774">
        <v>4.5</v>
      </c>
    </row>
    <row r="775" spans="1:25" ht="60" customHeight="1" x14ac:dyDescent="0.25">
      <c r="A775"/>
      <c r="B775" t="s">
        <v>621</v>
      </c>
      <c r="C775" t="s">
        <v>19</v>
      </c>
      <c r="D775" t="s">
        <v>618</v>
      </c>
      <c r="E775" t="s">
        <v>3933</v>
      </c>
      <c r="F775" t="s">
        <v>3934</v>
      </c>
      <c r="G775" t="s">
        <v>620</v>
      </c>
      <c r="H775" s="11">
        <v>43.09</v>
      </c>
      <c r="I775" s="10">
        <f>H775*(1-IFERROR(VLOOKUP(G775,Rabat!$C$9:$D$43,2,0),0))</f>
        <v>43.09</v>
      </c>
      <c r="J775" t="s">
        <v>1815</v>
      </c>
      <c r="K775" t="s">
        <v>4188</v>
      </c>
      <c r="L775" t="s">
        <v>1813</v>
      </c>
      <c r="M775">
        <v>30</v>
      </c>
      <c r="N775">
        <v>900</v>
      </c>
      <c r="O775" t="s">
        <v>1818</v>
      </c>
      <c r="P775" s="12" t="str">
        <f>HYPERLINK("https://b2b.kobi.pl/pl/product/13335,przedluzacz-linea-3gn-5m-zu-czarny-kobi?currency=PLN")</f>
        <v>https://b2b.kobi.pl/pl/product/13335,przedluzacz-linea-3gn-5m-zu-czarny-kobi?currency=PLN</v>
      </c>
      <c r="Q775" t="s">
        <v>14</v>
      </c>
      <c r="R775" t="s">
        <v>4101</v>
      </c>
      <c r="S775" t="s">
        <v>2615</v>
      </c>
      <c r="T775">
        <v>0.18</v>
      </c>
      <c r="U775">
        <v>0.45</v>
      </c>
      <c r="V775">
        <v>0.47</v>
      </c>
      <c r="W775">
        <v>34</v>
      </c>
      <c r="X775">
        <v>14</v>
      </c>
      <c r="Y775">
        <v>4.5</v>
      </c>
    </row>
    <row r="776" spans="1:25" ht="60" customHeight="1" x14ac:dyDescent="0.25">
      <c r="A776"/>
      <c r="B776" t="s">
        <v>621</v>
      </c>
      <c r="C776" t="s">
        <v>19</v>
      </c>
      <c r="D776" t="s">
        <v>618</v>
      </c>
      <c r="E776" t="s">
        <v>3935</v>
      </c>
      <c r="F776" t="s">
        <v>3936</v>
      </c>
      <c r="G776" t="s">
        <v>620</v>
      </c>
      <c r="H776" s="11">
        <v>44.9</v>
      </c>
      <c r="I776" s="10">
        <f>H776*(1-IFERROR(VLOOKUP(G776,Rabat!$C$9:$D$43,2,0),0))</f>
        <v>44.9</v>
      </c>
      <c r="J776" t="s">
        <v>1815</v>
      </c>
      <c r="K776" t="s">
        <v>4189</v>
      </c>
      <c r="L776" t="s">
        <v>1813</v>
      </c>
      <c r="M776">
        <v>20</v>
      </c>
      <c r="N776">
        <v>720</v>
      </c>
      <c r="O776" t="s">
        <v>1818</v>
      </c>
      <c r="P776" s="12" t="str">
        <f>HYPERLINK("https://b2b.kobi.pl/pl/product/13336,przedluzacz-linea-4gn-5m-zu-czarny-kobi?currency=PLN")</f>
        <v>https://b2b.kobi.pl/pl/product/13336,przedluzacz-linea-4gn-5m-zu-czarny-kobi?currency=PLN</v>
      </c>
      <c r="Q776" t="s">
        <v>14</v>
      </c>
      <c r="R776" t="s">
        <v>4101</v>
      </c>
      <c r="S776" t="s">
        <v>2615</v>
      </c>
      <c r="T776">
        <v>0.19</v>
      </c>
      <c r="U776">
        <v>0.48</v>
      </c>
      <c r="V776">
        <v>0.495</v>
      </c>
      <c r="W776">
        <v>35</v>
      </c>
      <c r="X776">
        <v>14</v>
      </c>
      <c r="Y776">
        <v>4.5</v>
      </c>
    </row>
    <row r="777" spans="1:25" ht="60" customHeight="1" x14ac:dyDescent="0.25">
      <c r="A777"/>
      <c r="B777" t="s">
        <v>621</v>
      </c>
      <c r="C777" t="s">
        <v>19</v>
      </c>
      <c r="D777" t="s">
        <v>618</v>
      </c>
      <c r="E777" t="s">
        <v>3937</v>
      </c>
      <c r="F777" t="s">
        <v>3938</v>
      </c>
      <c r="G777" t="s">
        <v>620</v>
      </c>
      <c r="H777" s="11">
        <v>46.57</v>
      </c>
      <c r="I777" s="10">
        <f>H777*(1-IFERROR(VLOOKUP(G777,Rabat!$C$9:$D$43,2,0),0))</f>
        <v>46.57</v>
      </c>
      <c r="J777" t="s">
        <v>1815</v>
      </c>
      <c r="K777" t="s">
        <v>4190</v>
      </c>
      <c r="L777" t="s">
        <v>1813</v>
      </c>
      <c r="M777">
        <v>20</v>
      </c>
      <c r="N777">
        <v>600</v>
      </c>
      <c r="O777" t="s">
        <v>1818</v>
      </c>
      <c r="P777" s="12" t="str">
        <f>HYPERLINK("https://b2b.kobi.pl/pl/product/13337,przedluzacz-linea-5gn-5m-zu-czarny-kobi?currency=PLN")</f>
        <v>https://b2b.kobi.pl/pl/product/13337,przedluzacz-linea-5gn-5m-zu-czarny-kobi?currency=PLN</v>
      </c>
      <c r="Q777" t="s">
        <v>14</v>
      </c>
      <c r="R777" t="s">
        <v>4101</v>
      </c>
      <c r="S777" t="s">
        <v>2615</v>
      </c>
      <c r="T777">
        <v>0.19</v>
      </c>
      <c r="U777">
        <v>0.497</v>
      </c>
      <c r="V777">
        <v>0.51500000000000001</v>
      </c>
      <c r="W777">
        <v>39</v>
      </c>
      <c r="X777">
        <v>14</v>
      </c>
      <c r="Y777">
        <v>4.5</v>
      </c>
    </row>
    <row r="778" spans="1:25" ht="60" customHeight="1" x14ac:dyDescent="0.25">
      <c r="A778"/>
      <c r="B778" t="s">
        <v>621</v>
      </c>
      <c r="C778" t="s">
        <v>19</v>
      </c>
      <c r="D778" t="s">
        <v>618</v>
      </c>
      <c r="E778" t="s">
        <v>3939</v>
      </c>
      <c r="F778" t="s">
        <v>3940</v>
      </c>
      <c r="G778" t="s">
        <v>620</v>
      </c>
      <c r="H778" s="11">
        <v>24.47</v>
      </c>
      <c r="I778" s="10">
        <f>H778*(1-IFERROR(VLOOKUP(G778,Rabat!$C$9:$D$43,2,0),0))</f>
        <v>24.47</v>
      </c>
      <c r="J778" t="s">
        <v>1815</v>
      </c>
      <c r="K778" t="s">
        <v>4191</v>
      </c>
      <c r="L778" t="s">
        <v>1813</v>
      </c>
      <c r="M778">
        <v>30</v>
      </c>
      <c r="N778">
        <v>1260</v>
      </c>
      <c r="O778" t="s">
        <v>1818</v>
      </c>
      <c r="P778" s="12" t="str">
        <f>HYPERLINK("https://b2b.kobi.pl/pl/product/13338,przedluzacz-linea-3gn-1-5m-zu-w-czarny-kobi?currency=PLN")</f>
        <v>https://b2b.kobi.pl/pl/product/13338,przedluzacz-linea-3gn-1-5m-zu-w-czarny-kobi?currency=PLN</v>
      </c>
      <c r="Q778" t="s">
        <v>14</v>
      </c>
      <c r="R778" t="s">
        <v>4101</v>
      </c>
      <c r="S778" t="s">
        <v>2615</v>
      </c>
      <c r="T778">
        <v>0.1</v>
      </c>
      <c r="U778">
        <v>0.245</v>
      </c>
      <c r="V778">
        <v>0.25700000000000001</v>
      </c>
      <c r="W778">
        <v>32</v>
      </c>
      <c r="X778">
        <v>12</v>
      </c>
      <c r="Y778">
        <v>4.5</v>
      </c>
    </row>
    <row r="779" spans="1:25" ht="60" customHeight="1" x14ac:dyDescent="0.25">
      <c r="A779"/>
      <c r="B779" t="s">
        <v>621</v>
      </c>
      <c r="C779" t="s">
        <v>19</v>
      </c>
      <c r="D779" t="s">
        <v>618</v>
      </c>
      <c r="E779" t="s">
        <v>3941</v>
      </c>
      <c r="F779" t="s">
        <v>3942</v>
      </c>
      <c r="G779" t="s">
        <v>620</v>
      </c>
      <c r="H779" s="11">
        <v>34.590000000000003</v>
      </c>
      <c r="I779" s="10">
        <f>H779*(1-IFERROR(VLOOKUP(G779,Rabat!$C$9:$D$43,2,0),0))</f>
        <v>34.590000000000003</v>
      </c>
      <c r="J779" t="s">
        <v>1815</v>
      </c>
      <c r="K779" t="s">
        <v>4192</v>
      </c>
      <c r="L779" t="s">
        <v>1813</v>
      </c>
      <c r="M779">
        <v>30</v>
      </c>
      <c r="N779">
        <v>1080</v>
      </c>
      <c r="O779" t="s">
        <v>1818</v>
      </c>
      <c r="P779" s="12" t="str">
        <f>HYPERLINK("https://b2b.kobi.pl/pl/product/13340,przedluzacz-linea-3gn-3m-zu-w-czarny-kobi?currency=PLN")</f>
        <v>https://b2b.kobi.pl/pl/product/13340,przedluzacz-linea-3gn-3m-zu-w-czarny-kobi?currency=PLN</v>
      </c>
      <c r="Q779" t="s">
        <v>14</v>
      </c>
      <c r="R779" t="s">
        <v>4101</v>
      </c>
      <c r="S779" t="s">
        <v>2615</v>
      </c>
      <c r="T779">
        <v>0.13</v>
      </c>
      <c r="U779">
        <v>0.34300000000000003</v>
      </c>
      <c r="V779">
        <v>0.35699999999999998</v>
      </c>
      <c r="W779">
        <v>34</v>
      </c>
      <c r="X779">
        <v>14</v>
      </c>
      <c r="Y779">
        <v>4.5</v>
      </c>
    </row>
    <row r="780" spans="1:25" ht="60" customHeight="1" x14ac:dyDescent="0.25">
      <c r="A780"/>
      <c r="B780" t="s">
        <v>621</v>
      </c>
      <c r="C780" t="s">
        <v>19</v>
      </c>
      <c r="D780" t="s">
        <v>618</v>
      </c>
      <c r="E780" t="s">
        <v>3943</v>
      </c>
      <c r="F780" t="s">
        <v>3944</v>
      </c>
      <c r="G780" t="s">
        <v>620</v>
      </c>
      <c r="H780" s="11">
        <v>47.87</v>
      </c>
      <c r="I780" s="10">
        <f>H780*(1-IFERROR(VLOOKUP(G780,Rabat!$C$9:$D$43,2,0),0))</f>
        <v>47.87</v>
      </c>
      <c r="J780" t="s">
        <v>1815</v>
      </c>
      <c r="K780" t="s">
        <v>4193</v>
      </c>
      <c r="L780" t="s">
        <v>1813</v>
      </c>
      <c r="M780">
        <v>30</v>
      </c>
      <c r="N780">
        <v>900</v>
      </c>
      <c r="O780" t="s">
        <v>1818</v>
      </c>
      <c r="P780" s="12" t="str">
        <f>HYPERLINK("https://b2b.kobi.pl/pl/product/13342,przedluzacz-linea-3gn-5m-zu-w-czarny-kobi?currency=PLN")</f>
        <v>https://b2b.kobi.pl/pl/product/13342,przedluzacz-linea-3gn-5m-zu-w-czarny-kobi?currency=PLN</v>
      </c>
      <c r="Q780" t="s">
        <v>14</v>
      </c>
      <c r="R780" t="s">
        <v>4101</v>
      </c>
      <c r="S780" t="s">
        <v>2615</v>
      </c>
      <c r="T780">
        <v>0.15</v>
      </c>
      <c r="U780">
        <v>0.38300000000000001</v>
      </c>
      <c r="V780">
        <v>0.39800000000000002</v>
      </c>
      <c r="W780">
        <v>34</v>
      </c>
      <c r="X780">
        <v>14</v>
      </c>
      <c r="Y780">
        <v>4.5</v>
      </c>
    </row>
    <row r="781" spans="1:25" ht="60" customHeight="1" x14ac:dyDescent="0.25">
      <c r="A781"/>
      <c r="B781" t="s">
        <v>621</v>
      </c>
      <c r="C781" t="s">
        <v>19</v>
      </c>
      <c r="D781" t="s">
        <v>618</v>
      </c>
      <c r="E781" t="s">
        <v>3945</v>
      </c>
      <c r="F781" t="s">
        <v>3946</v>
      </c>
      <c r="G781" t="s">
        <v>620</v>
      </c>
      <c r="H781" s="11">
        <v>51.53</v>
      </c>
      <c r="I781" s="10">
        <f>H781*(1-IFERROR(VLOOKUP(G781,Rabat!$C$9:$D$43,2,0),0))</f>
        <v>51.53</v>
      </c>
      <c r="J781" t="s">
        <v>1815</v>
      </c>
      <c r="K781" t="s">
        <v>4194</v>
      </c>
      <c r="L781" t="s">
        <v>1813</v>
      </c>
      <c r="M781">
        <v>20</v>
      </c>
      <c r="N781">
        <v>600</v>
      </c>
      <c r="O781" t="s">
        <v>1818</v>
      </c>
      <c r="P781" s="12" t="str">
        <f>HYPERLINK("https://b2b.kobi.pl/pl/product/13343,przedluzacz-linea-5gn-5m-zu-w-czarny-kobi?currency=PLN")</f>
        <v>https://b2b.kobi.pl/pl/product/13343,przedluzacz-linea-5gn-5m-zu-w-czarny-kobi?currency=PLN</v>
      </c>
      <c r="Q781" t="s">
        <v>14</v>
      </c>
      <c r="R781" t="s">
        <v>4101</v>
      </c>
      <c r="S781" t="s">
        <v>2615</v>
      </c>
      <c r="T781">
        <v>0.2</v>
      </c>
      <c r="U781">
        <v>0.51</v>
      </c>
      <c r="V781">
        <v>0.53600000000000003</v>
      </c>
      <c r="W781">
        <v>36</v>
      </c>
      <c r="X781">
        <v>14</v>
      </c>
      <c r="Y781">
        <v>4.5</v>
      </c>
    </row>
    <row r="782" spans="1:25" ht="60" customHeight="1" x14ac:dyDescent="0.25">
      <c r="A782"/>
      <c r="B782" t="s">
        <v>621</v>
      </c>
      <c r="C782" t="s">
        <v>19</v>
      </c>
      <c r="D782" t="s">
        <v>618</v>
      </c>
      <c r="E782" t="s">
        <v>3947</v>
      </c>
      <c r="F782" t="s">
        <v>3948</v>
      </c>
      <c r="G782" t="s">
        <v>620</v>
      </c>
      <c r="H782" s="11">
        <v>28</v>
      </c>
      <c r="I782" s="10">
        <f>H782*(1-IFERROR(VLOOKUP(G782,Rabat!$C$9:$D$43,2,0),0))</f>
        <v>28</v>
      </c>
      <c r="J782" t="s">
        <v>1815</v>
      </c>
      <c r="K782" t="s">
        <v>4195</v>
      </c>
      <c r="L782" t="s">
        <v>1813</v>
      </c>
      <c r="M782">
        <v>20</v>
      </c>
      <c r="N782">
        <v>1200</v>
      </c>
      <c r="O782" t="s">
        <v>1818</v>
      </c>
      <c r="P782" s="12" t="str">
        <f>HYPERLINK("https://b2b.kobi.pl/pl/product/13348,przedluzacz-linea-5gn-1-5m-zu-w-czarny-kobi?currency=PLN")</f>
        <v>https://b2b.kobi.pl/pl/product/13348,przedluzacz-linea-5gn-1-5m-zu-w-czarny-kobi?currency=PLN</v>
      </c>
      <c r="Q782" t="s">
        <v>14</v>
      </c>
      <c r="R782" t="s">
        <v>4101</v>
      </c>
      <c r="S782" t="s">
        <v>2615</v>
      </c>
      <c r="T782">
        <v>0.11</v>
      </c>
      <c r="U782">
        <v>0.28199999999999997</v>
      </c>
      <c r="V782">
        <v>0.29699999999999999</v>
      </c>
      <c r="W782">
        <v>40</v>
      </c>
      <c r="X782">
        <v>12</v>
      </c>
      <c r="Y782">
        <v>4.5</v>
      </c>
    </row>
    <row r="783" spans="1:25" ht="60" customHeight="1" x14ac:dyDescent="0.25">
      <c r="A783"/>
      <c r="B783" t="s">
        <v>621</v>
      </c>
      <c r="C783" t="s">
        <v>19</v>
      </c>
      <c r="D783" t="s">
        <v>618</v>
      </c>
      <c r="E783" t="s">
        <v>3949</v>
      </c>
      <c r="F783" t="s">
        <v>3950</v>
      </c>
      <c r="G783" t="s">
        <v>620</v>
      </c>
      <c r="H783" s="11">
        <v>28</v>
      </c>
      <c r="I783" s="10">
        <f>H783*(1-IFERROR(VLOOKUP(G783,Rabat!$C$9:$D$43,2,0),0))</f>
        <v>28</v>
      </c>
      <c r="J783" t="s">
        <v>1815</v>
      </c>
      <c r="K783" t="s">
        <v>4196</v>
      </c>
      <c r="L783" t="s">
        <v>1813</v>
      </c>
      <c r="M783">
        <v>20</v>
      </c>
      <c r="N783">
        <v>1200</v>
      </c>
      <c r="O783" t="s">
        <v>1818</v>
      </c>
      <c r="P783" s="12" t="str">
        <f>HYPERLINK("https://b2b.kobi.pl/pl/product/13349,przedluzacz-linea-5gn-1-5m-zu-w-bialy-kobi?currency=PLN")</f>
        <v>https://b2b.kobi.pl/pl/product/13349,przedluzacz-linea-5gn-1-5m-zu-w-bialy-kobi?currency=PLN</v>
      </c>
      <c r="Q783" t="s">
        <v>14</v>
      </c>
      <c r="R783" t="s">
        <v>4101</v>
      </c>
      <c r="S783" t="s">
        <v>2615</v>
      </c>
      <c r="T783">
        <v>0.11</v>
      </c>
      <c r="U783">
        <v>0.28000000000000003</v>
      </c>
      <c r="V783">
        <v>0.29799999999999999</v>
      </c>
      <c r="W783">
        <v>32</v>
      </c>
      <c r="X783">
        <v>12</v>
      </c>
      <c r="Y783">
        <v>4.5</v>
      </c>
    </row>
    <row r="784" spans="1:25" ht="60" customHeight="1" x14ac:dyDescent="0.25">
      <c r="A784"/>
      <c r="B784" t="s">
        <v>621</v>
      </c>
      <c r="C784" t="s">
        <v>19</v>
      </c>
      <c r="D784" t="s">
        <v>618</v>
      </c>
      <c r="E784" t="s">
        <v>3951</v>
      </c>
      <c r="F784" t="s">
        <v>3952</v>
      </c>
      <c r="G784" t="s">
        <v>620</v>
      </c>
      <c r="H784" s="11">
        <v>38.299999999999997</v>
      </c>
      <c r="I784" s="10">
        <f>H784*(1-IFERROR(VLOOKUP(G784,Rabat!$C$9:$D$43,2,0),0))</f>
        <v>38.299999999999997</v>
      </c>
      <c r="J784" t="s">
        <v>1815</v>
      </c>
      <c r="K784" t="s">
        <v>4197</v>
      </c>
      <c r="L784" t="s">
        <v>1813</v>
      </c>
      <c r="M784">
        <v>20</v>
      </c>
      <c r="N784">
        <v>720</v>
      </c>
      <c r="O784" t="s">
        <v>1818</v>
      </c>
      <c r="P784" s="12" t="str">
        <f>HYPERLINK("https://b2b.kobi.pl/pl/product/13341,przedluzacz-linea-5gn-3m-zu-w-czarny-kobi?currency=PLN")</f>
        <v>https://b2b.kobi.pl/pl/product/13341,przedluzacz-linea-5gn-3m-zu-w-czarny-kobi?currency=PLN</v>
      </c>
      <c r="Q784" t="s">
        <v>14</v>
      </c>
      <c r="R784" t="s">
        <v>4101</v>
      </c>
      <c r="S784" t="s">
        <v>2615</v>
      </c>
      <c r="T784">
        <v>0.15</v>
      </c>
      <c r="U784">
        <v>0.38300000000000001</v>
      </c>
      <c r="V784">
        <v>0.39800000000000002</v>
      </c>
      <c r="W784">
        <v>34</v>
      </c>
      <c r="X784">
        <v>14</v>
      </c>
      <c r="Y784">
        <v>4.5</v>
      </c>
    </row>
    <row r="785" spans="1:25" ht="60" customHeight="1" x14ac:dyDescent="0.25">
      <c r="A785"/>
      <c r="B785" t="s">
        <v>621</v>
      </c>
      <c r="C785" t="s">
        <v>19</v>
      </c>
      <c r="D785" t="s">
        <v>618</v>
      </c>
      <c r="E785" t="s">
        <v>3953</v>
      </c>
      <c r="F785" t="s">
        <v>3954</v>
      </c>
      <c r="G785" t="s">
        <v>620</v>
      </c>
      <c r="H785" s="11">
        <v>42.9</v>
      </c>
      <c r="I785" s="10">
        <f>H785*(1-IFERROR(VLOOKUP(G785,Rabat!$C$9:$D$43,2,0),0))</f>
        <v>42.9</v>
      </c>
      <c r="J785" t="s">
        <v>1815</v>
      </c>
      <c r="K785" t="s">
        <v>4198</v>
      </c>
      <c r="L785" t="s">
        <v>1813</v>
      </c>
      <c r="M785">
        <v>60</v>
      </c>
      <c r="N785"/>
      <c r="O785" t="s">
        <v>1818</v>
      </c>
      <c r="P785" s="12" t="str">
        <f>HYPERLINK("https://b2b.kobi.pl/pl/product/13329,rozgaleznik-linea-pro-fl3-2gn-2usb-1usb-c-4000k-bialy-kobi?currency=PLN")</f>
        <v>https://b2b.kobi.pl/pl/product/13329,rozgaleznik-linea-pro-fl3-2gn-2usb-1usb-c-4000k-bialy-kobi?currency=PLN</v>
      </c>
      <c r="Q785" t="s">
        <v>14</v>
      </c>
      <c r="R785" t="s">
        <v>4101</v>
      </c>
      <c r="S785" t="s">
        <v>2615</v>
      </c>
      <c r="T785">
        <v>7.0000000000000007E-2</v>
      </c>
      <c r="U785">
        <v>0.16900000000000001</v>
      </c>
      <c r="V785">
        <v>0.22600000000000001</v>
      </c>
      <c r="W785">
        <v>16</v>
      </c>
      <c r="X785">
        <v>8</v>
      </c>
      <c r="Y785">
        <v>12.5</v>
      </c>
    </row>
    <row r="786" spans="1:25" ht="60" customHeight="1" x14ac:dyDescent="0.25">
      <c r="A786"/>
      <c r="B786" t="s">
        <v>621</v>
      </c>
      <c r="C786" t="s">
        <v>19</v>
      </c>
      <c r="D786" t="s">
        <v>618</v>
      </c>
      <c r="E786" t="s">
        <v>3955</v>
      </c>
      <c r="F786" t="s">
        <v>3956</v>
      </c>
      <c r="G786" t="s">
        <v>620</v>
      </c>
      <c r="H786" s="11">
        <v>42.9</v>
      </c>
      <c r="I786" s="10">
        <f>H786*(1-IFERROR(VLOOKUP(G786,Rabat!$C$9:$D$43,2,0),0))</f>
        <v>42.9</v>
      </c>
      <c r="J786" t="s">
        <v>1815</v>
      </c>
      <c r="K786" t="s">
        <v>4199</v>
      </c>
      <c r="L786" t="s">
        <v>1813</v>
      </c>
      <c r="M786">
        <v>60</v>
      </c>
      <c r="N786"/>
      <c r="O786" t="s">
        <v>1818</v>
      </c>
      <c r="P786" s="12" t="str">
        <f>HYPERLINK("https://b2b.kobi.pl/pl/product/13328,rozgaleznik-linea-pro-fl3-2gn-2usb-1usb-c-4000k-czarny-kobi?currency=PLN")</f>
        <v>https://b2b.kobi.pl/pl/product/13328,rozgaleznik-linea-pro-fl3-2gn-2usb-1usb-c-4000k-czarny-kobi?currency=PLN</v>
      </c>
      <c r="Q786" t="s">
        <v>14</v>
      </c>
      <c r="R786" t="s">
        <v>4101</v>
      </c>
      <c r="S786" t="s">
        <v>2615</v>
      </c>
      <c r="T786">
        <v>7.0000000000000007E-2</v>
      </c>
      <c r="U786">
        <v>0.16900000000000001</v>
      </c>
      <c r="V786">
        <v>0.22600000000000001</v>
      </c>
      <c r="W786">
        <v>16</v>
      </c>
      <c r="X786">
        <v>8</v>
      </c>
      <c r="Y786">
        <v>12.5</v>
      </c>
    </row>
    <row r="787" spans="1:25" ht="60" customHeight="1" x14ac:dyDescent="0.25">
      <c r="A787"/>
      <c r="B787" t="s">
        <v>4</v>
      </c>
      <c r="C787" t="s">
        <v>3736</v>
      </c>
      <c r="D787" t="s">
        <v>644</v>
      </c>
      <c r="E787" t="s">
        <v>785</v>
      </c>
      <c r="F787" t="s">
        <v>786</v>
      </c>
      <c r="G787" t="s">
        <v>678</v>
      </c>
      <c r="H787" s="11">
        <v>170.38</v>
      </c>
      <c r="I787" s="10">
        <f>H787*(1-IFERROR(VLOOKUP(G787,Rabat!$C$9:$D$43,2,0),0))</f>
        <v>170.38</v>
      </c>
      <c r="J787" t="s">
        <v>1815</v>
      </c>
      <c r="K787" t="s">
        <v>454</v>
      </c>
      <c r="L787" t="s">
        <v>1813</v>
      </c>
      <c r="M787">
        <v>20</v>
      </c>
      <c r="N787"/>
      <c r="O787" t="s">
        <v>1818</v>
      </c>
      <c r="P787" s="12" t="str">
        <f>HYPERLINK("https://b2b.kobi.pl/pl/product/9796,lampa-podlogowa-play-sl-6w-rgb-kobi-design?currency=PLN")</f>
        <v>https://b2b.kobi.pl/pl/product/9796,lampa-podlogowa-play-sl-6w-rgb-kobi-design?currency=PLN</v>
      </c>
      <c r="Q787" t="s">
        <v>14</v>
      </c>
      <c r="R787" t="s">
        <v>1945</v>
      </c>
      <c r="S787" t="s">
        <v>2616</v>
      </c>
      <c r="T787">
        <v>0.54</v>
      </c>
      <c r="U787">
        <v>0.64</v>
      </c>
      <c r="V787">
        <v>1.42</v>
      </c>
      <c r="W787">
        <v>125</v>
      </c>
      <c r="X787">
        <v>8</v>
      </c>
      <c r="Y787">
        <v>8</v>
      </c>
    </row>
    <row r="788" spans="1:25" ht="60" customHeight="1" x14ac:dyDescent="0.25">
      <c r="A788"/>
      <c r="B788" t="s">
        <v>4</v>
      </c>
      <c r="C788" t="s">
        <v>3736</v>
      </c>
      <c r="D788" t="s">
        <v>644</v>
      </c>
      <c r="E788" t="s">
        <v>684</v>
      </c>
      <c r="F788" t="s">
        <v>685</v>
      </c>
      <c r="G788" t="s">
        <v>678</v>
      </c>
      <c r="H788" s="11">
        <v>114.33</v>
      </c>
      <c r="I788" s="10">
        <f>H788*(1-IFERROR(VLOOKUP(G788,Rabat!$C$9:$D$43,2,0),0))</f>
        <v>114.33</v>
      </c>
      <c r="J788" t="s">
        <v>1815</v>
      </c>
      <c r="K788" t="s">
        <v>460</v>
      </c>
      <c r="L788" t="s">
        <v>1813</v>
      </c>
      <c r="M788">
        <v>20</v>
      </c>
      <c r="N788"/>
      <c r="O788" t="s">
        <v>1818</v>
      </c>
      <c r="P788" s="12" t="str">
        <f>HYPERLINK("https://b2b.kobi.pl/pl/product/9798,kinkiet-led-lumireflect-8w-4000k-czarny-kobi-design?currency=PLN")</f>
        <v>https://b2b.kobi.pl/pl/product/9798,kinkiet-led-lumireflect-8w-4000k-czarny-kobi-design?currency=PLN</v>
      </c>
      <c r="Q788" s="12" t="str">
        <f>HYPERLINK("https://eprel.ec.europa.eu/qr/1959986")</f>
        <v>https://eprel.ec.europa.eu/qr/1959986</v>
      </c>
      <c r="R788"/>
      <c r="S788" t="s">
        <v>2610</v>
      </c>
      <c r="T788">
        <v>0.23</v>
      </c>
      <c r="U788">
        <v>0.27</v>
      </c>
      <c r="V788">
        <v>0.375</v>
      </c>
      <c r="W788">
        <v>41.5</v>
      </c>
      <c r="X788">
        <v>12</v>
      </c>
      <c r="Y788">
        <v>5</v>
      </c>
    </row>
    <row r="789" spans="1:25" ht="60" customHeight="1" x14ac:dyDescent="0.25">
      <c r="A789"/>
      <c r="B789" t="s">
        <v>4</v>
      </c>
      <c r="C789" t="s">
        <v>3736</v>
      </c>
      <c r="D789" t="s">
        <v>644</v>
      </c>
      <c r="E789" t="s">
        <v>686</v>
      </c>
      <c r="F789" t="s">
        <v>687</v>
      </c>
      <c r="G789" t="s">
        <v>678</v>
      </c>
      <c r="H789" s="11">
        <v>116.43</v>
      </c>
      <c r="I789" s="10">
        <f>H789*(1-IFERROR(VLOOKUP(G789,Rabat!$C$9:$D$43,2,0),0))</f>
        <v>116.43</v>
      </c>
      <c r="J789" t="s">
        <v>1815</v>
      </c>
      <c r="K789" t="s">
        <v>461</v>
      </c>
      <c r="L789" t="s">
        <v>1813</v>
      </c>
      <c r="M789">
        <v>20</v>
      </c>
      <c r="N789"/>
      <c r="O789" t="s">
        <v>1818</v>
      </c>
      <c r="P789" s="12" t="str">
        <f>HYPERLINK("https://b2b.kobi.pl/pl/product/9799,kinkiet-led-lumireflect-10w-4000k-czarny-kobi-design?currency=PLN")</f>
        <v>https://b2b.kobi.pl/pl/product/9799,kinkiet-led-lumireflect-10w-4000k-czarny-kobi-design?currency=PLN</v>
      </c>
      <c r="Q789" s="12" t="str">
        <f>HYPERLINK("https://eprel.ec.europa.eu/qr/2037037")</f>
        <v>https://eprel.ec.europa.eu/qr/2037037</v>
      </c>
      <c r="R789"/>
      <c r="S789" t="s">
        <v>2610</v>
      </c>
      <c r="T789">
        <v>0.25</v>
      </c>
      <c r="U789">
        <v>0.28999999999999998</v>
      </c>
      <c r="V789">
        <v>0.41499999999999998</v>
      </c>
      <c r="W789">
        <v>52</v>
      </c>
      <c r="X789">
        <v>12</v>
      </c>
      <c r="Y789">
        <v>5</v>
      </c>
    </row>
    <row r="790" spans="1:25" ht="60" customHeight="1" x14ac:dyDescent="0.25">
      <c r="A790"/>
      <c r="B790" t="s">
        <v>4</v>
      </c>
      <c r="C790" t="s">
        <v>3736</v>
      </c>
      <c r="D790" t="s">
        <v>644</v>
      </c>
      <c r="E790" t="s">
        <v>688</v>
      </c>
      <c r="F790" t="s">
        <v>689</v>
      </c>
      <c r="G790" t="s">
        <v>678</v>
      </c>
      <c r="H790" s="11">
        <v>127.64</v>
      </c>
      <c r="I790" s="10">
        <f>H790*(1-IFERROR(VLOOKUP(G790,Rabat!$C$9:$D$43,2,0),0))</f>
        <v>127.64</v>
      </c>
      <c r="J790" t="s">
        <v>1815</v>
      </c>
      <c r="K790" t="s">
        <v>462</v>
      </c>
      <c r="L790" t="s">
        <v>1813</v>
      </c>
      <c r="M790">
        <v>20</v>
      </c>
      <c r="N790"/>
      <c r="O790" t="s">
        <v>1818</v>
      </c>
      <c r="P790" s="12" t="str">
        <f>HYPERLINK("https://b2b.kobi.pl/pl/product/9800,kinkiet-led-lumireflect-12w-4000k-czarny-kobi-design?currency=PLN")</f>
        <v>https://b2b.kobi.pl/pl/product/9800,kinkiet-led-lumireflect-12w-4000k-czarny-kobi-design?currency=PLN</v>
      </c>
      <c r="Q790" s="12" t="str">
        <f>HYPERLINK("https://eprel.ec.europa.eu/qr/2037067")</f>
        <v>https://eprel.ec.europa.eu/qr/2037067</v>
      </c>
      <c r="R790"/>
      <c r="S790" t="s">
        <v>2610</v>
      </c>
      <c r="T790">
        <v>0.26</v>
      </c>
      <c r="U790">
        <v>0.31</v>
      </c>
      <c r="V790">
        <v>0.47</v>
      </c>
      <c r="W790">
        <v>62</v>
      </c>
      <c r="X790">
        <v>12</v>
      </c>
      <c r="Y790">
        <v>5</v>
      </c>
    </row>
    <row r="791" spans="1:25" ht="60" customHeight="1" x14ac:dyDescent="0.25">
      <c r="A791"/>
      <c r="B791" t="s">
        <v>4</v>
      </c>
      <c r="C791" t="s">
        <v>3736</v>
      </c>
      <c r="D791" t="s">
        <v>644</v>
      </c>
      <c r="E791" t="s">
        <v>839</v>
      </c>
      <c r="F791" t="s">
        <v>840</v>
      </c>
      <c r="G791" t="s">
        <v>678</v>
      </c>
      <c r="H791" s="11">
        <v>184.71</v>
      </c>
      <c r="I791" s="10">
        <f>H791*(1-IFERROR(VLOOKUP(G791,Rabat!$C$9:$D$43,2,0),0))</f>
        <v>184.71</v>
      </c>
      <c r="J791" t="s">
        <v>1815</v>
      </c>
      <c r="K791" t="s">
        <v>265</v>
      </c>
      <c r="L791" t="s">
        <v>1813</v>
      </c>
      <c r="M791">
        <v>1</v>
      </c>
      <c r="N791"/>
      <c r="O791" t="s">
        <v>1818</v>
      </c>
      <c r="P791" s="12" t="str">
        <f>HYPERLINK("https://b2b.kobi.pl/pl/product/10489,lampa-wiszaca-boho-braga-1xe27-kobi-design?currency=PLN")</f>
        <v>https://b2b.kobi.pl/pl/product/10489,lampa-wiszaca-boho-braga-1xe27-kobi-design?currency=PLN</v>
      </c>
      <c r="Q791" t="s">
        <v>14</v>
      </c>
      <c r="R791" t="s">
        <v>1945</v>
      </c>
      <c r="S791" t="s">
        <v>2602</v>
      </c>
      <c r="T791">
        <v>0.2</v>
      </c>
      <c r="U791">
        <v>0.5</v>
      </c>
      <c r="V791">
        <v>1.1499999999999999</v>
      </c>
      <c r="W791">
        <v>46</v>
      </c>
      <c r="X791">
        <v>46</v>
      </c>
      <c r="Y791">
        <v>20.5</v>
      </c>
    </row>
    <row r="792" spans="1:25" ht="60" customHeight="1" x14ac:dyDescent="0.25">
      <c r="A792"/>
      <c r="B792" t="s">
        <v>4</v>
      </c>
      <c r="C792" t="s">
        <v>3736</v>
      </c>
      <c r="D792" t="s">
        <v>644</v>
      </c>
      <c r="E792" t="s">
        <v>829</v>
      </c>
      <c r="F792" t="s">
        <v>830</v>
      </c>
      <c r="G792" t="s">
        <v>678</v>
      </c>
      <c r="H792" s="11">
        <v>224.44</v>
      </c>
      <c r="I792" s="10">
        <f>H792*(1-IFERROR(VLOOKUP(G792,Rabat!$C$9:$D$43,2,0),0))</f>
        <v>224.44</v>
      </c>
      <c r="J792" t="s">
        <v>1815</v>
      </c>
      <c r="K792" t="s">
        <v>263</v>
      </c>
      <c r="L792" t="s">
        <v>1813</v>
      </c>
      <c r="M792">
        <v>1</v>
      </c>
      <c r="N792">
        <v>60</v>
      </c>
      <c r="O792" t="s">
        <v>1818</v>
      </c>
      <c r="P792" s="12" t="str">
        <f>HYPERLINK("https://b2b.kobi.pl/pl/product/10490,lampa-wiszaca-boho-bimini-1xe27-kobi-design?currency=PLN")</f>
        <v>https://b2b.kobi.pl/pl/product/10490,lampa-wiszaca-boho-bimini-1xe27-kobi-design?currency=PLN</v>
      </c>
      <c r="Q792" t="s">
        <v>14</v>
      </c>
      <c r="R792" t="s">
        <v>1945</v>
      </c>
      <c r="S792" t="s">
        <v>2602</v>
      </c>
      <c r="T792">
        <v>0.36</v>
      </c>
      <c r="U792">
        <v>0.88</v>
      </c>
      <c r="V792">
        <v>1.55</v>
      </c>
      <c r="W792">
        <v>33</v>
      </c>
      <c r="X792">
        <v>28</v>
      </c>
      <c r="Y792">
        <v>29.5</v>
      </c>
    </row>
    <row r="793" spans="1:25" ht="60" customHeight="1" x14ac:dyDescent="0.25">
      <c r="A793"/>
      <c r="B793" t="s">
        <v>4</v>
      </c>
      <c r="C793" t="s">
        <v>3736</v>
      </c>
      <c r="D793" t="s">
        <v>644</v>
      </c>
      <c r="E793" t="s">
        <v>847</v>
      </c>
      <c r="F793" t="s">
        <v>848</v>
      </c>
      <c r="G793" t="s">
        <v>678</v>
      </c>
      <c r="H793" s="11">
        <v>306.73</v>
      </c>
      <c r="I793" s="10">
        <f>H793*(1-IFERROR(VLOOKUP(G793,Rabat!$C$9:$D$43,2,0),0))</f>
        <v>306.73</v>
      </c>
      <c r="J793" t="s">
        <v>1815</v>
      </c>
      <c r="K793" t="s">
        <v>266</v>
      </c>
      <c r="L793" t="s">
        <v>1813</v>
      </c>
      <c r="M793">
        <v>1</v>
      </c>
      <c r="N793">
        <v>32</v>
      </c>
      <c r="O793" t="s">
        <v>1818</v>
      </c>
      <c r="P793" s="12" t="str">
        <f>HYPERLINK("https://b2b.kobi.pl/pl/product/10491,lampa-wiszaca-boho-brugia-m-1xe27-kobi-design?currency=PLN")</f>
        <v>https://b2b.kobi.pl/pl/product/10491,lampa-wiszaca-boho-brugia-m-1xe27-kobi-design?currency=PLN</v>
      </c>
      <c r="Q793" t="s">
        <v>14</v>
      </c>
      <c r="R793" t="s">
        <v>1945</v>
      </c>
      <c r="S793" t="s">
        <v>2602</v>
      </c>
      <c r="T793">
        <v>0.49</v>
      </c>
      <c r="U793">
        <v>1.2</v>
      </c>
      <c r="V793">
        <v>1.89</v>
      </c>
      <c r="W793">
        <v>55</v>
      </c>
      <c r="X793">
        <v>18</v>
      </c>
      <c r="Y793">
        <v>37</v>
      </c>
    </row>
    <row r="794" spans="1:25" ht="60" customHeight="1" x14ac:dyDescent="0.25">
      <c r="A794"/>
      <c r="B794" t="s">
        <v>4</v>
      </c>
      <c r="C794" t="s">
        <v>3736</v>
      </c>
      <c r="D794" t="s">
        <v>644</v>
      </c>
      <c r="E794" t="s">
        <v>855</v>
      </c>
      <c r="F794" t="s">
        <v>856</v>
      </c>
      <c r="G794" t="s">
        <v>678</v>
      </c>
      <c r="H794" s="11">
        <v>226.44</v>
      </c>
      <c r="I794" s="10">
        <f>H794*(1-IFERROR(VLOOKUP(G794,Rabat!$C$9:$D$43,2,0),0))</f>
        <v>226.44</v>
      </c>
      <c r="J794" t="s">
        <v>1815</v>
      </c>
      <c r="K794" t="s">
        <v>267</v>
      </c>
      <c r="L794" t="s">
        <v>1813</v>
      </c>
      <c r="M794">
        <v>1</v>
      </c>
      <c r="N794">
        <v>50</v>
      </c>
      <c r="O794" t="s">
        <v>1818</v>
      </c>
      <c r="P794" s="12" t="str">
        <f>HYPERLINK("https://b2b.kobi.pl/pl/product/10492,lampa-wiszaca-boho-brugia-s-1xe27-kobi-design?currency=PLN")</f>
        <v>https://b2b.kobi.pl/pl/product/10492,lampa-wiszaca-boho-brugia-s-1xe27-kobi-design?currency=PLN</v>
      </c>
      <c r="Q794" t="s">
        <v>14</v>
      </c>
      <c r="R794" t="s">
        <v>1945</v>
      </c>
      <c r="S794" t="s">
        <v>2602</v>
      </c>
      <c r="T794">
        <v>0.37</v>
      </c>
      <c r="U794">
        <v>0.9</v>
      </c>
      <c r="V794">
        <v>1.6</v>
      </c>
      <c r="W794">
        <v>42</v>
      </c>
      <c r="X794">
        <v>14</v>
      </c>
      <c r="Y794">
        <v>29</v>
      </c>
    </row>
    <row r="795" spans="1:25" ht="60" customHeight="1" x14ac:dyDescent="0.25">
      <c r="A795"/>
      <c r="B795" t="s">
        <v>4</v>
      </c>
      <c r="C795" t="s">
        <v>3736</v>
      </c>
      <c r="D795" t="s">
        <v>644</v>
      </c>
      <c r="E795" t="s">
        <v>827</v>
      </c>
      <c r="F795" t="s">
        <v>828</v>
      </c>
      <c r="G795" t="s">
        <v>678</v>
      </c>
      <c r="H795" s="11">
        <v>189.51</v>
      </c>
      <c r="I795" s="10">
        <f>H795*(1-IFERROR(VLOOKUP(G795,Rabat!$C$9:$D$43,2,0),0))</f>
        <v>189.51</v>
      </c>
      <c r="J795" t="s">
        <v>1815</v>
      </c>
      <c r="K795" t="s">
        <v>262</v>
      </c>
      <c r="L795" t="s">
        <v>1813</v>
      </c>
      <c r="M795">
        <v>1</v>
      </c>
      <c r="N795">
        <v>60</v>
      </c>
      <c r="O795" t="s">
        <v>1818</v>
      </c>
      <c r="P795" s="12" t="str">
        <f>HYPERLINK("https://b2b.kobi.pl/pl/product/10493,lampa-wiszaca-boho-bern-1xe27-kobi-design?currency=PLN")</f>
        <v>https://b2b.kobi.pl/pl/product/10493,lampa-wiszaca-boho-bern-1xe27-kobi-design?currency=PLN</v>
      </c>
      <c r="Q795" t="s">
        <v>14</v>
      </c>
      <c r="R795" t="s">
        <v>1945</v>
      </c>
      <c r="S795" t="s">
        <v>2602</v>
      </c>
      <c r="T795">
        <v>0.25</v>
      </c>
      <c r="U795">
        <v>0.61</v>
      </c>
      <c r="V795">
        <v>1.3</v>
      </c>
      <c r="W795">
        <v>25</v>
      </c>
      <c r="X795">
        <v>25</v>
      </c>
      <c r="Y795">
        <v>29</v>
      </c>
    </row>
    <row r="796" spans="1:25" ht="60" customHeight="1" x14ac:dyDescent="0.25">
      <c r="A796"/>
      <c r="B796" t="s">
        <v>4</v>
      </c>
      <c r="C796" t="s">
        <v>3736</v>
      </c>
      <c r="D796" t="s">
        <v>644</v>
      </c>
      <c r="E796" t="s">
        <v>831</v>
      </c>
      <c r="F796" t="s">
        <v>832</v>
      </c>
      <c r="G796" t="s">
        <v>678</v>
      </c>
      <c r="H796" s="11">
        <v>287.5</v>
      </c>
      <c r="I796" s="10">
        <f>H796*(1-IFERROR(VLOOKUP(G796,Rabat!$C$9:$D$43,2,0),0))</f>
        <v>287.5</v>
      </c>
      <c r="J796" t="s">
        <v>1815</v>
      </c>
      <c r="K796" t="s">
        <v>264</v>
      </c>
      <c r="L796" t="s">
        <v>1813</v>
      </c>
      <c r="M796">
        <v>1</v>
      </c>
      <c r="N796">
        <v>21</v>
      </c>
      <c r="O796" t="s">
        <v>1818</v>
      </c>
      <c r="P796" s="12" t="str">
        <f>HYPERLINK("https://b2b.kobi.pl/pl/product/10494,lampa-wiszaca-boho-bonn-1xe27-kobi-design?currency=PLN")</f>
        <v>https://b2b.kobi.pl/pl/product/10494,lampa-wiszaca-boho-bonn-1xe27-kobi-design?currency=PLN</v>
      </c>
      <c r="Q796" t="s">
        <v>14</v>
      </c>
      <c r="R796" t="s">
        <v>1945</v>
      </c>
      <c r="S796" t="s">
        <v>2602</v>
      </c>
      <c r="T796">
        <v>0.41</v>
      </c>
      <c r="U796">
        <v>1</v>
      </c>
      <c r="V796">
        <v>1.7</v>
      </c>
      <c r="W796">
        <v>41</v>
      </c>
      <c r="X796">
        <v>41</v>
      </c>
      <c r="Y796">
        <v>25.5</v>
      </c>
    </row>
    <row r="797" spans="1:25" ht="60" customHeight="1" x14ac:dyDescent="0.25">
      <c r="A797"/>
      <c r="B797" t="s">
        <v>4</v>
      </c>
      <c r="C797" t="s">
        <v>3736</v>
      </c>
      <c r="D797" t="s">
        <v>644</v>
      </c>
      <c r="E797" t="s">
        <v>821</v>
      </c>
      <c r="F797" t="s">
        <v>822</v>
      </c>
      <c r="G797" t="s">
        <v>678</v>
      </c>
      <c r="H797" s="11">
        <v>240.56</v>
      </c>
      <c r="I797" s="10">
        <f>H797*(1-IFERROR(VLOOKUP(G797,Rabat!$C$9:$D$43,2,0),0))</f>
        <v>240.56</v>
      </c>
      <c r="J797" t="s">
        <v>1815</v>
      </c>
      <c r="K797" t="s">
        <v>261</v>
      </c>
      <c r="L797" t="s">
        <v>1813</v>
      </c>
      <c r="M797">
        <v>1</v>
      </c>
      <c r="N797">
        <v>30</v>
      </c>
      <c r="O797" t="s">
        <v>1818</v>
      </c>
      <c r="P797" s="12" t="str">
        <f>HYPERLINK("https://b2b.kobi.pl/pl/product/10495,lampa-wiszaca-boho-beirut-1xe27-kobi-design?currency=PLN")</f>
        <v>https://b2b.kobi.pl/pl/product/10495,lampa-wiszaca-boho-beirut-1xe27-kobi-design?currency=PLN</v>
      </c>
      <c r="Q797" t="s">
        <v>14</v>
      </c>
      <c r="R797" t="s">
        <v>1945</v>
      </c>
      <c r="S797" t="s">
        <v>2602</v>
      </c>
      <c r="T797">
        <v>0.33</v>
      </c>
      <c r="U797">
        <v>0.8</v>
      </c>
      <c r="V797">
        <v>1.45</v>
      </c>
      <c r="W797">
        <v>31</v>
      </c>
      <c r="X797">
        <v>31</v>
      </c>
      <c r="Y797">
        <v>43.5</v>
      </c>
    </row>
    <row r="798" spans="1:25" ht="60" customHeight="1" x14ac:dyDescent="0.25">
      <c r="A798"/>
      <c r="B798" t="s">
        <v>4</v>
      </c>
      <c r="C798" t="s">
        <v>3736</v>
      </c>
      <c r="D798" t="s">
        <v>644</v>
      </c>
      <c r="E798" t="s">
        <v>813</v>
      </c>
      <c r="F798" t="s">
        <v>814</v>
      </c>
      <c r="G798" t="s">
        <v>678</v>
      </c>
      <c r="H798" s="11">
        <v>245.51</v>
      </c>
      <c r="I798" s="10">
        <f>H798*(1-IFERROR(VLOOKUP(G798,Rabat!$C$9:$D$43,2,0),0))</f>
        <v>245.51</v>
      </c>
      <c r="J798" t="s">
        <v>1815</v>
      </c>
      <c r="K798" t="s">
        <v>259</v>
      </c>
      <c r="L798" t="s">
        <v>1813</v>
      </c>
      <c r="M798">
        <v>1</v>
      </c>
      <c r="N798">
        <v>42</v>
      </c>
      <c r="O798" t="s">
        <v>1818</v>
      </c>
      <c r="P798" s="12" t="str">
        <f>HYPERLINK("https://b2b.kobi.pl/pl/product/10496,lampa-wiszaca-boho-baku-m-1xe27-kobi-design?currency=PLN")</f>
        <v>https://b2b.kobi.pl/pl/product/10496,lampa-wiszaca-boho-baku-m-1xe27-kobi-design?currency=PLN</v>
      </c>
      <c r="Q798" t="s">
        <v>14</v>
      </c>
      <c r="R798" t="s">
        <v>1945</v>
      </c>
      <c r="S798" t="s">
        <v>2602</v>
      </c>
      <c r="T798">
        <v>0.41</v>
      </c>
      <c r="U798">
        <v>0.99</v>
      </c>
      <c r="V798">
        <v>1.7</v>
      </c>
      <c r="W798">
        <v>39</v>
      </c>
      <c r="X798">
        <v>39</v>
      </c>
      <c r="Y798">
        <v>21</v>
      </c>
    </row>
    <row r="799" spans="1:25" ht="60" customHeight="1" x14ac:dyDescent="0.25">
      <c r="A799"/>
      <c r="B799" t="s">
        <v>4</v>
      </c>
      <c r="C799" t="s">
        <v>3736</v>
      </c>
      <c r="D799" t="s">
        <v>644</v>
      </c>
      <c r="E799" t="s">
        <v>817</v>
      </c>
      <c r="F799" t="s">
        <v>818</v>
      </c>
      <c r="G799" t="s">
        <v>678</v>
      </c>
      <c r="H799" s="11">
        <v>191.44</v>
      </c>
      <c r="I799" s="10">
        <f>H799*(1-IFERROR(VLOOKUP(G799,Rabat!$C$9:$D$43,2,0),0))</f>
        <v>191.44</v>
      </c>
      <c r="J799" t="s">
        <v>1815</v>
      </c>
      <c r="K799" t="s">
        <v>260</v>
      </c>
      <c r="L799" t="s">
        <v>1813</v>
      </c>
      <c r="M799">
        <v>1</v>
      </c>
      <c r="N799">
        <v>64</v>
      </c>
      <c r="O799" t="s">
        <v>1818</v>
      </c>
      <c r="P799" s="12" t="str">
        <f>HYPERLINK("https://b2b.kobi.pl/pl/product/10497,lampa-wiszaca-boho-baku-s-1xe27-kobi-design?currency=PLN")</f>
        <v>https://b2b.kobi.pl/pl/product/10497,lampa-wiszaca-boho-baku-s-1xe27-kobi-design?currency=PLN</v>
      </c>
      <c r="Q799" t="s">
        <v>14</v>
      </c>
      <c r="R799" t="s">
        <v>1945</v>
      </c>
      <c r="S799" t="s">
        <v>2602</v>
      </c>
      <c r="T799">
        <v>0.33</v>
      </c>
      <c r="U799">
        <v>0.8</v>
      </c>
      <c r="V799">
        <v>1.35</v>
      </c>
      <c r="W799">
        <v>31</v>
      </c>
      <c r="X799">
        <v>31</v>
      </c>
      <c r="Y799">
        <v>16</v>
      </c>
    </row>
    <row r="800" spans="1:25" ht="60" customHeight="1" x14ac:dyDescent="0.25">
      <c r="A800"/>
      <c r="B800" t="s">
        <v>4</v>
      </c>
      <c r="C800" t="s">
        <v>3736</v>
      </c>
      <c r="D800" t="s">
        <v>644</v>
      </c>
      <c r="E800" t="s">
        <v>861</v>
      </c>
      <c r="F800" t="s">
        <v>862</v>
      </c>
      <c r="G800" t="s">
        <v>678</v>
      </c>
      <c r="H800" s="11">
        <v>167</v>
      </c>
      <c r="I800" s="10">
        <f>H800*(1-IFERROR(VLOOKUP(G800,Rabat!$C$9:$D$43,2,0),0))</f>
        <v>167</v>
      </c>
      <c r="J800" t="s">
        <v>1815</v>
      </c>
      <c r="K800" t="s">
        <v>270</v>
      </c>
      <c r="L800" t="s">
        <v>1813</v>
      </c>
      <c r="M800">
        <v>1</v>
      </c>
      <c r="N800">
        <v>48</v>
      </c>
      <c r="O800" t="s">
        <v>1818</v>
      </c>
      <c r="P800" s="12" t="str">
        <f>HYPERLINK("https://b2b.kobi.pl/pl/product/10498,lampa-wiszaca-boho-riga-1xe27-kobi-design?currency=PLN")</f>
        <v>https://b2b.kobi.pl/pl/product/10498,lampa-wiszaca-boho-riga-1xe27-kobi-design?currency=PLN</v>
      </c>
      <c r="Q800" t="s">
        <v>14</v>
      </c>
      <c r="R800" t="s">
        <v>1945</v>
      </c>
      <c r="S800" t="s">
        <v>2602</v>
      </c>
      <c r="T800">
        <v>0.25</v>
      </c>
      <c r="U800">
        <v>0.6</v>
      </c>
      <c r="V800">
        <v>1.25</v>
      </c>
      <c r="W800">
        <v>32.5</v>
      </c>
      <c r="X800">
        <v>32.5</v>
      </c>
      <c r="Y800">
        <v>19.5</v>
      </c>
    </row>
    <row r="801" spans="1:25" ht="60" customHeight="1" x14ac:dyDescent="0.25">
      <c r="A801"/>
      <c r="B801" t="s">
        <v>4</v>
      </c>
      <c r="C801" t="s">
        <v>3736</v>
      </c>
      <c r="D801" t="s">
        <v>644</v>
      </c>
      <c r="E801" t="s">
        <v>863</v>
      </c>
      <c r="F801" t="s">
        <v>864</v>
      </c>
      <c r="G801" t="s">
        <v>678</v>
      </c>
      <c r="H801" s="11">
        <v>153.33000000000001</v>
      </c>
      <c r="I801" s="10">
        <f>H801*(1-IFERROR(VLOOKUP(G801,Rabat!$C$9:$D$43,2,0),0))</f>
        <v>153.33000000000001</v>
      </c>
      <c r="J801" t="s">
        <v>1815</v>
      </c>
      <c r="K801" t="s">
        <v>271</v>
      </c>
      <c r="L801" t="s">
        <v>1813</v>
      </c>
      <c r="M801">
        <v>1</v>
      </c>
      <c r="N801">
        <v>108</v>
      </c>
      <c r="O801" t="s">
        <v>1818</v>
      </c>
      <c r="P801" s="12" t="str">
        <f>HYPERLINK("https://b2b.kobi.pl/pl/product/10499,lampa-wiszaca-boho-ronda-1xe27-kobi-design?currency=PLN")</f>
        <v>https://b2b.kobi.pl/pl/product/10499,lampa-wiszaca-boho-ronda-1xe27-kobi-design?currency=PLN</v>
      </c>
      <c r="Q801" t="s">
        <v>14</v>
      </c>
      <c r="R801" t="s">
        <v>1945</v>
      </c>
      <c r="S801" t="s">
        <v>2602</v>
      </c>
      <c r="T801">
        <v>0.18</v>
      </c>
      <c r="U801">
        <v>0.45</v>
      </c>
      <c r="V801">
        <v>0.88</v>
      </c>
      <c r="W801">
        <v>26</v>
      </c>
      <c r="X801">
        <v>26</v>
      </c>
      <c r="Y801">
        <v>18.5</v>
      </c>
    </row>
    <row r="802" spans="1:25" ht="60" customHeight="1" x14ac:dyDescent="0.25">
      <c r="A802"/>
      <c r="B802" t="s">
        <v>4</v>
      </c>
      <c r="C802" t="s">
        <v>3736</v>
      </c>
      <c r="D802" t="s">
        <v>644</v>
      </c>
      <c r="E802" t="s">
        <v>857</v>
      </c>
      <c r="F802" t="s">
        <v>858</v>
      </c>
      <c r="G802" t="s">
        <v>678</v>
      </c>
      <c r="H802" s="11">
        <v>285.83999999999997</v>
      </c>
      <c r="I802" s="10">
        <f>H802*(1-IFERROR(VLOOKUP(G802,Rabat!$C$9:$D$43,2,0),0))</f>
        <v>285.83999999999997</v>
      </c>
      <c r="J802" t="s">
        <v>1815</v>
      </c>
      <c r="K802" t="s">
        <v>268</v>
      </c>
      <c r="L802" t="s">
        <v>1813</v>
      </c>
      <c r="M802">
        <v>1</v>
      </c>
      <c r="N802">
        <v>30</v>
      </c>
      <c r="O802" t="s">
        <v>1818</v>
      </c>
      <c r="P802" s="12" t="str">
        <f>HYPERLINK("https://b2b.kobi.pl/pl/product/10500,lampa-wiszaca-boho-rango-1xe27-kobi-design?currency=PLN")</f>
        <v>https://b2b.kobi.pl/pl/product/10500,lampa-wiszaca-boho-rango-1xe27-kobi-design?currency=PLN</v>
      </c>
      <c r="Q802" t="s">
        <v>14</v>
      </c>
      <c r="R802" t="s">
        <v>1945</v>
      </c>
      <c r="S802" t="s">
        <v>2602</v>
      </c>
      <c r="T802">
        <v>0.28000000000000003</v>
      </c>
      <c r="U802">
        <v>0.69</v>
      </c>
      <c r="V802">
        <v>1.3</v>
      </c>
      <c r="W802">
        <v>31</v>
      </c>
      <c r="X802">
        <v>31</v>
      </c>
      <c r="Y802">
        <v>32.5</v>
      </c>
    </row>
    <row r="803" spans="1:25" ht="60" customHeight="1" x14ac:dyDescent="0.25">
      <c r="A803"/>
      <c r="B803" t="s">
        <v>4</v>
      </c>
      <c r="C803" t="s">
        <v>3736</v>
      </c>
      <c r="D803" t="s">
        <v>644</v>
      </c>
      <c r="E803" t="s">
        <v>859</v>
      </c>
      <c r="F803" t="s">
        <v>860</v>
      </c>
      <c r="G803" t="s">
        <v>678</v>
      </c>
      <c r="H803" s="11">
        <v>188.89</v>
      </c>
      <c r="I803" s="10">
        <f>H803*(1-IFERROR(VLOOKUP(G803,Rabat!$C$9:$D$43,2,0),0))</f>
        <v>188.89</v>
      </c>
      <c r="J803" t="s">
        <v>1815</v>
      </c>
      <c r="K803" t="s">
        <v>269</v>
      </c>
      <c r="L803" t="s">
        <v>1813</v>
      </c>
      <c r="M803">
        <v>1</v>
      </c>
      <c r="N803">
        <v>60</v>
      </c>
      <c r="O803" t="s">
        <v>1818</v>
      </c>
      <c r="P803" s="12" t="str">
        <f>HYPERLINK("https://b2b.kobi.pl/pl/product/10501,lampa-wiszaca-boho-rennes-1xe27-kobi-design?currency=PLN")</f>
        <v>https://b2b.kobi.pl/pl/product/10501,lampa-wiszaca-boho-rennes-1xe27-kobi-design?currency=PLN</v>
      </c>
      <c r="Q803" t="s">
        <v>14</v>
      </c>
      <c r="R803" t="s">
        <v>1945</v>
      </c>
      <c r="S803" t="s">
        <v>2602</v>
      </c>
      <c r="T803">
        <v>0.21</v>
      </c>
      <c r="U803">
        <v>0.55000000000000004</v>
      </c>
      <c r="V803">
        <v>0.98</v>
      </c>
      <c r="W803">
        <v>27</v>
      </c>
      <c r="X803">
        <v>27</v>
      </c>
      <c r="Y803">
        <v>30</v>
      </c>
    </row>
    <row r="804" spans="1:25" ht="60" customHeight="1" x14ac:dyDescent="0.25">
      <c r="A804"/>
      <c r="B804" t="s">
        <v>4</v>
      </c>
      <c r="C804" t="s">
        <v>3736</v>
      </c>
      <c r="D804" t="s">
        <v>644</v>
      </c>
      <c r="E804" t="s">
        <v>867</v>
      </c>
      <c r="F804" t="s">
        <v>868</v>
      </c>
      <c r="G804" t="s">
        <v>678</v>
      </c>
      <c r="H804" s="11">
        <v>256.93</v>
      </c>
      <c r="I804" s="10">
        <f>H804*(1-IFERROR(VLOOKUP(G804,Rabat!$C$9:$D$43,2,0),0))</f>
        <v>256.93</v>
      </c>
      <c r="J804" t="s">
        <v>1815</v>
      </c>
      <c r="K804" t="s">
        <v>273</v>
      </c>
      <c r="L804" t="s">
        <v>1813</v>
      </c>
      <c r="M804">
        <v>1</v>
      </c>
      <c r="N804">
        <v>30</v>
      </c>
      <c r="O804" t="s">
        <v>1818</v>
      </c>
      <c r="P804" s="12" t="str">
        <f>HYPERLINK("https://b2b.kobi.pl/pl/product/10502,lampa-wiszaca-boho-siena-3xe27-kobi-design?currency=PLN")</f>
        <v>https://b2b.kobi.pl/pl/product/10502,lampa-wiszaca-boho-siena-3xe27-kobi-design?currency=PLN</v>
      </c>
      <c r="Q804" t="s">
        <v>14</v>
      </c>
      <c r="R804" t="s">
        <v>1945</v>
      </c>
      <c r="S804" t="s">
        <v>2602</v>
      </c>
      <c r="T804">
        <v>0.72</v>
      </c>
      <c r="U804">
        <v>1.75</v>
      </c>
      <c r="V804">
        <v>2.8</v>
      </c>
      <c r="W804">
        <v>62</v>
      </c>
      <c r="X804">
        <v>21</v>
      </c>
      <c r="Y804">
        <v>24</v>
      </c>
    </row>
    <row r="805" spans="1:25" ht="60" customHeight="1" x14ac:dyDescent="0.25">
      <c r="A805"/>
      <c r="B805" t="s">
        <v>4</v>
      </c>
      <c r="C805" t="s">
        <v>3736</v>
      </c>
      <c r="D805" t="s">
        <v>644</v>
      </c>
      <c r="E805" t="s">
        <v>865</v>
      </c>
      <c r="F805" t="s">
        <v>866</v>
      </c>
      <c r="G805" t="s">
        <v>678</v>
      </c>
      <c r="H805" s="11">
        <v>229.62</v>
      </c>
      <c r="I805" s="10">
        <f>H805*(1-IFERROR(VLOOKUP(G805,Rabat!$C$9:$D$43,2,0),0))</f>
        <v>229.62</v>
      </c>
      <c r="J805" t="s">
        <v>1815</v>
      </c>
      <c r="K805" t="s">
        <v>272</v>
      </c>
      <c r="L805" t="s">
        <v>1813</v>
      </c>
      <c r="M805">
        <v>1</v>
      </c>
      <c r="N805">
        <v>24</v>
      </c>
      <c r="O805" t="s">
        <v>1818</v>
      </c>
      <c r="P805" s="12" t="str">
        <f>HYPERLINK("https://b2b.kobi.pl/pl/product/10503,lampa-wiszaca-boho-sibu-1xe27-kobi-design?currency=PLN")</f>
        <v>https://b2b.kobi.pl/pl/product/10503,lampa-wiszaca-boho-sibu-1xe27-kobi-design?currency=PLN</v>
      </c>
      <c r="Q805" t="s">
        <v>14</v>
      </c>
      <c r="R805" t="s">
        <v>1945</v>
      </c>
      <c r="S805" t="s">
        <v>2602</v>
      </c>
      <c r="T805">
        <v>0.28999999999999998</v>
      </c>
      <c r="U805">
        <v>0.71</v>
      </c>
      <c r="V805">
        <v>1.32</v>
      </c>
      <c r="W805">
        <v>34</v>
      </c>
      <c r="X805">
        <v>34</v>
      </c>
      <c r="Y805">
        <v>36.5</v>
      </c>
    </row>
    <row r="806" spans="1:25" ht="60" customHeight="1" x14ac:dyDescent="0.25">
      <c r="A806"/>
      <c r="B806" t="s">
        <v>4</v>
      </c>
      <c r="C806" t="s">
        <v>3736</v>
      </c>
      <c r="D806" t="s">
        <v>644</v>
      </c>
      <c r="E806" t="s">
        <v>869</v>
      </c>
      <c r="F806" t="s">
        <v>870</v>
      </c>
      <c r="G806" t="s">
        <v>678</v>
      </c>
      <c r="H806" s="11">
        <v>313.16000000000003</v>
      </c>
      <c r="I806" s="10">
        <f>H806*(1-IFERROR(VLOOKUP(G806,Rabat!$C$9:$D$43,2,0),0))</f>
        <v>313.16000000000003</v>
      </c>
      <c r="J806" t="s">
        <v>1815</v>
      </c>
      <c r="K806" t="s">
        <v>274</v>
      </c>
      <c r="L806" t="s">
        <v>1813</v>
      </c>
      <c r="M806">
        <v>1</v>
      </c>
      <c r="N806">
        <v>22</v>
      </c>
      <c r="O806" t="s">
        <v>1818</v>
      </c>
      <c r="P806" s="12" t="str">
        <f>HYPERLINK("https://b2b.kobi.pl/pl/product/10504,lampa-wiszaca-boho-verona-1xe27-kobi-design?currency=PLN")</f>
        <v>https://b2b.kobi.pl/pl/product/10504,lampa-wiszaca-boho-verona-1xe27-kobi-design?currency=PLN</v>
      </c>
      <c r="Q806" t="s">
        <v>14</v>
      </c>
      <c r="R806" t="s">
        <v>1945</v>
      </c>
      <c r="S806" t="s">
        <v>2602</v>
      </c>
      <c r="T806">
        <v>0.36</v>
      </c>
      <c r="U806">
        <v>0.89</v>
      </c>
      <c r="V806">
        <v>1.55</v>
      </c>
      <c r="W806">
        <v>61</v>
      </c>
      <c r="X806">
        <v>60</v>
      </c>
      <c r="Y806">
        <v>17.5</v>
      </c>
    </row>
    <row r="807" spans="1:25" ht="60" customHeight="1" x14ac:dyDescent="0.25">
      <c r="A807"/>
      <c r="B807" t="s">
        <v>4</v>
      </c>
      <c r="C807" t="s">
        <v>3736</v>
      </c>
      <c r="D807" t="s">
        <v>644</v>
      </c>
      <c r="E807" t="s">
        <v>871</v>
      </c>
      <c r="F807" t="s">
        <v>872</v>
      </c>
      <c r="G807" t="s">
        <v>678</v>
      </c>
      <c r="H807" s="11">
        <v>229.62</v>
      </c>
      <c r="I807" s="10">
        <f>H807*(1-IFERROR(VLOOKUP(G807,Rabat!$C$9:$D$43,2,0),0))</f>
        <v>229.62</v>
      </c>
      <c r="J807" t="s">
        <v>1815</v>
      </c>
      <c r="K807" t="s">
        <v>275</v>
      </c>
      <c r="L807" t="s">
        <v>1813</v>
      </c>
      <c r="M807">
        <v>1</v>
      </c>
      <c r="N807">
        <v>24</v>
      </c>
      <c r="O807" t="s">
        <v>1818</v>
      </c>
      <c r="P807" s="12" t="str">
        <f>HYPERLINK("https://b2b.kobi.pl/pl/product/10505,lampa-wiszaca-boho-vienna-1xe27-kobi-design?currency=PLN")</f>
        <v>https://b2b.kobi.pl/pl/product/10505,lampa-wiszaca-boho-vienna-1xe27-kobi-design?currency=PLN</v>
      </c>
      <c r="Q807" t="s">
        <v>14</v>
      </c>
      <c r="R807" t="s">
        <v>1945</v>
      </c>
      <c r="S807" t="s">
        <v>2602</v>
      </c>
      <c r="T807">
        <v>0.32</v>
      </c>
      <c r="U807">
        <v>0.79</v>
      </c>
      <c r="V807">
        <v>1.5</v>
      </c>
      <c r="W807">
        <v>40.5</v>
      </c>
      <c r="X807">
        <v>40.5</v>
      </c>
      <c r="Y807">
        <v>40.5</v>
      </c>
    </row>
    <row r="808" spans="1:25" ht="60" customHeight="1" x14ac:dyDescent="0.25">
      <c r="A808"/>
      <c r="B808" t="s">
        <v>4</v>
      </c>
      <c r="C808" t="s">
        <v>3957</v>
      </c>
      <c r="D808" t="s">
        <v>1748</v>
      </c>
      <c r="E808" t="s">
        <v>1777</v>
      </c>
      <c r="F808" t="s">
        <v>1778</v>
      </c>
      <c r="G808" t="s">
        <v>678</v>
      </c>
      <c r="H808" s="11">
        <v>14</v>
      </c>
      <c r="I808" s="10">
        <f>H808*(1-IFERROR(VLOOKUP(G808,Rabat!$C$9:$D$43,2,0),0))</f>
        <v>14</v>
      </c>
      <c r="J808" t="s">
        <v>1815</v>
      </c>
      <c r="K808" t="s">
        <v>1921</v>
      </c>
      <c r="L808" t="s">
        <v>1813</v>
      </c>
      <c r="M808">
        <v>6</v>
      </c>
      <c r="N808">
        <v>72</v>
      </c>
      <c r="O808" t="s">
        <v>1818</v>
      </c>
      <c r="P808" s="12" t="str">
        <f>HYPERLINK("https://b2b.kobi.pl/pl/product/10319,kinkiet-curve-36-1xr7s-jvs?currency=PLN")</f>
        <v>https://b2b.kobi.pl/pl/product/10319,kinkiet-curve-36-1xr7s-jvs?currency=PLN</v>
      </c>
      <c r="Q808" t="s">
        <v>14</v>
      </c>
      <c r="R808" t="s">
        <v>1945</v>
      </c>
      <c r="S808" t="s">
        <v>2612</v>
      </c>
      <c r="T808">
        <v>0.37</v>
      </c>
      <c r="U808">
        <v>0.94</v>
      </c>
      <c r="V808">
        <v>1.034</v>
      </c>
      <c r="W808">
        <v>0</v>
      </c>
      <c r="X808">
        <v>0</v>
      </c>
      <c r="Y808">
        <v>0</v>
      </c>
    </row>
    <row r="809" spans="1:25" ht="60" customHeight="1" x14ac:dyDescent="0.25">
      <c r="A809"/>
      <c r="B809" t="s">
        <v>4</v>
      </c>
      <c r="C809" t="s">
        <v>15</v>
      </c>
      <c r="D809" t="s">
        <v>618</v>
      </c>
      <c r="E809" t="s">
        <v>1967</v>
      </c>
      <c r="F809" t="s">
        <v>1968</v>
      </c>
      <c r="G809" t="s">
        <v>1219</v>
      </c>
      <c r="H809" s="11">
        <v>37.93</v>
      </c>
      <c r="I809" s="10">
        <f>H809*(1-IFERROR(VLOOKUP(G809,Rabat!$C$9:$D$43,2,0),0))</f>
        <v>37.93</v>
      </c>
      <c r="J809" t="s">
        <v>1815</v>
      </c>
      <c r="K809" t="s">
        <v>2012</v>
      </c>
      <c r="L809" t="s">
        <v>1813</v>
      </c>
      <c r="M809">
        <v>30</v>
      </c>
      <c r="N809">
        <v>1680</v>
      </c>
      <c r="O809" t="s">
        <v>1818</v>
      </c>
      <c r="P809" s="12" t="str">
        <f>HYPERLINK("https://b2b.kobi.pl/pl/product/12273,oprawa-meblowa-led-wl-4w-3cct-kobi?currency=PLN")</f>
        <v>https://b2b.kobi.pl/pl/product/12273,oprawa-meblowa-led-wl-4w-3cct-kobi?currency=PLN</v>
      </c>
      <c r="Q809" s="12" t="str">
        <f>HYPERLINK("https://eprel.ec.europa.eu/qr/2213253")</f>
        <v>https://eprel.ec.europa.eu/qr/2213253</v>
      </c>
      <c r="R809"/>
      <c r="S809" t="s">
        <v>2607</v>
      </c>
      <c r="T809">
        <v>0.04</v>
      </c>
      <c r="U809">
        <v>4.8000000000000001E-2</v>
      </c>
      <c r="V809">
        <v>0.18099999999999999</v>
      </c>
      <c r="W809">
        <v>4</v>
      </c>
      <c r="X809">
        <v>3</v>
      </c>
      <c r="Y809">
        <v>46.3</v>
      </c>
    </row>
    <row r="810" spans="1:25" ht="60" customHeight="1" x14ac:dyDescent="0.25">
      <c r="A810"/>
      <c r="B810" t="s">
        <v>4</v>
      </c>
      <c r="C810" t="s">
        <v>15</v>
      </c>
      <c r="D810" t="s">
        <v>618</v>
      </c>
      <c r="E810" t="s">
        <v>1222</v>
      </c>
      <c r="F810" t="s">
        <v>1223</v>
      </c>
      <c r="G810" t="s">
        <v>1219</v>
      </c>
      <c r="H810" s="11">
        <v>44.8</v>
      </c>
      <c r="I810" s="10">
        <f>H810*(1-IFERROR(VLOOKUP(G810,Rabat!$C$9:$D$43,2,0),0))</f>
        <v>44.8</v>
      </c>
      <c r="J810" t="s">
        <v>1815</v>
      </c>
      <c r="K810" t="s">
        <v>1865</v>
      </c>
      <c r="L810" t="s">
        <v>1813</v>
      </c>
      <c r="M810">
        <v>30</v>
      </c>
      <c r="N810">
        <v>1200</v>
      </c>
      <c r="O810" t="s">
        <v>1818</v>
      </c>
      <c r="P810" s="12" t="str">
        <f>HYPERLINK("https://b2b.kobi.pl/pl/product/12274,oprawa-meblowa-led-wl-8w-3cct-kobi?currency=PLN")</f>
        <v>https://b2b.kobi.pl/pl/product/12274,oprawa-meblowa-led-wl-8w-3cct-kobi?currency=PLN</v>
      </c>
      <c r="Q810" s="12" t="str">
        <f>HYPERLINK("https://eprel.ec.europa.eu/qr/2213266")</f>
        <v>https://eprel.ec.europa.eu/qr/2213266</v>
      </c>
      <c r="R810"/>
      <c r="S810" t="s">
        <v>2607</v>
      </c>
      <c r="T810">
        <v>0.08</v>
      </c>
      <c r="U810">
        <v>9.7000000000000003E-2</v>
      </c>
      <c r="V810">
        <v>0.23100000000000001</v>
      </c>
      <c r="W810">
        <v>76.3</v>
      </c>
      <c r="X810">
        <v>3</v>
      </c>
      <c r="Y810">
        <v>4</v>
      </c>
    </row>
    <row r="811" spans="1:25" ht="60" customHeight="1" x14ac:dyDescent="0.25">
      <c r="A811"/>
      <c r="B811" t="s">
        <v>4</v>
      </c>
      <c r="C811" t="s">
        <v>15</v>
      </c>
      <c r="D811" t="s">
        <v>618</v>
      </c>
      <c r="E811" t="s">
        <v>1969</v>
      </c>
      <c r="F811" t="s">
        <v>1970</v>
      </c>
      <c r="G811" t="s">
        <v>1219</v>
      </c>
      <c r="H811" s="11">
        <v>55.04</v>
      </c>
      <c r="I811" s="10">
        <f>H811*(1-IFERROR(VLOOKUP(G811,Rabat!$C$9:$D$43,2,0),0))</f>
        <v>55.04</v>
      </c>
      <c r="J811" t="s">
        <v>1815</v>
      </c>
      <c r="K811" t="s">
        <v>2013</v>
      </c>
      <c r="L811" t="s">
        <v>1813</v>
      </c>
      <c r="M811">
        <v>30</v>
      </c>
      <c r="N811">
        <v>720</v>
      </c>
      <c r="O811" t="s">
        <v>1818</v>
      </c>
      <c r="P811" s="12" t="str">
        <f>HYPERLINK("https://b2b.kobi.pl/pl/product/12275,oprawa-meblowa-led-wl-12w-3cct-kobi?currency=PLN")</f>
        <v>https://b2b.kobi.pl/pl/product/12275,oprawa-meblowa-led-wl-12w-3cct-kobi?currency=PLN</v>
      </c>
      <c r="Q811" s="12" t="str">
        <f>HYPERLINK("https://eprel.ec.europa.eu/qr/2213276")</f>
        <v>https://eprel.ec.europa.eu/qr/2213276</v>
      </c>
      <c r="R811"/>
      <c r="S811" t="s">
        <v>2607</v>
      </c>
      <c r="T811">
        <v>0.2</v>
      </c>
      <c r="U811">
        <v>0.24</v>
      </c>
      <c r="V811">
        <v>0.56000000000000005</v>
      </c>
      <c r="W811">
        <v>4</v>
      </c>
      <c r="X811">
        <v>3</v>
      </c>
      <c r="Y811">
        <v>106.3</v>
      </c>
    </row>
    <row r="812" spans="1:25" ht="60" customHeight="1" x14ac:dyDescent="0.25">
      <c r="A812"/>
      <c r="B812" t="s">
        <v>4</v>
      </c>
      <c r="C812" t="s">
        <v>15</v>
      </c>
      <c r="D812" t="s">
        <v>618</v>
      </c>
      <c r="E812" t="s">
        <v>1971</v>
      </c>
      <c r="F812" t="s">
        <v>1972</v>
      </c>
      <c r="G812" t="s">
        <v>1219</v>
      </c>
      <c r="H812" s="11">
        <v>60.22</v>
      </c>
      <c r="I812" s="10">
        <f>H812*(1-IFERROR(VLOOKUP(G812,Rabat!$C$9:$D$43,2,0),0))</f>
        <v>60.22</v>
      </c>
      <c r="J812" t="s">
        <v>1815</v>
      </c>
      <c r="K812" t="s">
        <v>2014</v>
      </c>
      <c r="L812" t="s">
        <v>1813</v>
      </c>
      <c r="M812">
        <v>30</v>
      </c>
      <c r="N812">
        <v>720</v>
      </c>
      <c r="O812" t="s">
        <v>1818</v>
      </c>
      <c r="P812" s="12" t="str">
        <f>HYPERLINK("https://b2b.kobi.pl/pl/product/12276,oprawa-meblowa-led-wl-16w-3cct-kobi?currency=PLN")</f>
        <v>https://b2b.kobi.pl/pl/product/12276,oprawa-meblowa-led-wl-16w-3cct-kobi?currency=PLN</v>
      </c>
      <c r="Q812" s="12" t="str">
        <f>HYPERLINK("https://eprel.ec.europa.eu/qr/2213300")</f>
        <v>https://eprel.ec.europa.eu/qr/2213300</v>
      </c>
      <c r="R812"/>
      <c r="S812" t="s">
        <v>2607</v>
      </c>
      <c r="T812">
        <v>0.3</v>
      </c>
      <c r="U812">
        <v>0.36</v>
      </c>
      <c r="V812">
        <v>0.68</v>
      </c>
      <c r="W812">
        <v>4</v>
      </c>
      <c r="X812">
        <v>3</v>
      </c>
      <c r="Y812">
        <v>136.30000000000001</v>
      </c>
    </row>
    <row r="813" spans="1:25" ht="60" customHeight="1" x14ac:dyDescent="0.25">
      <c r="A813"/>
      <c r="B813" t="s">
        <v>3</v>
      </c>
      <c r="C813" t="s">
        <v>3958</v>
      </c>
      <c r="D813" t="s">
        <v>618</v>
      </c>
      <c r="E813" t="s">
        <v>3374</v>
      </c>
      <c r="F813" t="s">
        <v>956</v>
      </c>
      <c r="G813" t="s">
        <v>957</v>
      </c>
      <c r="H813" s="11">
        <v>86.42</v>
      </c>
      <c r="I813" s="10">
        <f>H813*(1-IFERROR(VLOOKUP(G813,Rabat!$C$9:$D$43,2,0),0))</f>
        <v>86.42</v>
      </c>
      <c r="J813" t="s">
        <v>1815</v>
      </c>
      <c r="K813" t="s">
        <v>391</v>
      </c>
      <c r="L813" t="s">
        <v>1813</v>
      </c>
      <c r="M813">
        <v>25</v>
      </c>
      <c r="N813"/>
      <c r="O813" t="s">
        <v>1818</v>
      </c>
      <c r="P813" s="12" t="str">
        <f>HYPERLINK("https://b2b.kobi.pl/pl/product/11151,lacznik-do-szynoprzewodu-3-obwodowy-flex-zewnetrzny-bialy-kobi?currency=PLN")</f>
        <v>https://b2b.kobi.pl/pl/product/11151,lacznik-do-szynoprzewodu-3-obwodowy-flex-zewnetrzny-bialy-kobi?currency=PLN</v>
      </c>
      <c r="Q813" t="s">
        <v>14</v>
      </c>
      <c r="R813"/>
      <c r="S813" t="s">
        <v>2618</v>
      </c>
      <c r="T813">
        <v>0</v>
      </c>
      <c r="U813">
        <v>0.15</v>
      </c>
      <c r="V813">
        <v>0.153</v>
      </c>
      <c r="W813">
        <v>26</v>
      </c>
      <c r="X813">
        <v>3.2</v>
      </c>
      <c r="Y813">
        <v>3.2</v>
      </c>
    </row>
    <row r="814" spans="1:25" ht="60" customHeight="1" x14ac:dyDescent="0.25">
      <c r="A814"/>
      <c r="B814" t="s">
        <v>3</v>
      </c>
      <c r="C814" t="s">
        <v>3958</v>
      </c>
      <c r="D814" t="s">
        <v>618</v>
      </c>
      <c r="E814" t="s">
        <v>3375</v>
      </c>
      <c r="F814" t="s">
        <v>960</v>
      </c>
      <c r="G814" t="s">
        <v>957</v>
      </c>
      <c r="H814" s="11">
        <v>86.42</v>
      </c>
      <c r="I814" s="10">
        <f>H814*(1-IFERROR(VLOOKUP(G814,Rabat!$C$9:$D$43,2,0),0))</f>
        <v>86.42</v>
      </c>
      <c r="J814" t="s">
        <v>1815</v>
      </c>
      <c r="K814" t="s">
        <v>392</v>
      </c>
      <c r="L814" t="s">
        <v>1813</v>
      </c>
      <c r="M814">
        <v>25</v>
      </c>
      <c r="N814"/>
      <c r="O814" t="s">
        <v>1818</v>
      </c>
      <c r="P814" s="12" t="str">
        <f>HYPERLINK("https://b2b.kobi.pl/pl/product/11152,lacznik-do-szynoprzewodu-3-obwodowy-flex-zewnetrzny-czarny-kobi?currency=PLN")</f>
        <v>https://b2b.kobi.pl/pl/product/11152,lacznik-do-szynoprzewodu-3-obwodowy-flex-zewnetrzny-czarny-kobi?currency=PLN</v>
      </c>
      <c r="Q814" t="s">
        <v>14</v>
      </c>
      <c r="R814"/>
      <c r="S814" t="s">
        <v>2618</v>
      </c>
      <c r="T814">
        <v>0</v>
      </c>
      <c r="U814">
        <v>0.15</v>
      </c>
      <c r="V814">
        <v>0.153</v>
      </c>
      <c r="W814">
        <v>26</v>
      </c>
      <c r="X814">
        <v>3.2</v>
      </c>
      <c r="Y814">
        <v>3.2</v>
      </c>
    </row>
    <row r="815" spans="1:25" ht="60" customHeight="1" x14ac:dyDescent="0.25">
      <c r="A815"/>
      <c r="B815" t="s">
        <v>3</v>
      </c>
      <c r="C815" t="s">
        <v>3958</v>
      </c>
      <c r="D815" t="s">
        <v>618</v>
      </c>
      <c r="E815" t="s">
        <v>963</v>
      </c>
      <c r="F815" t="s">
        <v>964</v>
      </c>
      <c r="G815" t="s">
        <v>957</v>
      </c>
      <c r="H815" s="11">
        <v>28.35</v>
      </c>
      <c r="I815" s="10">
        <f>H815*(1-IFERROR(VLOOKUP(G815,Rabat!$C$9:$D$43,2,0),0))</f>
        <v>28.35</v>
      </c>
      <c r="J815" t="s">
        <v>1815</v>
      </c>
      <c r="K815" t="s">
        <v>383</v>
      </c>
      <c r="L815" t="s">
        <v>1813</v>
      </c>
      <c r="M815">
        <v>100</v>
      </c>
      <c r="N815"/>
      <c r="O815" t="s">
        <v>1818</v>
      </c>
      <c r="P815" s="12" t="str">
        <f>HYPERLINK("https://b2b.kobi.pl/pl/product/11153,lacznik-do-szynoprzewodu-3-obwodowy-i-wewnetrzny-bialy-kobi?currency=PLN")</f>
        <v>https://b2b.kobi.pl/pl/product/11153,lacznik-do-szynoprzewodu-3-obwodowy-i-wewnetrzny-bialy-kobi?currency=PLN</v>
      </c>
      <c r="Q815" t="s">
        <v>14</v>
      </c>
      <c r="R815"/>
      <c r="S815" t="s">
        <v>2618</v>
      </c>
      <c r="T815">
        <v>0</v>
      </c>
      <c r="U815">
        <v>2.5000000000000001E-2</v>
      </c>
      <c r="V815">
        <v>2.7E-2</v>
      </c>
      <c r="W815">
        <v>7</v>
      </c>
      <c r="X815">
        <v>2</v>
      </c>
      <c r="Y815">
        <v>2</v>
      </c>
    </row>
    <row r="816" spans="1:25" ht="60" customHeight="1" x14ac:dyDescent="0.25">
      <c r="A816"/>
      <c r="B816" t="s">
        <v>3</v>
      </c>
      <c r="C816" t="s">
        <v>3958</v>
      </c>
      <c r="D816" t="s">
        <v>618</v>
      </c>
      <c r="E816" t="s">
        <v>967</v>
      </c>
      <c r="F816" t="s">
        <v>968</v>
      </c>
      <c r="G816" t="s">
        <v>957</v>
      </c>
      <c r="H816" s="11">
        <v>28.35</v>
      </c>
      <c r="I816" s="10">
        <f>H816*(1-IFERROR(VLOOKUP(G816,Rabat!$C$9:$D$43,2,0),0))</f>
        <v>28.35</v>
      </c>
      <c r="J816" t="s">
        <v>1815</v>
      </c>
      <c r="K816" t="s">
        <v>384</v>
      </c>
      <c r="L816" t="s">
        <v>1813</v>
      </c>
      <c r="M816">
        <v>100</v>
      </c>
      <c r="N816"/>
      <c r="O816" t="s">
        <v>1818</v>
      </c>
      <c r="P816" s="12" t="str">
        <f>HYPERLINK("https://b2b.kobi.pl/pl/product/11154,lacznik-do-szynoprzewodu-3-obwodowy-i-wewnetrzny-czarny-kobi?currency=PLN")</f>
        <v>https://b2b.kobi.pl/pl/product/11154,lacznik-do-szynoprzewodu-3-obwodowy-i-wewnetrzny-czarny-kobi?currency=PLN</v>
      </c>
      <c r="Q816" t="s">
        <v>14</v>
      </c>
      <c r="R816"/>
      <c r="S816" t="s">
        <v>2618</v>
      </c>
      <c r="T816">
        <v>0</v>
      </c>
      <c r="U816">
        <v>2.5000000000000001E-2</v>
      </c>
      <c r="V816">
        <v>0.27</v>
      </c>
      <c r="W816">
        <v>7</v>
      </c>
      <c r="X816">
        <v>2</v>
      </c>
      <c r="Y816">
        <v>2</v>
      </c>
    </row>
    <row r="817" spans="1:25" ht="60" customHeight="1" x14ac:dyDescent="0.25">
      <c r="A817"/>
      <c r="B817" t="s">
        <v>3</v>
      </c>
      <c r="C817" t="s">
        <v>3958</v>
      </c>
      <c r="D817" t="s">
        <v>618</v>
      </c>
      <c r="E817" t="s">
        <v>971</v>
      </c>
      <c r="F817" t="s">
        <v>972</v>
      </c>
      <c r="G817" t="s">
        <v>957</v>
      </c>
      <c r="H817" s="11">
        <v>49</v>
      </c>
      <c r="I817" s="10">
        <f>H817*(1-IFERROR(VLOOKUP(G817,Rabat!$C$9:$D$43,2,0),0))</f>
        <v>49</v>
      </c>
      <c r="J817" t="s">
        <v>1815</v>
      </c>
      <c r="K817" t="s">
        <v>385</v>
      </c>
      <c r="L817" t="s">
        <v>1813</v>
      </c>
      <c r="M817">
        <v>50</v>
      </c>
      <c r="N817"/>
      <c r="O817" t="s">
        <v>1818</v>
      </c>
      <c r="P817" s="12" t="str">
        <f>HYPERLINK("https://b2b.kobi.pl/pl/product/11155,lacznik-do-szynoprzewodu-3-obwodowy-i-zewnetrzny-bialy-kobi?currency=PLN")</f>
        <v>https://b2b.kobi.pl/pl/product/11155,lacznik-do-szynoprzewodu-3-obwodowy-i-zewnetrzny-bialy-kobi?currency=PLN</v>
      </c>
      <c r="Q817" t="s">
        <v>14</v>
      </c>
      <c r="R817"/>
      <c r="S817" t="s">
        <v>2618</v>
      </c>
      <c r="T817">
        <v>0</v>
      </c>
      <c r="U817">
        <v>0.10199999999999999</v>
      </c>
      <c r="V817">
        <v>0.27</v>
      </c>
      <c r="W817">
        <v>7</v>
      </c>
      <c r="X817">
        <v>2</v>
      </c>
      <c r="Y817">
        <v>2</v>
      </c>
    </row>
    <row r="818" spans="1:25" ht="60" customHeight="1" x14ac:dyDescent="0.25">
      <c r="A818"/>
      <c r="B818" t="s">
        <v>3</v>
      </c>
      <c r="C818" t="s">
        <v>3958</v>
      </c>
      <c r="D818" t="s">
        <v>618</v>
      </c>
      <c r="E818" t="s">
        <v>976</v>
      </c>
      <c r="F818" t="s">
        <v>977</v>
      </c>
      <c r="G818" t="s">
        <v>957</v>
      </c>
      <c r="H818" s="11">
        <v>49</v>
      </c>
      <c r="I818" s="10">
        <f>H818*(1-IFERROR(VLOOKUP(G818,Rabat!$C$9:$D$43,2,0),0))</f>
        <v>49</v>
      </c>
      <c r="J818" t="s">
        <v>1815</v>
      </c>
      <c r="K818" t="s">
        <v>386</v>
      </c>
      <c r="L818" t="s">
        <v>1813</v>
      </c>
      <c r="M818">
        <v>50</v>
      </c>
      <c r="N818"/>
      <c r="O818" t="s">
        <v>1818</v>
      </c>
      <c r="P818" s="12" t="str">
        <f>HYPERLINK("https://b2b.kobi.pl/pl/product/11156,lacznik-do-szynoprzewodu-3-obwodowy-i-zewnetrzny-czarny-kobi?currency=PLN")</f>
        <v>https://b2b.kobi.pl/pl/product/11156,lacznik-do-szynoprzewodu-3-obwodowy-i-zewnetrzny-czarny-kobi?currency=PLN</v>
      </c>
      <c r="Q818" t="s">
        <v>14</v>
      </c>
      <c r="R818"/>
      <c r="S818" t="s">
        <v>2618</v>
      </c>
      <c r="T818">
        <v>0</v>
      </c>
      <c r="U818">
        <v>0.10199999999999999</v>
      </c>
      <c r="V818">
        <v>0.27</v>
      </c>
      <c r="W818">
        <v>7</v>
      </c>
      <c r="X818">
        <v>2</v>
      </c>
      <c r="Y818">
        <v>2</v>
      </c>
    </row>
    <row r="819" spans="1:25" ht="60" customHeight="1" x14ac:dyDescent="0.25">
      <c r="A819"/>
      <c r="B819" t="s">
        <v>3</v>
      </c>
      <c r="C819" t="s">
        <v>3958</v>
      </c>
      <c r="D819" t="s">
        <v>618</v>
      </c>
      <c r="E819" t="s">
        <v>3376</v>
      </c>
      <c r="F819" t="s">
        <v>986</v>
      </c>
      <c r="G819" t="s">
        <v>957</v>
      </c>
      <c r="H819" s="11">
        <v>65</v>
      </c>
      <c r="I819" s="10">
        <f>H819*(1-IFERROR(VLOOKUP(G819,Rabat!$C$9:$D$43,2,0),0))</f>
        <v>65</v>
      </c>
      <c r="J819" t="s">
        <v>1815</v>
      </c>
      <c r="K819" t="s">
        <v>393</v>
      </c>
      <c r="L819" t="s">
        <v>1813</v>
      </c>
      <c r="M819">
        <v>25</v>
      </c>
      <c r="N819"/>
      <c r="O819" t="s">
        <v>1818</v>
      </c>
      <c r="P819" s="12" t="str">
        <f>HYPERLINK("https://b2b.kobi.pl/pl/product/11157,lacznik-do-szynoprzewodu-3-obwodowy-t-zewnetrzny-bialy-kobi?currency=PLN")</f>
        <v>https://b2b.kobi.pl/pl/product/11157,lacznik-do-szynoprzewodu-3-obwodowy-t-zewnetrzny-bialy-kobi?currency=PLN</v>
      </c>
      <c r="Q819" t="s">
        <v>14</v>
      </c>
      <c r="R819"/>
      <c r="S819" t="s">
        <v>2618</v>
      </c>
      <c r="T819">
        <v>0</v>
      </c>
      <c r="U819">
        <v>0.154</v>
      </c>
      <c r="V819">
        <v>0.158</v>
      </c>
      <c r="W819">
        <v>14</v>
      </c>
      <c r="X819">
        <v>9</v>
      </c>
      <c r="Y819">
        <v>2</v>
      </c>
    </row>
    <row r="820" spans="1:25" ht="60" customHeight="1" x14ac:dyDescent="0.25">
      <c r="A820"/>
      <c r="B820" t="s">
        <v>3</v>
      </c>
      <c r="C820" t="s">
        <v>3958</v>
      </c>
      <c r="D820" t="s">
        <v>618</v>
      </c>
      <c r="E820" t="s">
        <v>3377</v>
      </c>
      <c r="F820" t="s">
        <v>989</v>
      </c>
      <c r="G820" t="s">
        <v>957</v>
      </c>
      <c r="H820" s="11">
        <v>65</v>
      </c>
      <c r="I820" s="10">
        <f>H820*(1-IFERROR(VLOOKUP(G820,Rabat!$C$9:$D$43,2,0),0))</f>
        <v>65</v>
      </c>
      <c r="J820" t="s">
        <v>1815</v>
      </c>
      <c r="K820" t="s">
        <v>394</v>
      </c>
      <c r="L820" t="s">
        <v>1813</v>
      </c>
      <c r="M820">
        <v>25</v>
      </c>
      <c r="N820"/>
      <c r="O820" t="s">
        <v>1818</v>
      </c>
      <c r="P820" s="12" t="str">
        <f>HYPERLINK("https://b2b.kobi.pl/pl/product/11158,lacznik-do-szynoprzewodu-3-obwodowy-t-zewnetrzny-czarny-kobi?currency=PLN")</f>
        <v>https://b2b.kobi.pl/pl/product/11158,lacznik-do-szynoprzewodu-3-obwodowy-t-zewnetrzny-czarny-kobi?currency=PLN</v>
      </c>
      <c r="Q820" t="s">
        <v>14</v>
      </c>
      <c r="R820"/>
      <c r="S820" t="s">
        <v>2618</v>
      </c>
      <c r="T820">
        <v>0</v>
      </c>
      <c r="U820">
        <v>0.154</v>
      </c>
      <c r="V820">
        <v>0.158</v>
      </c>
      <c r="W820">
        <v>14</v>
      </c>
      <c r="X820">
        <v>9</v>
      </c>
      <c r="Y820">
        <v>2</v>
      </c>
    </row>
    <row r="821" spans="1:25" ht="60" customHeight="1" x14ac:dyDescent="0.25">
      <c r="A821"/>
      <c r="B821" t="s">
        <v>3</v>
      </c>
      <c r="C821" t="s">
        <v>3958</v>
      </c>
      <c r="D821" t="s">
        <v>618</v>
      </c>
      <c r="E821" t="s">
        <v>3378</v>
      </c>
      <c r="F821" t="s">
        <v>990</v>
      </c>
      <c r="G821" t="s">
        <v>957</v>
      </c>
      <c r="H821" s="11">
        <v>120</v>
      </c>
      <c r="I821" s="10">
        <f>H821*(1-IFERROR(VLOOKUP(G821,Rabat!$C$9:$D$43,2,0),0))</f>
        <v>120</v>
      </c>
      <c r="J821" t="s">
        <v>1815</v>
      </c>
      <c r="K821" t="s">
        <v>395</v>
      </c>
      <c r="L821" t="s">
        <v>1813</v>
      </c>
      <c r="M821">
        <v>10</v>
      </c>
      <c r="N821"/>
      <c r="O821" t="s">
        <v>1818</v>
      </c>
      <c r="P821" s="12" t="str">
        <f>HYPERLINK("https://b2b.kobi.pl/pl/product/11159,lacznik-do-szynoprzewodu-3-obwodowy-x-zewnetrzny-bialy-kobi?currency=PLN")</f>
        <v>https://b2b.kobi.pl/pl/product/11159,lacznik-do-szynoprzewodu-3-obwodowy-x-zewnetrzny-bialy-kobi?currency=PLN</v>
      </c>
      <c r="Q821" t="s">
        <v>14</v>
      </c>
      <c r="R821"/>
      <c r="S821" t="s">
        <v>2618</v>
      </c>
      <c r="T821">
        <v>0</v>
      </c>
      <c r="U821">
        <v>0.20499999999999999</v>
      </c>
      <c r="V821">
        <v>0.21099999999999999</v>
      </c>
      <c r="W821">
        <v>16</v>
      </c>
      <c r="X821">
        <v>16</v>
      </c>
      <c r="Y821">
        <v>3</v>
      </c>
    </row>
    <row r="822" spans="1:25" ht="60" customHeight="1" x14ac:dyDescent="0.25">
      <c r="A822"/>
      <c r="B822" t="s">
        <v>3</v>
      </c>
      <c r="C822" t="s">
        <v>3958</v>
      </c>
      <c r="D822" t="s">
        <v>618</v>
      </c>
      <c r="E822" t="s">
        <v>3379</v>
      </c>
      <c r="F822" t="s">
        <v>991</v>
      </c>
      <c r="G822" t="s">
        <v>957</v>
      </c>
      <c r="H822" s="11">
        <v>120</v>
      </c>
      <c r="I822" s="10">
        <f>H822*(1-IFERROR(VLOOKUP(G822,Rabat!$C$9:$D$43,2,0),0))</f>
        <v>120</v>
      </c>
      <c r="J822" t="s">
        <v>1815</v>
      </c>
      <c r="K822" t="s">
        <v>396</v>
      </c>
      <c r="L822" t="s">
        <v>1813</v>
      </c>
      <c r="M822">
        <v>10</v>
      </c>
      <c r="N822"/>
      <c r="O822" t="s">
        <v>1818</v>
      </c>
      <c r="P822" s="12" t="str">
        <f>HYPERLINK("https://b2b.kobi.pl/pl/product/11160,lacznik-do-szynoprzewodu-3-obwodowy-x-zewnetrzny-czarny-kobi?currency=PLN")</f>
        <v>https://b2b.kobi.pl/pl/product/11160,lacznik-do-szynoprzewodu-3-obwodowy-x-zewnetrzny-czarny-kobi?currency=PLN</v>
      </c>
      <c r="Q822" t="s">
        <v>14</v>
      </c>
      <c r="R822"/>
      <c r="S822" t="s">
        <v>2618</v>
      </c>
      <c r="T822">
        <v>0</v>
      </c>
      <c r="U822">
        <v>0.20499999999999999</v>
      </c>
      <c r="V822">
        <v>0.21099999999999999</v>
      </c>
      <c r="W822">
        <v>16</v>
      </c>
      <c r="X822">
        <v>16</v>
      </c>
      <c r="Y822">
        <v>3</v>
      </c>
    </row>
    <row r="823" spans="1:25" ht="60" customHeight="1" x14ac:dyDescent="0.25">
      <c r="A823"/>
      <c r="B823" t="s">
        <v>3</v>
      </c>
      <c r="C823" t="s">
        <v>3958</v>
      </c>
      <c r="D823" t="s">
        <v>618</v>
      </c>
      <c r="E823" t="s">
        <v>3380</v>
      </c>
      <c r="F823" t="s">
        <v>980</v>
      </c>
      <c r="G823" t="s">
        <v>957</v>
      </c>
      <c r="H823" s="11">
        <v>59</v>
      </c>
      <c r="I823" s="10">
        <f>H823*(1-IFERROR(VLOOKUP(G823,Rabat!$C$9:$D$43,2,0),0))</f>
        <v>59</v>
      </c>
      <c r="J823" t="s">
        <v>1815</v>
      </c>
      <c r="K823" t="s">
        <v>387</v>
      </c>
      <c r="L823" t="s">
        <v>1813</v>
      </c>
      <c r="M823">
        <v>25</v>
      </c>
      <c r="N823"/>
      <c r="O823" t="s">
        <v>1818</v>
      </c>
      <c r="P823" s="12" t="str">
        <f>HYPERLINK("https://b2b.kobi.pl/pl/product/11161,lacznik-do-szynoprzewodu-3-obwodowy-l-lewy-zewnetrzny-bialy-kobi?currency=PLN")</f>
        <v>https://b2b.kobi.pl/pl/product/11161,lacznik-do-szynoprzewodu-3-obwodowy-l-lewy-zewnetrzny-bialy-kobi?currency=PLN</v>
      </c>
      <c r="Q823" t="s">
        <v>14</v>
      </c>
      <c r="R823"/>
      <c r="S823" t="s">
        <v>2618</v>
      </c>
      <c r="T823">
        <v>0</v>
      </c>
      <c r="U823">
        <v>0.10299999999999999</v>
      </c>
      <c r="V823">
        <v>0.106</v>
      </c>
      <c r="W823">
        <v>9</v>
      </c>
      <c r="X823">
        <v>9</v>
      </c>
      <c r="Y823">
        <v>3</v>
      </c>
    </row>
    <row r="824" spans="1:25" ht="60" customHeight="1" x14ac:dyDescent="0.25">
      <c r="A824"/>
      <c r="B824" t="s">
        <v>3</v>
      </c>
      <c r="C824" t="s">
        <v>3958</v>
      </c>
      <c r="D824" t="s">
        <v>618</v>
      </c>
      <c r="E824" t="s">
        <v>3381</v>
      </c>
      <c r="F824" t="s">
        <v>981</v>
      </c>
      <c r="G824" t="s">
        <v>957</v>
      </c>
      <c r="H824" s="11">
        <v>59</v>
      </c>
      <c r="I824" s="10">
        <f>H824*(1-IFERROR(VLOOKUP(G824,Rabat!$C$9:$D$43,2,0),0))</f>
        <v>59</v>
      </c>
      <c r="J824" t="s">
        <v>1815</v>
      </c>
      <c r="K824" t="s">
        <v>388</v>
      </c>
      <c r="L824" t="s">
        <v>1813</v>
      </c>
      <c r="M824">
        <v>25</v>
      </c>
      <c r="N824"/>
      <c r="O824" t="s">
        <v>1818</v>
      </c>
      <c r="P824" s="12" t="str">
        <f>HYPERLINK("https://b2b.kobi.pl/pl/product/11162,lacznik-do-szynoprzewodu-3-obwodowy-l-lewy-zewnetrzny-czarny-kobi?currency=PLN")</f>
        <v>https://b2b.kobi.pl/pl/product/11162,lacznik-do-szynoprzewodu-3-obwodowy-l-lewy-zewnetrzny-czarny-kobi?currency=PLN</v>
      </c>
      <c r="Q824" t="s">
        <v>14</v>
      </c>
      <c r="R824"/>
      <c r="S824" t="s">
        <v>2618</v>
      </c>
      <c r="T824">
        <v>0</v>
      </c>
      <c r="U824">
        <v>0.10299999999999999</v>
      </c>
      <c r="V824">
        <v>0.106</v>
      </c>
      <c r="W824">
        <v>9</v>
      </c>
      <c r="X824">
        <v>9</v>
      </c>
      <c r="Y824">
        <v>3</v>
      </c>
    </row>
    <row r="825" spans="1:25" ht="60" customHeight="1" x14ac:dyDescent="0.25">
      <c r="A825"/>
      <c r="B825" t="s">
        <v>3</v>
      </c>
      <c r="C825" t="s">
        <v>3958</v>
      </c>
      <c r="D825" t="s">
        <v>618</v>
      </c>
      <c r="E825" t="s">
        <v>3382</v>
      </c>
      <c r="F825" t="s">
        <v>982</v>
      </c>
      <c r="G825" t="s">
        <v>957</v>
      </c>
      <c r="H825" s="11">
        <v>59</v>
      </c>
      <c r="I825" s="10">
        <f>H825*(1-IFERROR(VLOOKUP(G825,Rabat!$C$9:$D$43,2,0),0))</f>
        <v>59</v>
      </c>
      <c r="J825" t="s">
        <v>1815</v>
      </c>
      <c r="K825" t="s">
        <v>389</v>
      </c>
      <c r="L825" t="s">
        <v>1813</v>
      </c>
      <c r="M825">
        <v>25</v>
      </c>
      <c r="N825"/>
      <c r="O825" t="s">
        <v>1818</v>
      </c>
      <c r="P825" s="12" t="str">
        <f>HYPERLINK("https://b2b.kobi.pl/pl/product/11163,lacznik-do-szynoprzewodu-3-obwodowy-l-prawy-zewnetrzny-bialy-kobi?currency=PLN")</f>
        <v>https://b2b.kobi.pl/pl/product/11163,lacznik-do-szynoprzewodu-3-obwodowy-l-prawy-zewnetrzny-bialy-kobi?currency=PLN</v>
      </c>
      <c r="Q825" t="s">
        <v>14</v>
      </c>
      <c r="R825"/>
      <c r="S825" t="s">
        <v>2618</v>
      </c>
      <c r="T825">
        <v>0</v>
      </c>
      <c r="U825">
        <v>0.10299999999999999</v>
      </c>
      <c r="V825">
        <v>0.106</v>
      </c>
      <c r="W825">
        <v>10</v>
      </c>
      <c r="X825">
        <v>10</v>
      </c>
      <c r="Y825">
        <v>3.2</v>
      </c>
    </row>
    <row r="826" spans="1:25" ht="60" customHeight="1" x14ac:dyDescent="0.25">
      <c r="A826"/>
      <c r="B826" t="s">
        <v>3</v>
      </c>
      <c r="C826" t="s">
        <v>3958</v>
      </c>
      <c r="D826" t="s">
        <v>618</v>
      </c>
      <c r="E826" t="s">
        <v>3383</v>
      </c>
      <c r="F826" t="s">
        <v>985</v>
      </c>
      <c r="G826" t="s">
        <v>957</v>
      </c>
      <c r="H826" s="11">
        <v>59</v>
      </c>
      <c r="I826" s="10">
        <f>H826*(1-IFERROR(VLOOKUP(G826,Rabat!$C$9:$D$43,2,0),0))</f>
        <v>59</v>
      </c>
      <c r="J826" t="s">
        <v>1815</v>
      </c>
      <c r="K826" t="s">
        <v>390</v>
      </c>
      <c r="L826" t="s">
        <v>1813</v>
      </c>
      <c r="M826">
        <v>25</v>
      </c>
      <c r="N826"/>
      <c r="O826" t="s">
        <v>1818</v>
      </c>
      <c r="P826" s="12" t="str">
        <f>HYPERLINK("https://b2b.kobi.pl/pl/product/11164,lacznik-do-szynoprzewodu-3-obwodowy-l-prawy-zewnetrzny-czarny-kobi?currency=PLN")</f>
        <v>https://b2b.kobi.pl/pl/product/11164,lacznik-do-szynoprzewodu-3-obwodowy-l-prawy-zewnetrzny-czarny-kobi?currency=PLN</v>
      </c>
      <c r="Q826" t="s">
        <v>14</v>
      </c>
      <c r="R826"/>
      <c r="S826" t="s">
        <v>2618</v>
      </c>
      <c r="T826">
        <v>0</v>
      </c>
      <c r="U826">
        <v>0.10299999999999999</v>
      </c>
      <c r="V826">
        <v>0.106</v>
      </c>
      <c r="W826">
        <v>10</v>
      </c>
      <c r="X826">
        <v>10</v>
      </c>
      <c r="Y826">
        <v>3.2</v>
      </c>
    </row>
    <row r="827" spans="1:25" ht="60" customHeight="1" x14ac:dyDescent="0.25">
      <c r="A827"/>
      <c r="B827" t="s">
        <v>3</v>
      </c>
      <c r="C827" t="s">
        <v>3958</v>
      </c>
      <c r="D827" t="s">
        <v>618</v>
      </c>
      <c r="E827" t="s">
        <v>1379</v>
      </c>
      <c r="F827" t="s">
        <v>1380</v>
      </c>
      <c r="G827" t="s">
        <v>957</v>
      </c>
      <c r="H827" s="11">
        <v>221.55</v>
      </c>
      <c r="I827" s="10">
        <f>H827*(1-IFERROR(VLOOKUP(G827,Rabat!$C$9:$D$43,2,0),0))</f>
        <v>221.55</v>
      </c>
      <c r="J827" t="s">
        <v>1815</v>
      </c>
      <c r="K827" t="s">
        <v>373</v>
      </c>
      <c r="L827" t="s">
        <v>1813</v>
      </c>
      <c r="M827">
        <v>10</v>
      </c>
      <c r="N827"/>
      <c r="O827" t="s">
        <v>1818</v>
      </c>
      <c r="P827" s="12" t="str">
        <f>HYPERLINK("https://b2b.kobi.pl/pl/product/11167,szynoprzewod-3-obwodowy-2m-bialy-kobi?currency=PLN")</f>
        <v>https://b2b.kobi.pl/pl/product/11167,szynoprzewod-3-obwodowy-2m-bialy-kobi?currency=PLN</v>
      </c>
      <c r="Q827" t="s">
        <v>14</v>
      </c>
      <c r="R827"/>
      <c r="S827" t="s">
        <v>2617</v>
      </c>
      <c r="T827">
        <v>0</v>
      </c>
      <c r="U827">
        <v>1.54</v>
      </c>
      <c r="V827">
        <v>1.7</v>
      </c>
      <c r="W827">
        <v>200</v>
      </c>
      <c r="X827">
        <v>4</v>
      </c>
      <c r="Y827">
        <v>3</v>
      </c>
    </row>
    <row r="828" spans="1:25" ht="60" customHeight="1" x14ac:dyDescent="0.25">
      <c r="A828"/>
      <c r="B828" t="s">
        <v>3</v>
      </c>
      <c r="C828" t="s">
        <v>3958</v>
      </c>
      <c r="D828" t="s">
        <v>618</v>
      </c>
      <c r="E828" t="s">
        <v>1381</v>
      </c>
      <c r="F828" t="s">
        <v>1382</v>
      </c>
      <c r="G828" t="s">
        <v>957</v>
      </c>
      <c r="H828" s="11">
        <v>221.55</v>
      </c>
      <c r="I828" s="10">
        <f>H828*(1-IFERROR(VLOOKUP(G828,Rabat!$C$9:$D$43,2,0),0))</f>
        <v>221.55</v>
      </c>
      <c r="J828" t="s">
        <v>1815</v>
      </c>
      <c r="K828" t="s">
        <v>374</v>
      </c>
      <c r="L828" t="s">
        <v>1813</v>
      </c>
      <c r="M828">
        <v>10</v>
      </c>
      <c r="N828"/>
      <c r="O828" t="s">
        <v>1818</v>
      </c>
      <c r="P828" s="12" t="str">
        <f>HYPERLINK("https://b2b.kobi.pl/pl/product/11168,szynoprzewod-3-obwodowy-2m-czarny-kobi?currency=PLN")</f>
        <v>https://b2b.kobi.pl/pl/product/11168,szynoprzewod-3-obwodowy-2m-czarny-kobi?currency=PLN</v>
      </c>
      <c r="Q828" t="s">
        <v>14</v>
      </c>
      <c r="R828"/>
      <c r="S828" t="s">
        <v>2617</v>
      </c>
      <c r="T828">
        <v>0</v>
      </c>
      <c r="U828">
        <v>1.54</v>
      </c>
      <c r="V828">
        <v>1.7</v>
      </c>
      <c r="W828">
        <v>200</v>
      </c>
      <c r="X828">
        <v>4</v>
      </c>
      <c r="Y828">
        <v>3</v>
      </c>
    </row>
    <row r="829" spans="1:25" ht="60" customHeight="1" x14ac:dyDescent="0.25">
      <c r="A829"/>
      <c r="B829" t="s">
        <v>3</v>
      </c>
      <c r="C829" t="s">
        <v>3958</v>
      </c>
      <c r="D829" t="s">
        <v>618</v>
      </c>
      <c r="E829" t="s">
        <v>1466</v>
      </c>
      <c r="F829" t="s">
        <v>1467</v>
      </c>
      <c r="G829" t="s">
        <v>957</v>
      </c>
      <c r="H829" s="11">
        <v>7.35</v>
      </c>
      <c r="I829" s="10">
        <f>H829*(1-IFERROR(VLOOKUP(G829,Rabat!$C$9:$D$43,2,0),0))</f>
        <v>7.35</v>
      </c>
      <c r="J829" t="s">
        <v>1815</v>
      </c>
      <c r="K829" t="s">
        <v>379</v>
      </c>
      <c r="L829" t="s">
        <v>1813</v>
      </c>
      <c r="M829">
        <v>200</v>
      </c>
      <c r="N829"/>
      <c r="O829" t="s">
        <v>1818</v>
      </c>
      <c r="P829" s="12" t="str">
        <f>HYPERLINK("https://b2b.kobi.pl/pl/product/11169,zaslepka-do-szynoprzewodu-3-obwodowego-biala-kobi?currency=PLN")</f>
        <v>https://b2b.kobi.pl/pl/product/11169,zaslepka-do-szynoprzewodu-3-obwodowego-biala-kobi?currency=PLN</v>
      </c>
      <c r="Q829" t="s">
        <v>14</v>
      </c>
      <c r="R829"/>
      <c r="S829" t="s">
        <v>2619</v>
      </c>
      <c r="T829">
        <v>0</v>
      </c>
      <c r="U829">
        <v>8.0000000000000002E-3</v>
      </c>
      <c r="V829">
        <v>8.9999999999999993E-3</v>
      </c>
      <c r="W829">
        <v>3</v>
      </c>
      <c r="X829">
        <v>1</v>
      </c>
      <c r="Y829">
        <v>4</v>
      </c>
    </row>
    <row r="830" spans="1:25" ht="60" customHeight="1" x14ac:dyDescent="0.25">
      <c r="A830"/>
      <c r="B830" t="s">
        <v>3</v>
      </c>
      <c r="C830" t="s">
        <v>3958</v>
      </c>
      <c r="D830" t="s">
        <v>618</v>
      </c>
      <c r="E830" t="s">
        <v>1468</v>
      </c>
      <c r="F830" t="s">
        <v>1469</v>
      </c>
      <c r="G830" t="s">
        <v>957</v>
      </c>
      <c r="H830" s="11">
        <v>7.35</v>
      </c>
      <c r="I830" s="10">
        <f>H830*(1-IFERROR(VLOOKUP(G830,Rabat!$C$9:$D$43,2,0),0))</f>
        <v>7.35</v>
      </c>
      <c r="J830" t="s">
        <v>1815</v>
      </c>
      <c r="K830" t="s">
        <v>380</v>
      </c>
      <c r="L830" t="s">
        <v>1813</v>
      </c>
      <c r="M830">
        <v>200</v>
      </c>
      <c r="N830"/>
      <c r="O830" t="s">
        <v>1818</v>
      </c>
      <c r="P830" s="12" t="str">
        <f>HYPERLINK("https://b2b.kobi.pl/pl/product/11170,zaslepka-do-szynoprzewodu-3-obwodowego-czarna-kobi?currency=PLN")</f>
        <v>https://b2b.kobi.pl/pl/product/11170,zaslepka-do-szynoprzewodu-3-obwodowego-czarna-kobi?currency=PLN</v>
      </c>
      <c r="Q830" t="s">
        <v>14</v>
      </c>
      <c r="R830"/>
      <c r="S830" t="s">
        <v>2619</v>
      </c>
      <c r="T830">
        <v>0</v>
      </c>
      <c r="U830">
        <v>8.0000000000000002E-3</v>
      </c>
      <c r="V830">
        <v>8.9999999999999993E-3</v>
      </c>
      <c r="W830">
        <v>3</v>
      </c>
      <c r="X830">
        <v>1</v>
      </c>
      <c r="Y830">
        <v>4</v>
      </c>
    </row>
    <row r="831" spans="1:25" ht="60" customHeight="1" x14ac:dyDescent="0.25">
      <c r="A831"/>
      <c r="B831" t="s">
        <v>3</v>
      </c>
      <c r="C831" t="s">
        <v>3958</v>
      </c>
      <c r="D831" t="s">
        <v>618</v>
      </c>
      <c r="E831" t="s">
        <v>1458</v>
      </c>
      <c r="F831" t="s">
        <v>1459</v>
      </c>
      <c r="G831" t="s">
        <v>957</v>
      </c>
      <c r="H831" s="11">
        <v>34.65</v>
      </c>
      <c r="I831" s="10">
        <f>H831*(1-IFERROR(VLOOKUP(G831,Rabat!$C$9:$D$43,2,0),0))</f>
        <v>34.65</v>
      </c>
      <c r="J831" t="s">
        <v>1815</v>
      </c>
      <c r="K831" t="s">
        <v>375</v>
      </c>
      <c r="L831" t="s">
        <v>1813</v>
      </c>
      <c r="M831">
        <v>50</v>
      </c>
      <c r="N831"/>
      <c r="O831" t="s">
        <v>1818</v>
      </c>
      <c r="P831" s="12" t="str">
        <f>HYPERLINK("https://b2b.kobi.pl/pl/product/11171,zasilanie-do-szynoprzewodu-3-obwodowego-lewe-biale-kobi?currency=PLN")</f>
        <v>https://b2b.kobi.pl/pl/product/11171,zasilanie-do-szynoprzewodu-3-obwodowego-lewe-biale-kobi?currency=PLN</v>
      </c>
      <c r="Q831" t="s">
        <v>14</v>
      </c>
      <c r="R831"/>
      <c r="S831" t="s">
        <v>2618</v>
      </c>
      <c r="T831">
        <v>0</v>
      </c>
      <c r="U831">
        <v>5.3999999999999999E-2</v>
      </c>
      <c r="V831">
        <v>5.7000000000000002E-2</v>
      </c>
      <c r="W831">
        <v>10</v>
      </c>
      <c r="X831">
        <v>3</v>
      </c>
      <c r="Y831">
        <v>3</v>
      </c>
    </row>
    <row r="832" spans="1:25" ht="60" customHeight="1" x14ac:dyDescent="0.25">
      <c r="A832"/>
      <c r="B832" t="s">
        <v>3</v>
      </c>
      <c r="C832" t="s">
        <v>3958</v>
      </c>
      <c r="D832" t="s">
        <v>618</v>
      </c>
      <c r="E832" t="s">
        <v>1460</v>
      </c>
      <c r="F832" t="s">
        <v>1461</v>
      </c>
      <c r="G832" t="s">
        <v>957</v>
      </c>
      <c r="H832" s="11">
        <v>34.65</v>
      </c>
      <c r="I832" s="10">
        <f>H832*(1-IFERROR(VLOOKUP(G832,Rabat!$C$9:$D$43,2,0),0))</f>
        <v>34.65</v>
      </c>
      <c r="J832" t="s">
        <v>1815</v>
      </c>
      <c r="K832" t="s">
        <v>376</v>
      </c>
      <c r="L832" t="s">
        <v>1813</v>
      </c>
      <c r="M832">
        <v>50</v>
      </c>
      <c r="N832"/>
      <c r="O832" t="s">
        <v>1818</v>
      </c>
      <c r="P832" s="12" t="str">
        <f>HYPERLINK("https://b2b.kobi.pl/pl/product/11172,zasilanie-do-szynoprzewodu-3-obwodowego-lewe-czarne-kobi?currency=PLN")</f>
        <v>https://b2b.kobi.pl/pl/product/11172,zasilanie-do-szynoprzewodu-3-obwodowego-lewe-czarne-kobi?currency=PLN</v>
      </c>
      <c r="Q832" t="s">
        <v>14</v>
      </c>
      <c r="R832"/>
      <c r="S832" t="s">
        <v>2618</v>
      </c>
      <c r="T832">
        <v>0</v>
      </c>
      <c r="U832">
        <v>5.3999999999999999E-2</v>
      </c>
      <c r="V832">
        <v>5.7000000000000002E-2</v>
      </c>
      <c r="W832">
        <v>10</v>
      </c>
      <c r="X832">
        <v>3</v>
      </c>
      <c r="Y832">
        <v>3</v>
      </c>
    </row>
    <row r="833" spans="1:25" ht="60" customHeight="1" x14ac:dyDescent="0.25">
      <c r="A833"/>
      <c r="B833" t="s">
        <v>3</v>
      </c>
      <c r="C833" t="s">
        <v>3958</v>
      </c>
      <c r="D833" t="s">
        <v>618</v>
      </c>
      <c r="E833" t="s">
        <v>1462</v>
      </c>
      <c r="F833" t="s">
        <v>1463</v>
      </c>
      <c r="G833" t="s">
        <v>957</v>
      </c>
      <c r="H833" s="11">
        <v>34.65</v>
      </c>
      <c r="I833" s="10">
        <f>H833*(1-IFERROR(VLOOKUP(G833,Rabat!$C$9:$D$43,2,0),0))</f>
        <v>34.65</v>
      </c>
      <c r="J833" t="s">
        <v>1815</v>
      </c>
      <c r="K833" t="s">
        <v>377</v>
      </c>
      <c r="L833" t="s">
        <v>1813</v>
      </c>
      <c r="M833">
        <v>50</v>
      </c>
      <c r="N833"/>
      <c r="O833" t="s">
        <v>1818</v>
      </c>
      <c r="P833" s="12" t="str">
        <f>HYPERLINK("https://b2b.kobi.pl/pl/product/11173,zasilanie-do-szynoprzewodu-3-obwodowego-prawe-biale-kobi?currency=PLN")</f>
        <v>https://b2b.kobi.pl/pl/product/11173,zasilanie-do-szynoprzewodu-3-obwodowego-prawe-biale-kobi?currency=PLN</v>
      </c>
      <c r="Q833" t="s">
        <v>14</v>
      </c>
      <c r="R833"/>
      <c r="S833" t="s">
        <v>2618</v>
      </c>
      <c r="T833">
        <v>0</v>
      </c>
      <c r="U833">
        <v>5.3999999999999999E-2</v>
      </c>
      <c r="V833">
        <v>5.7000000000000002E-2</v>
      </c>
      <c r="W833">
        <v>10</v>
      </c>
      <c r="X833">
        <v>3</v>
      </c>
      <c r="Y833">
        <v>3</v>
      </c>
    </row>
    <row r="834" spans="1:25" ht="60" customHeight="1" x14ac:dyDescent="0.25">
      <c r="A834"/>
      <c r="B834" t="s">
        <v>3</v>
      </c>
      <c r="C834" t="s">
        <v>3958</v>
      </c>
      <c r="D834" t="s">
        <v>618</v>
      </c>
      <c r="E834" t="s">
        <v>1464</v>
      </c>
      <c r="F834" t="s">
        <v>1465</v>
      </c>
      <c r="G834" t="s">
        <v>957</v>
      </c>
      <c r="H834" s="11">
        <v>34.65</v>
      </c>
      <c r="I834" s="10">
        <f>H834*(1-IFERROR(VLOOKUP(G834,Rabat!$C$9:$D$43,2,0),0))</f>
        <v>34.65</v>
      </c>
      <c r="J834" t="s">
        <v>1815</v>
      </c>
      <c r="K834" t="s">
        <v>378</v>
      </c>
      <c r="L834" t="s">
        <v>1813</v>
      </c>
      <c r="M834">
        <v>50</v>
      </c>
      <c r="N834"/>
      <c r="O834" t="s">
        <v>1818</v>
      </c>
      <c r="P834" s="12" t="str">
        <f>HYPERLINK("https://b2b.kobi.pl/pl/product/11174,zasilanie-do-szynoprzewodu-3-obwodowego-prawe-czarne-kobi?currency=PLN")</f>
        <v>https://b2b.kobi.pl/pl/product/11174,zasilanie-do-szynoprzewodu-3-obwodowego-prawe-czarne-kobi?currency=PLN</v>
      </c>
      <c r="Q834" t="s">
        <v>14</v>
      </c>
      <c r="R834"/>
      <c r="S834" t="s">
        <v>2618</v>
      </c>
      <c r="T834">
        <v>0</v>
      </c>
      <c r="U834">
        <v>5.3999999999999999E-2</v>
      </c>
      <c r="V834">
        <v>5.7000000000000002E-2</v>
      </c>
      <c r="W834">
        <v>10</v>
      </c>
      <c r="X834">
        <v>3</v>
      </c>
      <c r="Y834">
        <v>3</v>
      </c>
    </row>
    <row r="835" spans="1:25" ht="60" customHeight="1" x14ac:dyDescent="0.25">
      <c r="A835"/>
      <c r="B835" t="s">
        <v>3</v>
      </c>
      <c r="C835" t="s">
        <v>3958</v>
      </c>
      <c r="D835" t="s">
        <v>618</v>
      </c>
      <c r="E835" t="s">
        <v>1470</v>
      </c>
      <c r="F835" t="s">
        <v>1471</v>
      </c>
      <c r="G835" t="s">
        <v>957</v>
      </c>
      <c r="H835" s="11">
        <v>28.35</v>
      </c>
      <c r="I835" s="10">
        <f>H835*(1-IFERROR(VLOOKUP(G835,Rabat!$C$9:$D$43,2,0),0))</f>
        <v>28.35</v>
      </c>
      <c r="J835" t="s">
        <v>1815</v>
      </c>
      <c r="K835" t="s">
        <v>381</v>
      </c>
      <c r="L835" t="s">
        <v>1813</v>
      </c>
      <c r="M835">
        <v>100</v>
      </c>
      <c r="N835"/>
      <c r="O835" t="s">
        <v>1818</v>
      </c>
      <c r="P835" s="12" t="str">
        <f>HYPERLINK("https://b2b.kobi.pl/pl/product/11175,zestaw-do-zwieszania-szynoprzewodu-3-obwodowego-bialy-kobi?currency=PLN")</f>
        <v>https://b2b.kobi.pl/pl/product/11175,zestaw-do-zwieszania-szynoprzewodu-3-obwodowego-bialy-kobi?currency=PLN</v>
      </c>
      <c r="Q835" t="s">
        <v>14</v>
      </c>
      <c r="R835"/>
      <c r="S835" t="s">
        <v>2620</v>
      </c>
      <c r="T835">
        <v>0</v>
      </c>
      <c r="U835">
        <v>5.3999999999999999E-2</v>
      </c>
      <c r="V835">
        <v>5.4199999999999998E-2</v>
      </c>
      <c r="W835">
        <v>7</v>
      </c>
      <c r="X835">
        <v>7</v>
      </c>
      <c r="Y835">
        <v>1</v>
      </c>
    </row>
    <row r="836" spans="1:25" ht="60" customHeight="1" x14ac:dyDescent="0.25">
      <c r="A836"/>
      <c r="B836" t="s">
        <v>3</v>
      </c>
      <c r="C836" t="s">
        <v>3958</v>
      </c>
      <c r="D836" t="s">
        <v>618</v>
      </c>
      <c r="E836" t="s">
        <v>1472</v>
      </c>
      <c r="F836" t="s">
        <v>1473</v>
      </c>
      <c r="G836" t="s">
        <v>957</v>
      </c>
      <c r="H836" s="11">
        <v>28</v>
      </c>
      <c r="I836" s="10">
        <f>H836*(1-IFERROR(VLOOKUP(G836,Rabat!$C$9:$D$43,2,0),0))</f>
        <v>28</v>
      </c>
      <c r="J836" t="s">
        <v>1815</v>
      </c>
      <c r="K836" t="s">
        <v>382</v>
      </c>
      <c r="L836" t="s">
        <v>1813</v>
      </c>
      <c r="M836">
        <v>100</v>
      </c>
      <c r="N836"/>
      <c r="O836" t="s">
        <v>1818</v>
      </c>
      <c r="P836" s="12" t="str">
        <f>HYPERLINK("https://b2b.kobi.pl/pl/product/11176,zestaw-do-zwieszania-szynoprzewodu-3-obwodowego-czarny-kobi?currency=PLN")</f>
        <v>https://b2b.kobi.pl/pl/product/11176,zestaw-do-zwieszania-szynoprzewodu-3-obwodowego-czarny-kobi?currency=PLN</v>
      </c>
      <c r="Q836" t="s">
        <v>14</v>
      </c>
      <c r="R836"/>
      <c r="S836" t="s">
        <v>2620</v>
      </c>
      <c r="T836">
        <v>0</v>
      </c>
      <c r="U836">
        <v>5.3999999999999999E-2</v>
      </c>
      <c r="V836">
        <v>5.8999999999999997E-2</v>
      </c>
      <c r="W836">
        <v>7</v>
      </c>
      <c r="X836">
        <v>7</v>
      </c>
      <c r="Y836">
        <v>1</v>
      </c>
    </row>
    <row r="837" spans="1:25" ht="60" customHeight="1" x14ac:dyDescent="0.25">
      <c r="A837"/>
      <c r="B837" t="s">
        <v>3</v>
      </c>
      <c r="C837" t="s">
        <v>3958</v>
      </c>
      <c r="D837" t="s">
        <v>618</v>
      </c>
      <c r="E837" t="s">
        <v>2127</v>
      </c>
      <c r="F837" t="s">
        <v>2128</v>
      </c>
      <c r="G837" t="s">
        <v>957</v>
      </c>
      <c r="H837" s="11">
        <v>8.61</v>
      </c>
      <c r="I837" s="10">
        <f>H837*(1-IFERROR(VLOOKUP(G837,Rabat!$C$9:$D$43,2,0),0))</f>
        <v>8.61</v>
      </c>
      <c r="J837" t="s">
        <v>1815</v>
      </c>
      <c r="K837" t="s">
        <v>2162</v>
      </c>
      <c r="L837" t="s">
        <v>1813</v>
      </c>
      <c r="M837">
        <v>100</v>
      </c>
      <c r="N837"/>
      <c r="O837" t="s">
        <v>1818</v>
      </c>
      <c r="P837" s="12" t="str">
        <f>HYPERLINK("https://b2b.kobi.pl/pl/product/12163,lacznik-do-szynoprzewodu-1-obwodowy-i-wewnetrzny-bialy-kobi?currency=PLN")</f>
        <v>https://b2b.kobi.pl/pl/product/12163,lacznik-do-szynoprzewodu-1-obwodowy-i-wewnetrzny-bialy-kobi?currency=PLN</v>
      </c>
      <c r="Q837" t="s">
        <v>14</v>
      </c>
      <c r="R837"/>
      <c r="S837" t="s">
        <v>2619</v>
      </c>
      <c r="T837">
        <v>0.02</v>
      </c>
      <c r="U837">
        <v>3.9E-2</v>
      </c>
      <c r="V837">
        <v>0.04</v>
      </c>
      <c r="W837">
        <v>15</v>
      </c>
      <c r="X837">
        <v>8</v>
      </c>
      <c r="Y837">
        <v>1</v>
      </c>
    </row>
    <row r="838" spans="1:25" ht="60" customHeight="1" x14ac:dyDescent="0.25">
      <c r="A838"/>
      <c r="B838" t="s">
        <v>3</v>
      </c>
      <c r="C838" t="s">
        <v>3958</v>
      </c>
      <c r="D838" t="s">
        <v>618</v>
      </c>
      <c r="E838" t="s">
        <v>2129</v>
      </c>
      <c r="F838" t="s">
        <v>2130</v>
      </c>
      <c r="G838" t="s">
        <v>957</v>
      </c>
      <c r="H838" s="11">
        <v>8.61</v>
      </c>
      <c r="I838" s="10">
        <f>H838*(1-IFERROR(VLOOKUP(G838,Rabat!$C$9:$D$43,2,0),0))</f>
        <v>8.61</v>
      </c>
      <c r="J838" t="s">
        <v>1815</v>
      </c>
      <c r="K838" t="s">
        <v>2163</v>
      </c>
      <c r="L838" t="s">
        <v>1813</v>
      </c>
      <c r="M838">
        <v>100</v>
      </c>
      <c r="N838"/>
      <c r="O838" t="s">
        <v>1818</v>
      </c>
      <c r="P838" s="12" t="str">
        <f>HYPERLINK("https://b2b.kobi.pl/pl/product/12164,lacznik-do-szynoprzewodu-1-obwodowy-i-wewnetrzny-czarny-kobi?currency=PLN")</f>
        <v>https://b2b.kobi.pl/pl/product/12164,lacznik-do-szynoprzewodu-1-obwodowy-i-wewnetrzny-czarny-kobi?currency=PLN</v>
      </c>
      <c r="Q838" t="s">
        <v>14</v>
      </c>
      <c r="R838"/>
      <c r="S838" t="s">
        <v>2619</v>
      </c>
      <c r="T838">
        <v>0.02</v>
      </c>
      <c r="U838">
        <v>3.9E-2</v>
      </c>
      <c r="V838">
        <v>0.04</v>
      </c>
      <c r="W838">
        <v>15</v>
      </c>
      <c r="X838">
        <v>8</v>
      </c>
      <c r="Y838">
        <v>1</v>
      </c>
    </row>
    <row r="839" spans="1:25" ht="60" customHeight="1" x14ac:dyDescent="0.25">
      <c r="A839"/>
      <c r="B839" t="s">
        <v>3</v>
      </c>
      <c r="C839" t="s">
        <v>3958</v>
      </c>
      <c r="D839" t="s">
        <v>618</v>
      </c>
      <c r="E839" t="s">
        <v>3959</v>
      </c>
      <c r="F839" t="s">
        <v>3960</v>
      </c>
      <c r="G839" t="s">
        <v>957</v>
      </c>
      <c r="H839" s="11">
        <v>65</v>
      </c>
      <c r="I839" s="10">
        <f>H839*(1-IFERROR(VLOOKUP(G839,Rabat!$C$9:$D$43,2,0),0))</f>
        <v>65</v>
      </c>
      <c r="J839" t="s">
        <v>1815</v>
      </c>
      <c r="K839" t="s">
        <v>4200</v>
      </c>
      <c r="L839" t="s">
        <v>1813</v>
      </c>
      <c r="M839"/>
      <c r="N839"/>
      <c r="O839" t="s">
        <v>1818</v>
      </c>
      <c r="P839" s="12" t="str">
        <f>HYPERLINK("https://b2b.kobi.pl/pl/product/13356,lacznik-do-szynoprzewodu-3-obwodowy-t-lewy-czarny-kobi?currency=PLN")</f>
        <v>https://b2b.kobi.pl/pl/product/13356,lacznik-do-szynoprzewodu-3-obwodowy-t-lewy-czarny-kobi?currency=PLN</v>
      </c>
      <c r="Q839" t="s">
        <v>14</v>
      </c>
      <c r="R839" t="s">
        <v>4101</v>
      </c>
      <c r="S839" t="s">
        <v>2574</v>
      </c>
      <c r="T839">
        <v>0</v>
      </c>
      <c r="U839">
        <v>0.13900000000000001</v>
      </c>
      <c r="V839">
        <v>0.14299999999999999</v>
      </c>
      <c r="W839">
        <v>17</v>
      </c>
      <c r="X839">
        <v>10</v>
      </c>
      <c r="Y839">
        <v>3.5</v>
      </c>
    </row>
    <row r="840" spans="1:25" ht="60" customHeight="1" x14ac:dyDescent="0.25">
      <c r="A840"/>
      <c r="B840" t="s">
        <v>3</v>
      </c>
      <c r="C840" t="s">
        <v>3958</v>
      </c>
      <c r="D840" t="s">
        <v>618</v>
      </c>
      <c r="E840" t="s">
        <v>3961</v>
      </c>
      <c r="F840" t="s">
        <v>3962</v>
      </c>
      <c r="G840" t="s">
        <v>957</v>
      </c>
      <c r="H840" s="11">
        <v>65</v>
      </c>
      <c r="I840" s="10">
        <f>H840*(1-IFERROR(VLOOKUP(G840,Rabat!$C$9:$D$43,2,0),0))</f>
        <v>65</v>
      </c>
      <c r="J840" t="s">
        <v>1815</v>
      </c>
      <c r="K840" t="s">
        <v>4201</v>
      </c>
      <c r="L840" t="s">
        <v>1813</v>
      </c>
      <c r="M840"/>
      <c r="N840"/>
      <c r="O840" t="s">
        <v>1818</v>
      </c>
      <c r="P840" s="12" t="str">
        <f>HYPERLINK("https://b2b.kobi.pl/pl/product/13357,lacznik-do-szynoprzewodu-3-obwodowy-t-lewy-bialy-kobi?currency=PLN")</f>
        <v>https://b2b.kobi.pl/pl/product/13357,lacznik-do-szynoprzewodu-3-obwodowy-t-lewy-bialy-kobi?currency=PLN</v>
      </c>
      <c r="Q840" t="s">
        <v>14</v>
      </c>
      <c r="R840" t="s">
        <v>4101</v>
      </c>
      <c r="S840" t="s">
        <v>2574</v>
      </c>
      <c r="T840">
        <v>0</v>
      </c>
      <c r="U840">
        <v>0.13900000000000001</v>
      </c>
      <c r="V840">
        <v>0.14299999999999999</v>
      </c>
      <c r="W840">
        <v>17</v>
      </c>
      <c r="X840">
        <v>10</v>
      </c>
      <c r="Y840">
        <v>3.5</v>
      </c>
    </row>
    <row r="841" spans="1:25" ht="60" customHeight="1" x14ac:dyDescent="0.25">
      <c r="A841"/>
      <c r="B841" t="s">
        <v>3</v>
      </c>
      <c r="C841" t="s">
        <v>3958</v>
      </c>
      <c r="D841" t="s">
        <v>618</v>
      </c>
      <c r="E841" t="s">
        <v>3963</v>
      </c>
      <c r="F841" t="s">
        <v>3964</v>
      </c>
      <c r="G841" t="s">
        <v>957</v>
      </c>
      <c r="H841" s="11">
        <v>22.2</v>
      </c>
      <c r="I841" s="10">
        <f>H841*(1-IFERROR(VLOOKUP(G841,Rabat!$C$9:$D$43,2,0),0))</f>
        <v>22.2</v>
      </c>
      <c r="J841" t="s">
        <v>1815</v>
      </c>
      <c r="K841" t="s">
        <v>4202</v>
      </c>
      <c r="L841" t="s">
        <v>1813</v>
      </c>
      <c r="M841">
        <v>100</v>
      </c>
      <c r="N841"/>
      <c r="O841" t="s">
        <v>1818</v>
      </c>
      <c r="P841" s="12" t="str">
        <f>HYPERLINK("https://b2b.kobi.pl/pl/product/13476,adapter-do-szynoprzewodu-3-obwodowy-bialy-kobi?currency=PLN")</f>
        <v>https://b2b.kobi.pl/pl/product/13476,adapter-do-szynoprzewodu-3-obwodowy-bialy-kobi?currency=PLN</v>
      </c>
      <c r="Q841" t="s">
        <v>14</v>
      </c>
      <c r="R841" t="s">
        <v>4101</v>
      </c>
      <c r="S841" t="s">
        <v>2574</v>
      </c>
      <c r="T841">
        <v>0</v>
      </c>
      <c r="U841">
        <v>6.5000000000000002E-2</v>
      </c>
      <c r="V841">
        <v>6.9000000000000006E-2</v>
      </c>
      <c r="W841">
        <v>10</v>
      </c>
      <c r="X841">
        <v>15</v>
      </c>
      <c r="Y841">
        <v>4</v>
      </c>
    </row>
    <row r="842" spans="1:25" ht="60" customHeight="1" x14ac:dyDescent="0.25">
      <c r="A842"/>
      <c r="B842" t="s">
        <v>3</v>
      </c>
      <c r="C842" t="s">
        <v>3958</v>
      </c>
      <c r="D842" t="s">
        <v>618</v>
      </c>
      <c r="E842" t="s">
        <v>3965</v>
      </c>
      <c r="F842" t="s">
        <v>3966</v>
      </c>
      <c r="G842" t="s">
        <v>957</v>
      </c>
      <c r="H842" s="11">
        <v>22.2</v>
      </c>
      <c r="I842" s="10">
        <f>H842*(1-IFERROR(VLOOKUP(G842,Rabat!$C$9:$D$43,2,0),0))</f>
        <v>22.2</v>
      </c>
      <c r="J842" t="s">
        <v>1815</v>
      </c>
      <c r="K842" t="s">
        <v>4203</v>
      </c>
      <c r="L842" t="s">
        <v>1813</v>
      </c>
      <c r="M842">
        <v>100</v>
      </c>
      <c r="N842"/>
      <c r="O842" t="s">
        <v>1818</v>
      </c>
      <c r="P842" s="12" t="str">
        <f>HYPERLINK("https://b2b.kobi.pl/pl/product/13477,adapter-do-szynoprzewodu-3-obwodowy-czarny-kobi?currency=PLN")</f>
        <v>https://b2b.kobi.pl/pl/product/13477,adapter-do-szynoprzewodu-3-obwodowy-czarny-kobi?currency=PLN</v>
      </c>
      <c r="Q842" t="s">
        <v>14</v>
      </c>
      <c r="R842" t="s">
        <v>4101</v>
      </c>
      <c r="S842" t="s">
        <v>2574</v>
      </c>
      <c r="T842">
        <v>0</v>
      </c>
      <c r="U842">
        <v>6.5000000000000002E-2</v>
      </c>
      <c r="V842">
        <v>6.9000000000000006E-2</v>
      </c>
      <c r="W842">
        <v>10</v>
      </c>
      <c r="X842">
        <v>15</v>
      </c>
      <c r="Y842">
        <v>4</v>
      </c>
    </row>
    <row r="843" spans="1:25" ht="60" customHeight="1" x14ac:dyDescent="0.25">
      <c r="A843"/>
      <c r="B843" t="s">
        <v>3</v>
      </c>
      <c r="C843" t="s">
        <v>3958</v>
      </c>
      <c r="D843" t="s">
        <v>618</v>
      </c>
      <c r="E843" t="s">
        <v>3967</v>
      </c>
      <c r="F843" t="s">
        <v>3968</v>
      </c>
      <c r="G843" t="s">
        <v>957</v>
      </c>
      <c r="H843" s="11">
        <v>31.11</v>
      </c>
      <c r="I843" s="10">
        <f>H843*(1-IFERROR(VLOOKUP(G843,Rabat!$C$9:$D$43,2,0),0))</f>
        <v>31.11</v>
      </c>
      <c r="J843" t="s">
        <v>1815</v>
      </c>
      <c r="K843" t="s">
        <v>4204</v>
      </c>
      <c r="L843" t="s">
        <v>1813</v>
      </c>
      <c r="M843">
        <v>50</v>
      </c>
      <c r="N843"/>
      <c r="O843" t="s">
        <v>1818</v>
      </c>
      <c r="P843" s="12" t="str">
        <f>HYPERLINK("https://b2b.kobi.pl/pl/product/13478,baza-do-szynoprzewodu-3-obwodowa-biala-kobi?currency=PLN")</f>
        <v>https://b2b.kobi.pl/pl/product/13478,baza-do-szynoprzewodu-3-obwodowa-biala-kobi?currency=PLN</v>
      </c>
      <c r="Q843" t="s">
        <v>14</v>
      </c>
      <c r="R843" t="s">
        <v>4101</v>
      </c>
      <c r="S843" t="s">
        <v>2574</v>
      </c>
      <c r="T843">
        <v>0</v>
      </c>
      <c r="U843">
        <v>9.0999999999999998E-2</v>
      </c>
      <c r="V843">
        <v>9.4E-2</v>
      </c>
      <c r="W843">
        <v>15</v>
      </c>
      <c r="X843">
        <v>15</v>
      </c>
      <c r="Y843">
        <v>4</v>
      </c>
    </row>
    <row r="844" spans="1:25" ht="60" customHeight="1" x14ac:dyDescent="0.25">
      <c r="A844"/>
      <c r="B844" t="s">
        <v>3</v>
      </c>
      <c r="C844" t="s">
        <v>3958</v>
      </c>
      <c r="D844" t="s">
        <v>618</v>
      </c>
      <c r="E844" t="s">
        <v>3969</v>
      </c>
      <c r="F844" t="s">
        <v>3970</v>
      </c>
      <c r="G844" t="s">
        <v>957</v>
      </c>
      <c r="H844" s="11">
        <v>31.11</v>
      </c>
      <c r="I844" s="10">
        <f>H844*(1-IFERROR(VLOOKUP(G844,Rabat!$C$9:$D$43,2,0),0))</f>
        <v>31.11</v>
      </c>
      <c r="J844" t="s">
        <v>1815</v>
      </c>
      <c r="K844" t="s">
        <v>4205</v>
      </c>
      <c r="L844" t="s">
        <v>1813</v>
      </c>
      <c r="M844">
        <v>50</v>
      </c>
      <c r="N844"/>
      <c r="O844" t="s">
        <v>1818</v>
      </c>
      <c r="P844" s="12" t="str">
        <f>HYPERLINK("https://b2b.kobi.pl/pl/product/13479,baza-do-szynoprzewodu-3-obwodowa-czarna-kobi?currency=PLN")</f>
        <v>https://b2b.kobi.pl/pl/product/13479,baza-do-szynoprzewodu-3-obwodowa-czarna-kobi?currency=PLN</v>
      </c>
      <c r="Q844" t="s">
        <v>14</v>
      </c>
      <c r="R844" t="s">
        <v>4101</v>
      </c>
      <c r="S844" t="s">
        <v>2574</v>
      </c>
      <c r="T844">
        <v>0</v>
      </c>
      <c r="U844">
        <v>9.0999999999999998E-2</v>
      </c>
      <c r="V844">
        <v>9.4E-2</v>
      </c>
      <c r="W844">
        <v>15</v>
      </c>
      <c r="X844">
        <v>15</v>
      </c>
      <c r="Y844">
        <v>4</v>
      </c>
    </row>
    <row r="845" spans="1:25" ht="60" customHeight="1" x14ac:dyDescent="0.25">
      <c r="A845"/>
      <c r="B845" t="s">
        <v>3</v>
      </c>
      <c r="C845" t="s">
        <v>3958</v>
      </c>
      <c r="D845" t="s">
        <v>618</v>
      </c>
      <c r="E845" t="s">
        <v>3971</v>
      </c>
      <c r="F845" t="s">
        <v>3972</v>
      </c>
      <c r="G845" t="s">
        <v>957</v>
      </c>
      <c r="H845" s="11">
        <v>197.56</v>
      </c>
      <c r="I845" s="10">
        <f>H845*(1-IFERROR(VLOOKUP(G845,Rabat!$C$9:$D$43,2,0),0))</f>
        <v>197.56</v>
      </c>
      <c r="J845"/>
      <c r="K845" t="s">
        <v>4206</v>
      </c>
      <c r="L845" t="s">
        <v>1813</v>
      </c>
      <c r="M845">
        <v>5</v>
      </c>
      <c r="N845"/>
      <c r="O845" t="s">
        <v>1818</v>
      </c>
      <c r="P845" s="12" t="str">
        <f>HYPERLINK("https://b2b.kobi.pl/pl/product/13784,szynoprzewod-podtynkowy-3-obwodowy-2m-bialy-kobi?currency=PLN")</f>
        <v>https://b2b.kobi.pl/pl/product/13784,szynoprzewod-podtynkowy-3-obwodowy-2m-bialy-kobi?currency=PLN</v>
      </c>
      <c r="Q845" t="s">
        <v>14</v>
      </c>
      <c r="R845" t="s">
        <v>4101</v>
      </c>
      <c r="S845" t="s">
        <v>2617</v>
      </c>
      <c r="T845">
        <v>0</v>
      </c>
      <c r="U845">
        <v>1.73</v>
      </c>
      <c r="V845">
        <v>1.75</v>
      </c>
      <c r="W845">
        <v>200</v>
      </c>
      <c r="X845">
        <v>5.6</v>
      </c>
      <c r="Y845">
        <v>3.3</v>
      </c>
    </row>
    <row r="846" spans="1:25" ht="60" customHeight="1" x14ac:dyDescent="0.25">
      <c r="A846"/>
      <c r="B846" t="s">
        <v>3</v>
      </c>
      <c r="C846" t="s">
        <v>3958</v>
      </c>
      <c r="D846" t="s">
        <v>618</v>
      </c>
      <c r="E846" t="s">
        <v>3973</v>
      </c>
      <c r="F846" t="s">
        <v>3974</v>
      </c>
      <c r="G846" t="s">
        <v>957</v>
      </c>
      <c r="H846" s="11">
        <v>197.56</v>
      </c>
      <c r="I846" s="10">
        <f>H846*(1-IFERROR(VLOOKUP(G846,Rabat!$C$9:$D$43,2,0),0))</f>
        <v>197.56</v>
      </c>
      <c r="J846"/>
      <c r="K846" t="s">
        <v>4207</v>
      </c>
      <c r="L846" t="s">
        <v>1813</v>
      </c>
      <c r="M846">
        <v>5</v>
      </c>
      <c r="N846"/>
      <c r="O846" t="s">
        <v>1818</v>
      </c>
      <c r="P846" s="12" t="str">
        <f>HYPERLINK("https://b2b.kobi.pl/pl/product/13783,szynoprzewod-podtynkowy-3-obwodowy-2m-czarny-kobi?currency=PLN")</f>
        <v>https://b2b.kobi.pl/pl/product/13783,szynoprzewod-podtynkowy-3-obwodowy-2m-czarny-kobi?currency=PLN</v>
      </c>
      <c r="Q846" t="s">
        <v>14</v>
      </c>
      <c r="R846" t="s">
        <v>4101</v>
      </c>
      <c r="S846" t="s">
        <v>2617</v>
      </c>
      <c r="T846">
        <v>0</v>
      </c>
      <c r="U846">
        <v>1.73</v>
      </c>
      <c r="V846">
        <v>1.75</v>
      </c>
      <c r="W846">
        <v>200</v>
      </c>
      <c r="X846">
        <v>5.6</v>
      </c>
      <c r="Y846">
        <v>3.3</v>
      </c>
    </row>
    <row r="847" spans="1:25" ht="60" customHeight="1" x14ac:dyDescent="0.25">
      <c r="A847"/>
      <c r="B847" t="s">
        <v>4</v>
      </c>
      <c r="C847" t="s">
        <v>3819</v>
      </c>
      <c r="D847" t="s">
        <v>16</v>
      </c>
      <c r="E847" t="s">
        <v>3544</v>
      </c>
      <c r="F847" t="s">
        <v>3545</v>
      </c>
      <c r="G847" t="s">
        <v>738</v>
      </c>
      <c r="H847" s="11">
        <v>38.146000000000001</v>
      </c>
      <c r="I847" s="10">
        <f>H847*(1-IFERROR(VLOOKUP(G847,Rabat!$C$9:$D$43,2,0),0))</f>
        <v>38.146000000000001</v>
      </c>
      <c r="J847" t="s">
        <v>1815</v>
      </c>
      <c r="K847" t="s">
        <v>3552</v>
      </c>
      <c r="L847" t="s">
        <v>1813</v>
      </c>
      <c r="M847">
        <v>6</v>
      </c>
      <c r="N847">
        <v>180</v>
      </c>
      <c r="O847" t="s">
        <v>1818</v>
      </c>
      <c r="P847" s="12" t="str">
        <f>HYPERLINK("https://b2b.kobi.pl/pl/product/10570,lampa-solarna-solar-led-candelio-2700k-bialy-led2b?currency=PLN")</f>
        <v>https://b2b.kobi.pl/pl/product/10570,lampa-solarna-solar-led-candelio-2700k-bialy-led2b?currency=PLN</v>
      </c>
      <c r="Q847" t="s">
        <v>14</v>
      </c>
      <c r="R847"/>
      <c r="S847" t="s">
        <v>2608</v>
      </c>
      <c r="T847">
        <v>0.53</v>
      </c>
      <c r="U847">
        <v>0.63200000000000001</v>
      </c>
      <c r="V847">
        <v>0.72699999999999998</v>
      </c>
      <c r="W847">
        <v>14.5</v>
      </c>
      <c r="X847">
        <v>14.5</v>
      </c>
      <c r="Y847">
        <v>28</v>
      </c>
    </row>
    <row r="848" spans="1:25" ht="60" customHeight="1" x14ac:dyDescent="0.25">
      <c r="A848"/>
      <c r="B848" t="s">
        <v>4</v>
      </c>
      <c r="C848" t="s">
        <v>3819</v>
      </c>
      <c r="D848" t="s">
        <v>16</v>
      </c>
      <c r="E848" t="s">
        <v>3546</v>
      </c>
      <c r="F848" t="s">
        <v>3547</v>
      </c>
      <c r="G848" t="s">
        <v>738</v>
      </c>
      <c r="H848" s="11">
        <v>38.146000000000001</v>
      </c>
      <c r="I848" s="10">
        <f>H848*(1-IFERROR(VLOOKUP(G848,Rabat!$C$9:$D$43,2,0),0))</f>
        <v>38.146000000000001</v>
      </c>
      <c r="J848" t="s">
        <v>1815</v>
      </c>
      <c r="K848" t="s">
        <v>3553</v>
      </c>
      <c r="L848" t="s">
        <v>1813</v>
      </c>
      <c r="M848">
        <v>6</v>
      </c>
      <c r="N848">
        <v>180</v>
      </c>
      <c r="O848" t="s">
        <v>1818</v>
      </c>
      <c r="P848" s="12" t="str">
        <f>HYPERLINK("https://b2b.kobi.pl/pl/product/10571,lampa-solarna-solar-led-candelio-2700k-czarna-led2b?currency=PLN")</f>
        <v>https://b2b.kobi.pl/pl/product/10571,lampa-solarna-solar-led-candelio-2700k-czarna-led2b?currency=PLN</v>
      </c>
      <c r="Q848" t="s">
        <v>14</v>
      </c>
      <c r="R848"/>
      <c r="S848" t="s">
        <v>2608</v>
      </c>
      <c r="T848">
        <v>0.53</v>
      </c>
      <c r="U848">
        <v>0.63200000000000001</v>
      </c>
      <c r="V848">
        <v>0.72699999999999998</v>
      </c>
      <c r="W848">
        <v>14.5</v>
      </c>
      <c r="X848">
        <v>14.5</v>
      </c>
      <c r="Y848">
        <v>28</v>
      </c>
    </row>
    <row r="849" spans="1:25" ht="60" customHeight="1" x14ac:dyDescent="0.25">
      <c r="A849"/>
      <c r="B849" t="s">
        <v>4</v>
      </c>
      <c r="C849" t="s">
        <v>3819</v>
      </c>
      <c r="D849" t="s">
        <v>16</v>
      </c>
      <c r="E849" t="s">
        <v>3548</v>
      </c>
      <c r="F849" t="s">
        <v>3549</v>
      </c>
      <c r="G849" t="s">
        <v>738</v>
      </c>
      <c r="H849" s="11">
        <v>38.146000000000001</v>
      </c>
      <c r="I849" s="10">
        <f>H849*(1-IFERROR(VLOOKUP(G849,Rabat!$C$9:$D$43,2,0),0))</f>
        <v>38.146000000000001</v>
      </c>
      <c r="J849" t="s">
        <v>1815</v>
      </c>
      <c r="K849" t="s">
        <v>3554</v>
      </c>
      <c r="L849" t="s">
        <v>1813</v>
      </c>
      <c r="M849">
        <v>6</v>
      </c>
      <c r="N849">
        <v>180</v>
      </c>
      <c r="O849" t="s">
        <v>1818</v>
      </c>
      <c r="P849" s="12" t="str">
        <f>HYPERLINK("https://b2b.kobi.pl/pl/product/10572,lampa-solarna-solar-led-candelio-2700k-zlota-led2b?currency=PLN")</f>
        <v>https://b2b.kobi.pl/pl/product/10572,lampa-solarna-solar-led-candelio-2700k-zlota-led2b?currency=PLN</v>
      </c>
      <c r="Q849" t="s">
        <v>14</v>
      </c>
      <c r="R849"/>
      <c r="S849" t="s">
        <v>2608</v>
      </c>
      <c r="T849">
        <v>0.53</v>
      </c>
      <c r="U849">
        <v>0.63200000000000001</v>
      </c>
      <c r="V849">
        <v>0.72699999999999998</v>
      </c>
      <c r="W849">
        <v>14.5</v>
      </c>
      <c r="X849">
        <v>14.5</v>
      </c>
      <c r="Y849">
        <v>28</v>
      </c>
    </row>
    <row r="850" spans="1:25" ht="60" customHeight="1" x14ac:dyDescent="0.25">
      <c r="A850"/>
      <c r="B850" t="s">
        <v>4</v>
      </c>
      <c r="C850" t="s">
        <v>3819</v>
      </c>
      <c r="D850" t="s">
        <v>16</v>
      </c>
      <c r="E850" t="s">
        <v>1361</v>
      </c>
      <c r="F850" t="s">
        <v>1362</v>
      </c>
      <c r="G850" t="s">
        <v>738</v>
      </c>
      <c r="H850" s="11">
        <v>108.75</v>
      </c>
      <c r="I850" s="10">
        <f>H850*(1-IFERROR(VLOOKUP(G850,Rabat!$C$9:$D$43,2,0),0))</f>
        <v>108.75</v>
      </c>
      <c r="J850" t="s">
        <v>1815</v>
      </c>
      <c r="K850" t="s">
        <v>366</v>
      </c>
      <c r="L850" t="s">
        <v>1833</v>
      </c>
      <c r="M850">
        <v>12</v>
      </c>
      <c r="N850"/>
      <c r="O850" t="s">
        <v>1818</v>
      </c>
      <c r="P850" s="12" t="str">
        <f>HYPERLINK("https://b2b.kobi.pl/pl/product/10574,slupek-ogrodowy-solar-led-fusion-6500k-ip44-12-pak-led2b?currency=PLN")</f>
        <v>https://b2b.kobi.pl/pl/product/10574,slupek-ogrodowy-solar-led-fusion-6500k-ip44-12-pak-led2b?currency=PLN</v>
      </c>
      <c r="Q850" t="s">
        <v>14</v>
      </c>
      <c r="R850" t="s">
        <v>1945</v>
      </c>
      <c r="S850" t="s">
        <v>2608</v>
      </c>
      <c r="T850">
        <v>0.8</v>
      </c>
      <c r="U850">
        <v>0.95</v>
      </c>
      <c r="V850">
        <v>1.0828</v>
      </c>
      <c r="W850">
        <v>28</v>
      </c>
      <c r="X850">
        <v>21</v>
      </c>
      <c r="Y850">
        <v>9.5</v>
      </c>
    </row>
    <row r="851" spans="1:25" ht="60" customHeight="1" x14ac:dyDescent="0.25">
      <c r="A851"/>
      <c r="B851" t="s">
        <v>4</v>
      </c>
      <c r="C851" t="s">
        <v>3819</v>
      </c>
      <c r="D851" t="s">
        <v>16</v>
      </c>
      <c r="E851" t="s">
        <v>776</v>
      </c>
      <c r="F851" t="s">
        <v>777</v>
      </c>
      <c r="G851" t="s">
        <v>738</v>
      </c>
      <c r="H851" s="11">
        <v>32.25</v>
      </c>
      <c r="I851" s="10">
        <f>H851*(1-IFERROR(VLOOKUP(G851,Rabat!$C$9:$D$43,2,0),0))</f>
        <v>32.25</v>
      </c>
      <c r="J851" t="s">
        <v>1815</v>
      </c>
      <c r="K851" t="s">
        <v>367</v>
      </c>
      <c r="L851" t="s">
        <v>1813</v>
      </c>
      <c r="M851">
        <v>12</v>
      </c>
      <c r="N851"/>
      <c r="O851" t="s">
        <v>1818</v>
      </c>
      <c r="P851" s="12" t="str">
        <f>HYPERLINK("https://b2b.kobi.pl/pl/product/10578,lampa-ogrodowa-solar-led-harmony-3000k-ip44-led2b?currency=PLN")</f>
        <v>https://b2b.kobi.pl/pl/product/10578,lampa-ogrodowa-solar-led-harmony-3000k-ip44-led2b?currency=PLN</v>
      </c>
      <c r="Q851" t="s">
        <v>14</v>
      </c>
      <c r="R851" t="s">
        <v>1945</v>
      </c>
      <c r="S851" t="s">
        <v>2608</v>
      </c>
      <c r="T851">
        <v>0.06</v>
      </c>
      <c r="U851">
        <v>7.0000000000000007E-2</v>
      </c>
      <c r="V851">
        <v>0.1114</v>
      </c>
      <c r="W851">
        <v>20.5</v>
      </c>
      <c r="X851">
        <v>20.5</v>
      </c>
      <c r="Y851">
        <v>2.5</v>
      </c>
    </row>
    <row r="852" spans="1:25" ht="60" customHeight="1" x14ac:dyDescent="0.25">
      <c r="A852"/>
      <c r="B852" t="s">
        <v>4</v>
      </c>
      <c r="C852" t="s">
        <v>3819</v>
      </c>
      <c r="D852" t="s">
        <v>16</v>
      </c>
      <c r="E852" t="s">
        <v>787</v>
      </c>
      <c r="F852" t="s">
        <v>788</v>
      </c>
      <c r="G852" t="s">
        <v>738</v>
      </c>
      <c r="H852" s="11">
        <v>37.94</v>
      </c>
      <c r="I852" s="10">
        <f>H852*(1-IFERROR(VLOOKUP(G852,Rabat!$C$9:$D$43,2,0),0))</f>
        <v>37.94</v>
      </c>
      <c r="J852" t="s">
        <v>1815</v>
      </c>
      <c r="K852" t="s">
        <v>365</v>
      </c>
      <c r="L852" t="s">
        <v>1813</v>
      </c>
      <c r="M852">
        <v>30</v>
      </c>
      <c r="N852">
        <v>1350</v>
      </c>
      <c r="O852" t="s">
        <v>1818</v>
      </c>
      <c r="P852" s="12" t="str">
        <f>HYPERLINK("https://b2b.kobi.pl/pl/product/10582,lampa-solarna-solar-50-led-lume-rgb-led2b?currency=PLN")</f>
        <v>https://b2b.kobi.pl/pl/product/10582,lampa-solarna-solar-50-led-lume-rgb-led2b?currency=PLN</v>
      </c>
      <c r="Q852" t="s">
        <v>14</v>
      </c>
      <c r="R852"/>
      <c r="S852" t="s">
        <v>2608</v>
      </c>
      <c r="T852">
        <v>0.14000000000000001</v>
      </c>
      <c r="U852">
        <v>0.16</v>
      </c>
      <c r="V852">
        <v>0.18490000000000001</v>
      </c>
      <c r="W852">
        <v>14</v>
      </c>
      <c r="X852">
        <v>8</v>
      </c>
      <c r="Y852">
        <v>9</v>
      </c>
    </row>
    <row r="853" spans="1:25" ht="60" customHeight="1" x14ac:dyDescent="0.25">
      <c r="A853"/>
      <c r="B853" t="s">
        <v>4</v>
      </c>
      <c r="C853" t="s">
        <v>3819</v>
      </c>
      <c r="D853" t="s">
        <v>16</v>
      </c>
      <c r="E853" t="s">
        <v>1363</v>
      </c>
      <c r="F853" t="s">
        <v>1364</v>
      </c>
      <c r="G853" t="s">
        <v>738</v>
      </c>
      <c r="H853" s="11">
        <v>82.25</v>
      </c>
      <c r="I853" s="10">
        <f>H853*(1-IFERROR(VLOOKUP(G853,Rabat!$C$9:$D$43,2,0),0))</f>
        <v>82.25</v>
      </c>
      <c r="J853" t="s">
        <v>1815</v>
      </c>
      <c r="K853" t="s">
        <v>368</v>
      </c>
      <c r="L853" t="s">
        <v>1813</v>
      </c>
      <c r="M853">
        <v>12</v>
      </c>
      <c r="N853"/>
      <c r="O853" t="s">
        <v>1818</v>
      </c>
      <c r="P853" s="12" t="str">
        <f>HYPERLINK("https://b2b.kobi.pl/pl/product/10583,slupek-ogrodowy-solar-led-lance-6000k-ip44-led2b?currency=PLN")</f>
        <v>https://b2b.kobi.pl/pl/product/10583,slupek-ogrodowy-solar-led-lance-6000k-ip44-led2b?currency=PLN</v>
      </c>
      <c r="Q853" t="s">
        <v>14</v>
      </c>
      <c r="R853" t="s">
        <v>1945</v>
      </c>
      <c r="S853" t="s">
        <v>2608</v>
      </c>
      <c r="T853">
        <v>0.2</v>
      </c>
      <c r="U853">
        <v>0.24</v>
      </c>
      <c r="V853">
        <v>0.29499999999999998</v>
      </c>
      <c r="W853">
        <v>16.3</v>
      </c>
      <c r="X853">
        <v>8</v>
      </c>
      <c r="Y853">
        <v>15.5</v>
      </c>
    </row>
    <row r="854" spans="1:25" ht="60" customHeight="1" x14ac:dyDescent="0.25">
      <c r="A854"/>
      <c r="B854" t="s">
        <v>4</v>
      </c>
      <c r="C854" t="s">
        <v>3819</v>
      </c>
      <c r="D854" t="s">
        <v>16</v>
      </c>
      <c r="E854" t="s">
        <v>1088</v>
      </c>
      <c r="F854" t="s">
        <v>1089</v>
      </c>
      <c r="G854" t="s">
        <v>738</v>
      </c>
      <c r="H854" s="11">
        <v>52.58</v>
      </c>
      <c r="I854" s="10">
        <f>H854*(1-IFERROR(VLOOKUP(G854,Rabat!$C$9:$D$43,2,0),0))</f>
        <v>52.58</v>
      </c>
      <c r="J854" t="s">
        <v>1815</v>
      </c>
      <c r="K854" t="s">
        <v>369</v>
      </c>
      <c r="L854" t="s">
        <v>1833</v>
      </c>
      <c r="M854">
        <v>30</v>
      </c>
      <c r="N854">
        <v>1020</v>
      </c>
      <c r="O854" t="s">
        <v>1818</v>
      </c>
      <c r="P854" s="12" t="str">
        <f>HYPERLINK("https://b2b.kobi.pl/pl/product/10641,naswietlacz-solar-led-photon-3000k-ip44-8-pak-led2b?currency=PLN")</f>
        <v>https://b2b.kobi.pl/pl/product/10641,naswietlacz-solar-led-photon-3000k-ip44-8-pak-led2b?currency=PLN</v>
      </c>
      <c r="Q854" t="s">
        <v>14</v>
      </c>
      <c r="R854"/>
      <c r="S854" t="s">
        <v>2608</v>
      </c>
      <c r="T854">
        <v>0.24</v>
      </c>
      <c r="U854">
        <v>0.28000000000000003</v>
      </c>
      <c r="V854">
        <v>0.33360000000000001</v>
      </c>
      <c r="W854">
        <v>18.7</v>
      </c>
      <c r="X854">
        <v>8.1999999999999993</v>
      </c>
      <c r="Y854">
        <v>6.6</v>
      </c>
    </row>
    <row r="855" spans="1:25" ht="60" customHeight="1" x14ac:dyDescent="0.25">
      <c r="A855"/>
      <c r="B855" t="s">
        <v>4</v>
      </c>
      <c r="C855" t="s">
        <v>3819</v>
      </c>
      <c r="D855" t="s">
        <v>16</v>
      </c>
      <c r="E855" t="s">
        <v>778</v>
      </c>
      <c r="F855" t="s">
        <v>779</v>
      </c>
      <c r="G855" t="s">
        <v>738</v>
      </c>
      <c r="H855" s="11">
        <v>60.32</v>
      </c>
      <c r="I855" s="10">
        <f>H855*(1-IFERROR(VLOOKUP(G855,Rabat!$C$9:$D$43,2,0),0))</f>
        <v>60.32</v>
      </c>
      <c r="J855" t="s">
        <v>1815</v>
      </c>
      <c r="K855" t="s">
        <v>370</v>
      </c>
      <c r="L855" t="s">
        <v>1813</v>
      </c>
      <c r="M855">
        <v>6</v>
      </c>
      <c r="N855">
        <v>216</v>
      </c>
      <c r="O855" t="s">
        <v>1818</v>
      </c>
      <c r="P855" s="12" t="str">
        <f>HYPERLINK("https://b2b.kobi.pl/pl/product/10647,lampa-ogrodowa-solar-led-spectra-2700k-ip44-led2b?currency=PLN")</f>
        <v>https://b2b.kobi.pl/pl/product/10647,lampa-ogrodowa-solar-led-spectra-2700k-ip44-led2b?currency=PLN</v>
      </c>
      <c r="Q855" t="s">
        <v>14</v>
      </c>
      <c r="R855"/>
      <c r="S855" t="s">
        <v>2608</v>
      </c>
      <c r="T855">
        <v>0.33</v>
      </c>
      <c r="U855">
        <v>0.39</v>
      </c>
      <c r="V855">
        <v>0.50239999999999996</v>
      </c>
      <c r="W855">
        <v>24.5</v>
      </c>
      <c r="X855">
        <v>13.5</v>
      </c>
      <c r="Y855">
        <v>18.5</v>
      </c>
    </row>
    <row r="856" spans="1:25" ht="60" customHeight="1" x14ac:dyDescent="0.25">
      <c r="A856"/>
      <c r="B856" t="s">
        <v>4</v>
      </c>
      <c r="C856" t="s">
        <v>3819</v>
      </c>
      <c r="D856" t="s">
        <v>16</v>
      </c>
      <c r="E856" t="s">
        <v>1365</v>
      </c>
      <c r="F856" t="s">
        <v>1366</v>
      </c>
      <c r="G856" t="s">
        <v>738</v>
      </c>
      <c r="H856" s="11">
        <v>84.75</v>
      </c>
      <c r="I856" s="10">
        <f>H856*(1-IFERROR(VLOOKUP(G856,Rabat!$C$9:$D$43,2,0),0))</f>
        <v>84.75</v>
      </c>
      <c r="J856" t="s">
        <v>1815</v>
      </c>
      <c r="K856" t="s">
        <v>371</v>
      </c>
      <c r="L856" t="s">
        <v>1813</v>
      </c>
      <c r="M856">
        <v>24</v>
      </c>
      <c r="N856"/>
      <c r="O856" t="s">
        <v>1818</v>
      </c>
      <c r="P856" s="12" t="str">
        <f>HYPERLINK("https://b2b.kobi.pl/pl/product/10648,slupek-ogrodowy-solar-led-spike-6500k-ip44-led2b?currency=PLN")</f>
        <v>https://b2b.kobi.pl/pl/product/10648,slupek-ogrodowy-solar-led-spike-6500k-ip44-led2b?currency=PLN</v>
      </c>
      <c r="Q856" t="s">
        <v>14</v>
      </c>
      <c r="R856"/>
      <c r="S856" t="s">
        <v>2608</v>
      </c>
      <c r="T856">
        <v>0.35</v>
      </c>
      <c r="U856">
        <v>0.41</v>
      </c>
      <c r="V856">
        <v>0.51500000000000001</v>
      </c>
      <c r="W856">
        <v>39.700000000000003</v>
      </c>
      <c r="X856">
        <v>105</v>
      </c>
      <c r="Y856">
        <v>9.5</v>
      </c>
    </row>
    <row r="857" spans="1:25" ht="60" customHeight="1" x14ac:dyDescent="0.25">
      <c r="A857"/>
      <c r="B857" t="s">
        <v>4</v>
      </c>
      <c r="C857" t="s">
        <v>3819</v>
      </c>
      <c r="D857" t="s">
        <v>16</v>
      </c>
      <c r="E857" t="s">
        <v>780</v>
      </c>
      <c r="F857" t="s">
        <v>781</v>
      </c>
      <c r="G857" t="s">
        <v>738</v>
      </c>
      <c r="H857" s="11">
        <v>83.95</v>
      </c>
      <c r="I857" s="10">
        <f>H857*(1-IFERROR(VLOOKUP(G857,Rabat!$C$9:$D$43,2,0),0))</f>
        <v>83.95</v>
      </c>
      <c r="J857" t="s">
        <v>1815</v>
      </c>
      <c r="K857" t="s">
        <v>372</v>
      </c>
      <c r="L857" t="s">
        <v>1813</v>
      </c>
      <c r="M857">
        <v>36</v>
      </c>
      <c r="N857">
        <v>216</v>
      </c>
      <c r="O857" t="s">
        <v>1818</v>
      </c>
      <c r="P857" s="12" t="str">
        <f>HYPERLINK("https://b2b.kobi.pl/pl/product/10655,lampa-ogrodowa-solar-led-sway-6000k-ip44-led2b?currency=PLN")</f>
        <v>https://b2b.kobi.pl/pl/product/10655,lampa-ogrodowa-solar-led-sway-6000k-ip44-led2b?currency=PLN</v>
      </c>
      <c r="Q857" t="s">
        <v>14</v>
      </c>
      <c r="R857"/>
      <c r="S857" t="s">
        <v>2608</v>
      </c>
      <c r="T857">
        <v>0.39</v>
      </c>
      <c r="U857">
        <v>0.46</v>
      </c>
      <c r="V857">
        <v>0.57310000000000005</v>
      </c>
      <c r="W857">
        <v>19</v>
      </c>
      <c r="X857">
        <v>14.3</v>
      </c>
      <c r="Y857">
        <v>18</v>
      </c>
    </row>
    <row r="858" spans="1:25" ht="60" customHeight="1" x14ac:dyDescent="0.25">
      <c r="A858"/>
      <c r="B858" t="s">
        <v>4</v>
      </c>
      <c r="C858" t="s">
        <v>3819</v>
      </c>
      <c r="D858" t="s">
        <v>16</v>
      </c>
      <c r="E858" t="s">
        <v>1367</v>
      </c>
      <c r="F858" t="s">
        <v>1368</v>
      </c>
      <c r="G858" t="s">
        <v>738</v>
      </c>
      <c r="H858" s="11">
        <v>51.25</v>
      </c>
      <c r="I858" s="10">
        <f>H858*(1-IFERROR(VLOOKUP(G858,Rabat!$C$9:$D$43,2,0),0))</f>
        <v>51.25</v>
      </c>
      <c r="J858" t="s">
        <v>1815</v>
      </c>
      <c r="K858" t="s">
        <v>364</v>
      </c>
      <c r="L858" t="s">
        <v>1833</v>
      </c>
      <c r="M858">
        <v>24</v>
      </c>
      <c r="N858"/>
      <c r="O858" t="s">
        <v>1818</v>
      </c>
      <c r="P858" s="12" t="str">
        <f>HYPERLINK("https://b2b.kobi.pl/pl/product/10656,slupek-ogrodowy-solar-led-zen-6000k-ip44-10-pak-led2b?currency=PLN")</f>
        <v>https://b2b.kobi.pl/pl/product/10656,slupek-ogrodowy-solar-led-zen-6000k-ip44-10-pak-led2b?currency=PLN</v>
      </c>
      <c r="Q858" t="s">
        <v>14</v>
      </c>
      <c r="R858" t="s">
        <v>1945</v>
      </c>
      <c r="S858" t="s">
        <v>2608</v>
      </c>
      <c r="T858">
        <v>0.34</v>
      </c>
      <c r="U858">
        <v>0.4</v>
      </c>
      <c r="V858">
        <v>0.47639999999999999</v>
      </c>
      <c r="W858">
        <v>23.5</v>
      </c>
      <c r="X858">
        <v>9.6999999999999993</v>
      </c>
      <c r="Y858">
        <v>13</v>
      </c>
    </row>
    <row r="859" spans="1:25" ht="60" customHeight="1" x14ac:dyDescent="0.25">
      <c r="A859"/>
      <c r="B859" t="s">
        <v>4</v>
      </c>
      <c r="C859" t="s">
        <v>3819</v>
      </c>
      <c r="D859" t="s">
        <v>16</v>
      </c>
      <c r="E859" t="s">
        <v>1162</v>
      </c>
      <c r="F859" t="s">
        <v>1163</v>
      </c>
      <c r="G859" t="s">
        <v>738</v>
      </c>
      <c r="H859" s="11">
        <v>197.5</v>
      </c>
      <c r="I859" s="10">
        <f>H859*(1-IFERROR(VLOOKUP(G859,Rabat!$C$9:$D$43,2,0),0))</f>
        <v>197.5</v>
      </c>
      <c r="J859" t="s">
        <v>1815</v>
      </c>
      <c r="K859" t="s">
        <v>1860</v>
      </c>
      <c r="L859" t="s">
        <v>1813</v>
      </c>
      <c r="M859">
        <v>5</v>
      </c>
      <c r="N859"/>
      <c r="O859" t="s">
        <v>1818</v>
      </c>
      <c r="P859" s="12" t="str">
        <f>HYPERLINK("https://b2b.kobi.pl/pl/product/12124,oprawa-drogowa-z-czujnikiem-ruchu-solar-led-urbi-8w-6500k-ip54-led2b?currency=PLN")</f>
        <v>https://b2b.kobi.pl/pl/product/12124,oprawa-drogowa-z-czujnikiem-ruchu-solar-led-urbi-8w-6500k-ip54-led2b?currency=PLN</v>
      </c>
      <c r="Q859" t="s">
        <v>14</v>
      </c>
      <c r="R859"/>
      <c r="S859" t="s">
        <v>2609</v>
      </c>
      <c r="T859">
        <v>1.67</v>
      </c>
      <c r="U859">
        <v>1.98</v>
      </c>
      <c r="V859">
        <v>2.2200000000000002</v>
      </c>
      <c r="W859">
        <v>63</v>
      </c>
      <c r="X859">
        <v>24.5</v>
      </c>
      <c r="Y859">
        <v>6.5</v>
      </c>
    </row>
    <row r="860" spans="1:25" ht="60" customHeight="1" x14ac:dyDescent="0.25">
      <c r="A860"/>
      <c r="B860" t="s">
        <v>4</v>
      </c>
      <c r="C860" t="s">
        <v>3819</v>
      </c>
      <c r="D860" t="s">
        <v>16</v>
      </c>
      <c r="E860" t="s">
        <v>1806</v>
      </c>
      <c r="F860" t="s">
        <v>1807</v>
      </c>
      <c r="G860" t="s">
        <v>738</v>
      </c>
      <c r="H860" s="11">
        <v>287.5</v>
      </c>
      <c r="I860" s="10">
        <f>H860*(1-IFERROR(VLOOKUP(G860,Rabat!$C$9:$D$43,2,0),0))</f>
        <v>287.5</v>
      </c>
      <c r="J860" t="s">
        <v>1815</v>
      </c>
      <c r="K860" t="s">
        <v>1935</v>
      </c>
      <c r="L860" t="s">
        <v>1813</v>
      </c>
      <c r="M860">
        <v>5</v>
      </c>
      <c r="N860"/>
      <c r="O860" t="s">
        <v>1818</v>
      </c>
      <c r="P860" s="12" t="str">
        <f>HYPERLINK("https://b2b.kobi.pl/pl/product/12125,oprawa-drogowa-solar-led-urbi-11w-6500k-ip54-led2b?currency=PLN")</f>
        <v>https://b2b.kobi.pl/pl/product/12125,oprawa-drogowa-solar-led-urbi-11w-6500k-ip54-led2b?currency=PLN</v>
      </c>
      <c r="Q860" t="s">
        <v>14</v>
      </c>
      <c r="R860" t="s">
        <v>1945</v>
      </c>
      <c r="S860" t="s">
        <v>2609</v>
      </c>
      <c r="T860">
        <v>1.98</v>
      </c>
      <c r="U860">
        <v>2.34</v>
      </c>
      <c r="V860">
        <v>2.76</v>
      </c>
      <c r="W860">
        <v>72.5</v>
      </c>
      <c r="X860">
        <v>24.5</v>
      </c>
      <c r="Y860">
        <v>6.5</v>
      </c>
    </row>
    <row r="861" spans="1:25" ht="60" customHeight="1" x14ac:dyDescent="0.25">
      <c r="A861"/>
      <c r="B861" t="s">
        <v>4</v>
      </c>
      <c r="C861" t="s">
        <v>3819</v>
      </c>
      <c r="D861" t="s">
        <v>16</v>
      </c>
      <c r="E861" t="s">
        <v>2210</v>
      </c>
      <c r="F861" t="s">
        <v>2211</v>
      </c>
      <c r="G861" t="s">
        <v>738</v>
      </c>
      <c r="H861" s="11">
        <v>297.5</v>
      </c>
      <c r="I861" s="10">
        <f>H861*(1-IFERROR(VLOOKUP(G861,Rabat!$C$9:$D$43,2,0),0))</f>
        <v>297.5</v>
      </c>
      <c r="J861" t="s">
        <v>1815</v>
      </c>
      <c r="K861" t="s">
        <v>2249</v>
      </c>
      <c r="L861" t="s">
        <v>1813</v>
      </c>
      <c r="M861">
        <v>5</v>
      </c>
      <c r="N861">
        <v>60</v>
      </c>
      <c r="O861" t="s">
        <v>1818</v>
      </c>
      <c r="P861" s="12" t="str">
        <f>HYPERLINK("https://b2b.kobi.pl/pl/product/12127,oprawa-parkowa-solar-led-luvia-15w-6500k-ip54-led2b?currency=PLN")</f>
        <v>https://b2b.kobi.pl/pl/product/12127,oprawa-parkowa-solar-led-luvia-15w-6500k-ip54-led2b?currency=PLN</v>
      </c>
      <c r="Q861" t="s">
        <v>14</v>
      </c>
      <c r="R861"/>
      <c r="S861" t="s">
        <v>2608</v>
      </c>
      <c r="T861">
        <v>1.82</v>
      </c>
      <c r="U861">
        <v>2.15</v>
      </c>
      <c r="V861">
        <v>2.88</v>
      </c>
      <c r="W861">
        <v>45</v>
      </c>
      <c r="X861">
        <v>44.5</v>
      </c>
      <c r="Y861">
        <v>7.5</v>
      </c>
    </row>
    <row r="862" spans="1:25" ht="60" customHeight="1" x14ac:dyDescent="0.25">
      <c r="A862"/>
      <c r="B862" t="s">
        <v>4</v>
      </c>
      <c r="C862" t="s">
        <v>3819</v>
      </c>
      <c r="D862" t="s">
        <v>16</v>
      </c>
      <c r="E862" t="s">
        <v>1964</v>
      </c>
      <c r="F862" t="s">
        <v>1093</v>
      </c>
      <c r="G862" t="s">
        <v>738</v>
      </c>
      <c r="H862" s="11">
        <v>114.75</v>
      </c>
      <c r="I862" s="10">
        <f>H862*(1-IFERROR(VLOOKUP(G862,Rabat!$C$9:$D$43,2,0),0))</f>
        <v>114.75</v>
      </c>
      <c r="J862" t="s">
        <v>1815</v>
      </c>
      <c r="K862" t="s">
        <v>1857</v>
      </c>
      <c r="L862" t="s">
        <v>1813</v>
      </c>
      <c r="M862">
        <v>24</v>
      </c>
      <c r="N862"/>
      <c r="O862" t="s">
        <v>1818</v>
      </c>
      <c r="P862" s="12" t="str">
        <f>HYPERLINK("https://b2b.kobi.pl/pl/product/12130,naswietlacz-z-czujnikiem-ruchu-solar-led-glow-g2-2-5w-6000k-led2b?currency=PLN")</f>
        <v>https://b2b.kobi.pl/pl/product/12130,naswietlacz-z-czujnikiem-ruchu-solar-led-glow-g2-2-5w-6000k-led2b?currency=PLN</v>
      </c>
      <c r="Q862" t="s">
        <v>14</v>
      </c>
      <c r="R862"/>
      <c r="S862" t="s">
        <v>2608</v>
      </c>
      <c r="T862">
        <v>0.49</v>
      </c>
      <c r="U862">
        <v>0.57599999999999996</v>
      </c>
      <c r="V862">
        <v>0.7</v>
      </c>
      <c r="W862">
        <v>18.5</v>
      </c>
      <c r="X862">
        <v>13.5</v>
      </c>
      <c r="Y862">
        <v>14.5</v>
      </c>
    </row>
    <row r="863" spans="1:25" ht="60" customHeight="1" x14ac:dyDescent="0.25">
      <c r="A863"/>
      <c r="B863" t="s">
        <v>4</v>
      </c>
      <c r="C863" t="s">
        <v>3819</v>
      </c>
      <c r="D863" t="s">
        <v>618</v>
      </c>
      <c r="E863" t="s">
        <v>1154</v>
      </c>
      <c r="F863" t="s">
        <v>1155</v>
      </c>
      <c r="G863" t="s">
        <v>738</v>
      </c>
      <c r="H863" s="11">
        <v>372.51</v>
      </c>
      <c r="I863" s="10">
        <f>H863*(1-IFERROR(VLOOKUP(G863,Rabat!$C$9:$D$43,2,0),0))</f>
        <v>372.51</v>
      </c>
      <c r="J863" t="s">
        <v>1815</v>
      </c>
      <c r="K863" t="s">
        <v>1858</v>
      </c>
      <c r="L863" t="s">
        <v>1813</v>
      </c>
      <c r="M863">
        <v>1</v>
      </c>
      <c r="N863"/>
      <c r="O863" t="s">
        <v>1818</v>
      </c>
      <c r="P863" s="12" t="str">
        <f>HYPERLINK("https://b2b.kobi.pl/pl/product/12131,oprawa-drogowa-solar-led-solit-11w-4000k-ip54-kobi?currency=PLN")</f>
        <v>https://b2b.kobi.pl/pl/product/12131,oprawa-drogowa-solar-led-solit-11w-4000k-ip54-kobi?currency=PLN</v>
      </c>
      <c r="Q863" t="s">
        <v>14</v>
      </c>
      <c r="R863"/>
      <c r="S863" t="s">
        <v>2608</v>
      </c>
      <c r="T863">
        <v>3.25</v>
      </c>
      <c r="U863">
        <v>3.85</v>
      </c>
      <c r="V863">
        <v>4.7</v>
      </c>
      <c r="W863">
        <v>50.5</v>
      </c>
      <c r="X863">
        <v>36</v>
      </c>
      <c r="Y863">
        <v>12</v>
      </c>
    </row>
    <row r="864" spans="1:25" ht="60" customHeight="1" x14ac:dyDescent="0.25">
      <c r="A864"/>
      <c r="B864" t="s">
        <v>4</v>
      </c>
      <c r="C864" t="s">
        <v>3819</v>
      </c>
      <c r="D864" t="s">
        <v>644</v>
      </c>
      <c r="E864" t="s">
        <v>773</v>
      </c>
      <c r="F864" t="s">
        <v>774</v>
      </c>
      <c r="G864" t="s">
        <v>738</v>
      </c>
      <c r="H864" s="11">
        <v>137.25</v>
      </c>
      <c r="I864" s="10">
        <f>H864*(1-IFERROR(VLOOKUP(G864,Rabat!$C$9:$D$43,2,0),0))</f>
        <v>137.25</v>
      </c>
      <c r="J864" t="s">
        <v>1815</v>
      </c>
      <c r="K864" t="s">
        <v>1834</v>
      </c>
      <c r="L864" t="s">
        <v>1813</v>
      </c>
      <c r="M864">
        <v>1</v>
      </c>
      <c r="N864">
        <v>40</v>
      </c>
      <c r="O864" t="s">
        <v>1818</v>
      </c>
      <c r="P864" s="12" t="str">
        <f>HYPERLINK("https://b2b.kobi.pl/pl/product/12133,lampa-ogrodowa-solar-led-garden-ball-30cm-3000k-rgb-kobi-design?currency=PLN")</f>
        <v>https://b2b.kobi.pl/pl/product/12133,lampa-ogrodowa-solar-led-garden-ball-30cm-3000k-rgb-kobi-design?currency=PLN</v>
      </c>
      <c r="Q864" t="s">
        <v>14</v>
      </c>
      <c r="R864"/>
      <c r="S864" t="s">
        <v>2608</v>
      </c>
      <c r="T864">
        <v>0.69</v>
      </c>
      <c r="U864">
        <v>0.81499999999999995</v>
      </c>
      <c r="V864">
        <v>1.31</v>
      </c>
      <c r="W864">
        <v>31.7</v>
      </c>
      <c r="X864">
        <v>31.7</v>
      </c>
      <c r="Y864">
        <v>32.5</v>
      </c>
    </row>
    <row r="865" spans="1:25" ht="60" customHeight="1" x14ac:dyDescent="0.25">
      <c r="A865"/>
      <c r="B865" t="s">
        <v>4</v>
      </c>
      <c r="C865" t="s">
        <v>3819</v>
      </c>
      <c r="D865" t="s">
        <v>618</v>
      </c>
      <c r="E865" t="s">
        <v>2489</v>
      </c>
      <c r="F865" t="s">
        <v>775</v>
      </c>
      <c r="G865" t="s">
        <v>738</v>
      </c>
      <c r="H865" s="11">
        <v>199.75</v>
      </c>
      <c r="I865" s="10">
        <f>H865*(1-IFERROR(VLOOKUP(G865,Rabat!$C$9:$D$43,2,0),0))</f>
        <v>199.75</v>
      </c>
      <c r="J865" t="s">
        <v>1815</v>
      </c>
      <c r="K865" t="s">
        <v>1835</v>
      </c>
      <c r="L865" t="s">
        <v>1813</v>
      </c>
      <c r="M865">
        <v>1</v>
      </c>
      <c r="N865">
        <v>24</v>
      </c>
      <c r="O865" t="s">
        <v>1818</v>
      </c>
      <c r="P865" s="12" t="str">
        <f>HYPERLINK("https://b2b.kobi.pl/pl/product/12134,lampa-ogrodowa-solar-led-garden-ball-40cm-3000k-rgb-kobi-design?currency=PLN")</f>
        <v>https://b2b.kobi.pl/pl/product/12134,lampa-ogrodowa-solar-led-garden-ball-40cm-3000k-rgb-kobi-design?currency=PLN</v>
      </c>
      <c r="Q865" t="s">
        <v>14</v>
      </c>
      <c r="R865"/>
      <c r="S865" t="s">
        <v>2608</v>
      </c>
      <c r="T865">
        <v>1.1200000000000001</v>
      </c>
      <c r="U865">
        <v>1.33</v>
      </c>
      <c r="V865">
        <v>2.1800000000000002</v>
      </c>
      <c r="W865">
        <v>42</v>
      </c>
      <c r="X865">
        <v>41.5</v>
      </c>
      <c r="Y865">
        <v>42</v>
      </c>
    </row>
    <row r="866" spans="1:25" ht="60" customHeight="1" x14ac:dyDescent="0.25">
      <c r="A866"/>
      <c r="B866" t="s">
        <v>4</v>
      </c>
      <c r="C866" t="s">
        <v>3819</v>
      </c>
      <c r="D866" t="s">
        <v>16</v>
      </c>
      <c r="E866" t="s">
        <v>2212</v>
      </c>
      <c r="F866" t="s">
        <v>2213</v>
      </c>
      <c r="G866" t="s">
        <v>738</v>
      </c>
      <c r="H866" s="11">
        <v>297.5</v>
      </c>
      <c r="I866" s="10">
        <f>H866*(1-IFERROR(VLOOKUP(G866,Rabat!$C$9:$D$43,2,0),0))</f>
        <v>297.5</v>
      </c>
      <c r="J866" t="s">
        <v>1815</v>
      </c>
      <c r="K866" t="s">
        <v>2250</v>
      </c>
      <c r="L866" t="s">
        <v>1813</v>
      </c>
      <c r="M866">
        <v>5</v>
      </c>
      <c r="N866">
        <v>60</v>
      </c>
      <c r="O866" t="s">
        <v>1818</v>
      </c>
      <c r="P866" s="12" t="str">
        <f>HYPERLINK("https://b2b.kobi.pl/pl/product/12624,oprawa-parkowa-solar-led-luvia-15w-4000k-ip54-led2b?currency=PLN")</f>
        <v>https://b2b.kobi.pl/pl/product/12624,oprawa-parkowa-solar-led-luvia-15w-4000k-ip54-led2b?currency=PLN</v>
      </c>
      <c r="Q866" t="s">
        <v>14</v>
      </c>
      <c r="R866"/>
      <c r="S866" t="s">
        <v>2608</v>
      </c>
      <c r="T866">
        <v>1.82</v>
      </c>
      <c r="U866">
        <v>2.15</v>
      </c>
      <c r="V866">
        <v>2.88</v>
      </c>
      <c r="W866">
        <v>45</v>
      </c>
      <c r="X866">
        <v>44.5</v>
      </c>
      <c r="Y866">
        <v>7.5</v>
      </c>
    </row>
    <row r="867" spans="1:25" ht="60" customHeight="1" x14ac:dyDescent="0.25">
      <c r="A867"/>
      <c r="B867" t="s">
        <v>4</v>
      </c>
      <c r="C867" t="s">
        <v>3819</v>
      </c>
      <c r="D867" t="s">
        <v>606</v>
      </c>
      <c r="E867" t="s">
        <v>2708</v>
      </c>
      <c r="F867" t="s">
        <v>2214</v>
      </c>
      <c r="G867" t="s">
        <v>738</v>
      </c>
      <c r="H867" s="11">
        <v>497.5</v>
      </c>
      <c r="I867" s="10">
        <f>H867*(1-IFERROR(VLOOKUP(G867,Rabat!$C$9:$D$43,2,0),0))</f>
        <v>497.5</v>
      </c>
      <c r="J867" t="s">
        <v>1815</v>
      </c>
      <c r="K867" t="s">
        <v>2251</v>
      </c>
      <c r="L867" t="s">
        <v>1813</v>
      </c>
      <c r="M867">
        <v>4</v>
      </c>
      <c r="N867">
        <v>40</v>
      </c>
      <c r="O867" t="s">
        <v>1819</v>
      </c>
      <c r="P867" s="12" t="str">
        <f>HYPERLINK("https://b2b.kobi.pl/pl/product/12625,oprawa-parkowa-solar-led-solsumi-25w-4000k-ip54-kobi-premium?currency=PLN")</f>
        <v>https://b2b.kobi.pl/pl/product/12625,oprawa-parkowa-solar-led-solsumi-25w-4000k-ip54-kobi-premium?currency=PLN</v>
      </c>
      <c r="Q867" t="s">
        <v>14</v>
      </c>
      <c r="R867"/>
      <c r="S867" t="s">
        <v>2608</v>
      </c>
      <c r="T867">
        <v>2.69</v>
      </c>
      <c r="U867">
        <v>3.18</v>
      </c>
      <c r="V867">
        <v>4.5</v>
      </c>
      <c r="W867">
        <v>55.3</v>
      </c>
      <c r="X867">
        <v>59.3</v>
      </c>
      <c r="Y867">
        <v>9.6</v>
      </c>
    </row>
    <row r="868" spans="1:25" ht="60" customHeight="1" x14ac:dyDescent="0.25">
      <c r="A868"/>
      <c r="B868" t="s">
        <v>4</v>
      </c>
      <c r="C868" t="s">
        <v>3819</v>
      </c>
      <c r="D868" t="s">
        <v>606</v>
      </c>
      <c r="E868" t="s">
        <v>3404</v>
      </c>
      <c r="F868" t="s">
        <v>3405</v>
      </c>
      <c r="G868" t="s">
        <v>738</v>
      </c>
      <c r="H868" s="11">
        <v>537.5</v>
      </c>
      <c r="I868" s="10">
        <f>H868*(1-IFERROR(VLOOKUP(G868,Rabat!$C$9:$D$43,2,0),0))</f>
        <v>537.5</v>
      </c>
      <c r="J868" t="s">
        <v>1815</v>
      </c>
      <c r="K868" t="s">
        <v>3441</v>
      </c>
      <c r="L868" t="s">
        <v>1813</v>
      </c>
      <c r="M868">
        <v>5</v>
      </c>
      <c r="N868">
        <v>60</v>
      </c>
      <c r="O868" t="s">
        <v>1819</v>
      </c>
      <c r="P868" s="12" t="str">
        <f>HYPERLINK("https://b2b.kobi.pl/pl/product/13064,oprawa-parkowa-solar-led-solsumi-square-25w-3cct-ip54-kobi-premium?currency=PLN")</f>
        <v>https://b2b.kobi.pl/pl/product/13064,oprawa-parkowa-solar-led-solsumi-square-25w-3cct-ip54-kobi-premium?currency=PLN</v>
      </c>
      <c r="Q868" t="s">
        <v>14</v>
      </c>
      <c r="R868"/>
      <c r="S868" t="s">
        <v>2608</v>
      </c>
      <c r="T868">
        <v>2.54</v>
      </c>
      <c r="U868">
        <v>3.01</v>
      </c>
      <c r="V868">
        <v>4</v>
      </c>
      <c r="W868">
        <v>45</v>
      </c>
      <c r="X868">
        <v>58</v>
      </c>
      <c r="Y868">
        <v>7.5</v>
      </c>
    </row>
    <row r="869" spans="1:25" ht="60" customHeight="1" x14ac:dyDescent="0.25">
      <c r="A869"/>
      <c r="B869" t="s">
        <v>4</v>
      </c>
      <c r="C869" t="s">
        <v>3819</v>
      </c>
      <c r="D869" t="s">
        <v>16</v>
      </c>
      <c r="E869" t="s">
        <v>3189</v>
      </c>
      <c r="F869" t="s">
        <v>3190</v>
      </c>
      <c r="G869" t="s">
        <v>738</v>
      </c>
      <c r="H869" s="11">
        <v>22.3</v>
      </c>
      <c r="I869" s="10">
        <f>H869*(1-IFERROR(VLOOKUP(G869,Rabat!$C$9:$D$43,2,0),0))</f>
        <v>22.3</v>
      </c>
      <c r="J869" t="s">
        <v>1815</v>
      </c>
      <c r="K869" t="s">
        <v>3209</v>
      </c>
      <c r="L869" t="s">
        <v>1813</v>
      </c>
      <c r="M869">
        <v>24</v>
      </c>
      <c r="N869">
        <v>768</v>
      </c>
      <c r="O869" t="s">
        <v>1818</v>
      </c>
      <c r="P869" s="12" t="str">
        <f>HYPERLINK("https://b2b.kobi.pl/pl/product/12949,kinkiet-ogrodowy-solar-led-omvia-3000k-ip44-czarny-led2b?currency=PLN")</f>
        <v>https://b2b.kobi.pl/pl/product/12949,kinkiet-ogrodowy-solar-led-omvia-3000k-ip44-czarny-led2b?currency=PLN</v>
      </c>
      <c r="Q869" t="s">
        <v>14</v>
      </c>
      <c r="R869"/>
      <c r="S869" t="s">
        <v>2608</v>
      </c>
      <c r="T869">
        <v>0.16</v>
      </c>
      <c r="U869">
        <v>0.185</v>
      </c>
      <c r="V869">
        <v>0.24</v>
      </c>
      <c r="W869">
        <v>13</v>
      </c>
      <c r="X869">
        <v>6.5</v>
      </c>
      <c r="Y869">
        <v>17.5</v>
      </c>
    </row>
    <row r="870" spans="1:25" ht="60" customHeight="1" x14ac:dyDescent="0.25">
      <c r="A870"/>
      <c r="B870" t="s">
        <v>4</v>
      </c>
      <c r="C870" t="s">
        <v>3819</v>
      </c>
      <c r="D870" t="s">
        <v>16</v>
      </c>
      <c r="E870" t="s">
        <v>3191</v>
      </c>
      <c r="F870" t="s">
        <v>3192</v>
      </c>
      <c r="G870" t="s">
        <v>738</v>
      </c>
      <c r="H870" s="11">
        <v>41.17</v>
      </c>
      <c r="I870" s="10">
        <f>H870*(1-IFERROR(VLOOKUP(G870,Rabat!$C$9:$D$43,2,0),0))</f>
        <v>41.17</v>
      </c>
      <c r="J870" t="s">
        <v>1815</v>
      </c>
      <c r="K870" t="s">
        <v>3210</v>
      </c>
      <c r="L870" t="s">
        <v>1813</v>
      </c>
      <c r="M870">
        <v>6</v>
      </c>
      <c r="N870">
        <v>180</v>
      </c>
      <c r="O870" t="s">
        <v>1818</v>
      </c>
      <c r="P870" s="12" t="str">
        <f>HYPERLINK("https://b2b.kobi.pl/pl/product/12947,lampa-ogrodowa-solar-led-candelio-milky-1600k-ip44-czarna-led2b?currency=PLN")</f>
        <v>https://b2b.kobi.pl/pl/product/12947,lampa-ogrodowa-solar-led-candelio-milky-1600k-ip44-czarna-led2b?currency=PLN</v>
      </c>
      <c r="Q870" t="s">
        <v>14</v>
      </c>
      <c r="R870"/>
      <c r="S870" t="s">
        <v>2608</v>
      </c>
      <c r="T870">
        <v>0.5</v>
      </c>
      <c r="U870">
        <v>0.58599999999999997</v>
      </c>
      <c r="V870">
        <v>0.70699999999999996</v>
      </c>
      <c r="W870">
        <v>14.5</v>
      </c>
      <c r="X870">
        <v>14.5</v>
      </c>
      <c r="Y870">
        <v>28.5</v>
      </c>
    </row>
    <row r="871" spans="1:25" ht="60" customHeight="1" x14ac:dyDescent="0.25">
      <c r="A871"/>
      <c r="B871" t="s">
        <v>4</v>
      </c>
      <c r="C871" t="s">
        <v>3819</v>
      </c>
      <c r="D871" t="s">
        <v>16</v>
      </c>
      <c r="E871" t="s">
        <v>3193</v>
      </c>
      <c r="F871" t="s">
        <v>3194</v>
      </c>
      <c r="G871" t="s">
        <v>738</v>
      </c>
      <c r="H871" s="11">
        <v>38.75</v>
      </c>
      <c r="I871" s="10">
        <f>H871*(1-IFERROR(VLOOKUP(G871,Rabat!$C$9:$D$43,2,0),0))</f>
        <v>38.75</v>
      </c>
      <c r="J871" t="s">
        <v>1815</v>
      </c>
      <c r="K871" t="s">
        <v>3211</v>
      </c>
      <c r="L871" t="s">
        <v>1813</v>
      </c>
      <c r="M871">
        <v>6</v>
      </c>
      <c r="N871">
        <v>180</v>
      </c>
      <c r="O871" t="s">
        <v>1818</v>
      </c>
      <c r="P871" s="12" t="str">
        <f>HYPERLINK("https://b2b.kobi.pl/pl/product/12946,lampa-ogrodowa-solar-led-candelio-star-2700k-ip44-czarna-led2b?currency=PLN")</f>
        <v>https://b2b.kobi.pl/pl/product/12946,lampa-ogrodowa-solar-led-candelio-star-2700k-ip44-czarna-led2b?currency=PLN</v>
      </c>
      <c r="Q871" t="s">
        <v>14</v>
      </c>
      <c r="R871"/>
      <c r="S871" t="s">
        <v>2608</v>
      </c>
      <c r="T871">
        <v>0.5</v>
      </c>
      <c r="U871">
        <v>0.58899999999999997</v>
      </c>
      <c r="V871">
        <v>0.71099999999999997</v>
      </c>
      <c r="W871">
        <v>14.5</v>
      </c>
      <c r="X871">
        <v>14.5</v>
      </c>
      <c r="Y871">
        <v>28.5</v>
      </c>
    </row>
    <row r="872" spans="1:25" ht="60" customHeight="1" x14ac:dyDescent="0.25">
      <c r="A872"/>
      <c r="B872" t="s">
        <v>4</v>
      </c>
      <c r="C872" t="s">
        <v>3819</v>
      </c>
      <c r="D872" t="s">
        <v>16</v>
      </c>
      <c r="E872" t="s">
        <v>3195</v>
      </c>
      <c r="F872" t="s">
        <v>3196</v>
      </c>
      <c r="G872" t="s">
        <v>738</v>
      </c>
      <c r="H872" s="11">
        <v>21.61</v>
      </c>
      <c r="I872" s="10">
        <f>H872*(1-IFERROR(VLOOKUP(G872,Rabat!$C$9:$D$43,2,0),0))</f>
        <v>21.61</v>
      </c>
      <c r="J872" t="s">
        <v>1815</v>
      </c>
      <c r="K872" t="s">
        <v>3212</v>
      </c>
      <c r="L872" t="s">
        <v>1813</v>
      </c>
      <c r="M872"/>
      <c r="N872">
        <v>640</v>
      </c>
      <c r="O872" t="s">
        <v>1818</v>
      </c>
      <c r="P872" s="12" t="str">
        <f>HYPERLINK("https://b2b.kobi.pl/pl/product/12951,slupek-ogrodowy-solar-led-lance-g2-4000k-ip44-led2b?currency=PLN")</f>
        <v>https://b2b.kobi.pl/pl/product/12951,slupek-ogrodowy-solar-led-lance-g2-4000k-ip44-led2b?currency=PLN</v>
      </c>
      <c r="Q872" t="s">
        <v>14</v>
      </c>
      <c r="R872"/>
      <c r="S872" t="s">
        <v>2608</v>
      </c>
      <c r="T872">
        <v>0.1</v>
      </c>
      <c r="U872">
        <v>0.11700000000000001</v>
      </c>
      <c r="V872">
        <v>0.13</v>
      </c>
      <c r="W872">
        <v>28.8</v>
      </c>
      <c r="X872">
        <v>33</v>
      </c>
      <c r="Y872">
        <v>8.8000000000000007</v>
      </c>
    </row>
    <row r="873" spans="1:25" ht="60" customHeight="1" x14ac:dyDescent="0.25">
      <c r="A873"/>
      <c r="B873" t="s">
        <v>4</v>
      </c>
      <c r="C873" t="s">
        <v>3819</v>
      </c>
      <c r="D873" t="s">
        <v>16</v>
      </c>
      <c r="E873" t="s">
        <v>3197</v>
      </c>
      <c r="F873" t="s">
        <v>3198</v>
      </c>
      <c r="G873" t="s">
        <v>738</v>
      </c>
      <c r="H873" s="11">
        <v>36.61</v>
      </c>
      <c r="I873" s="10">
        <f>H873*(1-IFERROR(VLOOKUP(G873,Rabat!$C$9:$D$43,2,0),0))</f>
        <v>36.61</v>
      </c>
      <c r="J873" t="s">
        <v>1815</v>
      </c>
      <c r="K873" t="s">
        <v>3213</v>
      </c>
      <c r="L873" t="s">
        <v>1813</v>
      </c>
      <c r="M873">
        <v>6</v>
      </c>
      <c r="N873">
        <v>180</v>
      </c>
      <c r="O873" t="s">
        <v>1818</v>
      </c>
      <c r="P873" s="12" t="str">
        <f>HYPERLINK("https://b2b.kobi.pl/pl/product/12945,solar-garden-lamp-led-candelio-p-2700k-ip44-black-led2b?currency=PLN")</f>
        <v>https://b2b.kobi.pl/pl/product/12945,solar-garden-lamp-led-candelio-p-2700k-ip44-black-led2b?currency=PLN</v>
      </c>
      <c r="Q873" t="s">
        <v>14</v>
      </c>
      <c r="R873"/>
      <c r="S873" t="s">
        <v>2608</v>
      </c>
      <c r="T873">
        <v>0.56000000000000005</v>
      </c>
      <c r="U873">
        <v>0.65700000000000003</v>
      </c>
      <c r="V873">
        <v>0.77400000000000002</v>
      </c>
      <c r="W873">
        <v>14.5</v>
      </c>
      <c r="X873">
        <v>14.5</v>
      </c>
      <c r="Y873">
        <v>28.5</v>
      </c>
    </row>
    <row r="874" spans="1:25" ht="60" customHeight="1" x14ac:dyDescent="0.25">
      <c r="A874"/>
      <c r="B874" t="s">
        <v>4</v>
      </c>
      <c r="C874" t="s">
        <v>3819</v>
      </c>
      <c r="D874" t="s">
        <v>16</v>
      </c>
      <c r="E874" t="s">
        <v>3266</v>
      </c>
      <c r="F874" t="s">
        <v>3267</v>
      </c>
      <c r="G874" t="s">
        <v>738</v>
      </c>
      <c r="H874" s="11">
        <v>38.18</v>
      </c>
      <c r="I874" s="10">
        <f>H874*(1-IFERROR(VLOOKUP(G874,Rabat!$C$9:$D$43,2,0),0))</f>
        <v>38.18</v>
      </c>
      <c r="J874" t="s">
        <v>1815</v>
      </c>
      <c r="K874" t="s">
        <v>3302</v>
      </c>
      <c r="L874" t="s">
        <v>1813</v>
      </c>
      <c r="M874">
        <v>6</v>
      </c>
      <c r="N874">
        <v>288</v>
      </c>
      <c r="O874" t="s">
        <v>1818</v>
      </c>
      <c r="P874" s="12" t="str">
        <f>HYPERLINK("https://b2b.kobi.pl/pl/product/12956,lampa-ogrodowa-solar-led-luvetra-4000k-ip44-czarna-led2b?currency=PLN")</f>
        <v>https://b2b.kobi.pl/pl/product/12956,lampa-ogrodowa-solar-led-luvetra-4000k-ip44-czarna-led2b?currency=PLN</v>
      </c>
      <c r="Q874" t="s">
        <v>14</v>
      </c>
      <c r="R874"/>
      <c r="S874" t="s">
        <v>2608</v>
      </c>
      <c r="T874">
        <v>0.23</v>
      </c>
      <c r="U874">
        <v>0.27500000000000002</v>
      </c>
      <c r="V874">
        <v>0.36599999999999999</v>
      </c>
      <c r="W874">
        <v>12.5</v>
      </c>
      <c r="X874">
        <v>12.5</v>
      </c>
      <c r="Y874">
        <v>23.9</v>
      </c>
    </row>
    <row r="875" spans="1:25" ht="60" customHeight="1" x14ac:dyDescent="0.25">
      <c r="A875"/>
      <c r="B875" t="s">
        <v>4</v>
      </c>
      <c r="C875" t="s">
        <v>3819</v>
      </c>
      <c r="D875" t="s">
        <v>16</v>
      </c>
      <c r="E875" t="s">
        <v>3268</v>
      </c>
      <c r="F875" t="s">
        <v>3269</v>
      </c>
      <c r="G875" t="s">
        <v>738</v>
      </c>
      <c r="H875" s="11">
        <v>29.98</v>
      </c>
      <c r="I875" s="10">
        <f>H875*(1-IFERROR(VLOOKUP(G875,Rabat!$C$9:$D$43,2,0),0))</f>
        <v>29.98</v>
      </c>
      <c r="J875" t="s">
        <v>1815</v>
      </c>
      <c r="K875" t="s">
        <v>3303</v>
      </c>
      <c r="L875" t="s">
        <v>1813</v>
      </c>
      <c r="M875">
        <v>12</v>
      </c>
      <c r="N875">
        <v>96</v>
      </c>
      <c r="O875" t="s">
        <v>1818</v>
      </c>
      <c r="P875" s="12" t="str">
        <f>HYPERLINK("https://b2b.kobi.pl/pl/product/12960,slupek-ogrodowy-solar-led-sphere-g2-20cm-4000k-ip44-led2b?currency=PLN")</f>
        <v>https://b2b.kobi.pl/pl/product/12960,slupek-ogrodowy-solar-led-sphere-g2-20cm-4000k-ip44-led2b?currency=PLN</v>
      </c>
      <c r="Q875" t="s">
        <v>14</v>
      </c>
      <c r="R875"/>
      <c r="S875" t="s">
        <v>2608</v>
      </c>
      <c r="T875">
        <v>0.17</v>
      </c>
      <c r="U875">
        <v>0.20499999999999999</v>
      </c>
      <c r="V875">
        <v>0.34499999999999997</v>
      </c>
      <c r="W875">
        <v>20</v>
      </c>
      <c r="X875">
        <v>20</v>
      </c>
      <c r="Y875">
        <v>21.7</v>
      </c>
    </row>
    <row r="876" spans="1:25" ht="60" customHeight="1" x14ac:dyDescent="0.25">
      <c r="A876"/>
      <c r="B876" t="s">
        <v>4</v>
      </c>
      <c r="C876" t="s">
        <v>3819</v>
      </c>
      <c r="D876" t="s">
        <v>16</v>
      </c>
      <c r="E876" t="s">
        <v>3270</v>
      </c>
      <c r="F876" t="s">
        <v>3271</v>
      </c>
      <c r="G876" t="s">
        <v>738</v>
      </c>
      <c r="H876" s="11">
        <v>8.1300000000000008</v>
      </c>
      <c r="I876" s="10">
        <f>H876*(1-IFERROR(VLOOKUP(G876,Rabat!$C$9:$D$43,2,0),0))</f>
        <v>8.1300000000000008</v>
      </c>
      <c r="J876" t="s">
        <v>1815</v>
      </c>
      <c r="K876" t="s">
        <v>3304</v>
      </c>
      <c r="L876" t="s">
        <v>1813</v>
      </c>
      <c r="M876">
        <v>24</v>
      </c>
      <c r="N876">
        <v>480</v>
      </c>
      <c r="O876" t="s">
        <v>1818</v>
      </c>
      <c r="P876" s="12" t="str">
        <f>HYPERLINK("https://b2b.kobi.pl/pl/product/12962,slupek-ogrodowy-solar-led-sphere-g2-10cm-rgb-ip44-led2b?currency=PLN")</f>
        <v>https://b2b.kobi.pl/pl/product/12962,slupek-ogrodowy-solar-led-sphere-g2-10cm-rgb-ip44-led2b?currency=PLN</v>
      </c>
      <c r="Q876" t="s">
        <v>14</v>
      </c>
      <c r="R876"/>
      <c r="S876" t="s">
        <v>2608</v>
      </c>
      <c r="T876">
        <v>0.06</v>
      </c>
      <c r="U876">
        <v>7.4999999999999997E-2</v>
      </c>
      <c r="V876">
        <v>9.8000000000000004E-2</v>
      </c>
      <c r="W876">
        <v>40</v>
      </c>
      <c r="X876">
        <v>30</v>
      </c>
      <c r="Y876">
        <v>10</v>
      </c>
    </row>
    <row r="877" spans="1:25" ht="60" customHeight="1" x14ac:dyDescent="0.25">
      <c r="A877"/>
      <c r="B877" t="s">
        <v>4</v>
      </c>
      <c r="C877" t="s">
        <v>3819</v>
      </c>
      <c r="D877" t="s">
        <v>16</v>
      </c>
      <c r="E877" t="s">
        <v>3272</v>
      </c>
      <c r="F877" t="s">
        <v>3273</v>
      </c>
      <c r="G877" t="s">
        <v>738</v>
      </c>
      <c r="H877" s="11">
        <v>30.48</v>
      </c>
      <c r="I877" s="10">
        <f>H877*(1-IFERROR(VLOOKUP(G877,Rabat!$C$9:$D$43,2,0),0))</f>
        <v>30.48</v>
      </c>
      <c r="J877" t="s">
        <v>1815</v>
      </c>
      <c r="K877" t="s">
        <v>3305</v>
      </c>
      <c r="L877" t="s">
        <v>1813</v>
      </c>
      <c r="M877">
        <v>12</v>
      </c>
      <c r="N877">
        <v>108</v>
      </c>
      <c r="O877" t="s">
        <v>1818</v>
      </c>
      <c r="P877" s="12" t="str">
        <f>HYPERLINK("https://b2b.kobi.pl/pl/product/12963,slupek-ogrodowy-solar-led-sphere-g2-20cm-rgb-ip44-led2b?currency=PLN")</f>
        <v>https://b2b.kobi.pl/pl/product/12963,slupek-ogrodowy-solar-led-sphere-g2-20cm-rgb-ip44-led2b?currency=PLN</v>
      </c>
      <c r="Q877" t="s">
        <v>14</v>
      </c>
      <c r="R877"/>
      <c r="S877" t="s">
        <v>2608</v>
      </c>
      <c r="T877">
        <v>0.17</v>
      </c>
      <c r="U877">
        <v>0.20499999999999999</v>
      </c>
      <c r="V877">
        <v>0.34499999999999997</v>
      </c>
      <c r="W877">
        <v>20</v>
      </c>
      <c r="X877">
        <v>20</v>
      </c>
      <c r="Y877">
        <v>21.7</v>
      </c>
    </row>
    <row r="878" spans="1:25" ht="60" customHeight="1" x14ac:dyDescent="0.25">
      <c r="A878"/>
      <c r="B878" t="s">
        <v>4</v>
      </c>
      <c r="C878" t="s">
        <v>3819</v>
      </c>
      <c r="D878" t="s">
        <v>16</v>
      </c>
      <c r="E878" t="s">
        <v>3975</v>
      </c>
      <c r="F878" t="s">
        <v>3274</v>
      </c>
      <c r="G878" t="s">
        <v>738</v>
      </c>
      <c r="H878" s="11">
        <v>13.374000000000001</v>
      </c>
      <c r="I878" s="10">
        <f>H878*(1-IFERROR(VLOOKUP(G878,Rabat!$C$9:$D$43,2,0),0))</f>
        <v>13.374000000000001</v>
      </c>
      <c r="J878" t="s">
        <v>1815</v>
      </c>
      <c r="K878" t="s">
        <v>3306</v>
      </c>
      <c r="L878" t="s">
        <v>1813</v>
      </c>
      <c r="M878">
        <v>12</v>
      </c>
      <c r="N878">
        <v>540</v>
      </c>
      <c r="O878" t="s">
        <v>1818</v>
      </c>
      <c r="P878" s="12" t="str">
        <f>HYPERLINK("https://b2b.kobi.pl/pl/product/12939,slupek-ogrodowy-solar-led-aurora-4000k-ip44-led2b?currency=PLN")</f>
        <v>https://b2b.kobi.pl/pl/product/12939,slupek-ogrodowy-solar-led-aurora-4000k-ip44-led2b?currency=PLN</v>
      </c>
      <c r="Q878" t="s">
        <v>14</v>
      </c>
      <c r="R878"/>
      <c r="S878" t="s">
        <v>2608</v>
      </c>
      <c r="T878">
        <v>0.17</v>
      </c>
      <c r="U878">
        <v>0.20499999999999999</v>
      </c>
      <c r="V878">
        <v>0.218</v>
      </c>
      <c r="W878">
        <v>33</v>
      </c>
      <c r="X878">
        <v>25.5</v>
      </c>
      <c r="Y878">
        <v>9.8000000000000007</v>
      </c>
    </row>
    <row r="879" spans="1:25" ht="60" customHeight="1" x14ac:dyDescent="0.25">
      <c r="A879"/>
      <c r="B879" t="s">
        <v>4</v>
      </c>
      <c r="C879" t="s">
        <v>3819</v>
      </c>
      <c r="D879" t="s">
        <v>16</v>
      </c>
      <c r="E879" t="s">
        <v>3275</v>
      </c>
      <c r="F879" t="s">
        <v>3276</v>
      </c>
      <c r="G879" t="s">
        <v>738</v>
      </c>
      <c r="H879" s="11">
        <v>8.6259999999999994</v>
      </c>
      <c r="I879" s="10">
        <f>H879*(1-IFERROR(VLOOKUP(G879,Rabat!$C$9:$D$43,2,0),0))</f>
        <v>8.6259999999999994</v>
      </c>
      <c r="J879" t="s">
        <v>1815</v>
      </c>
      <c r="K879" t="s">
        <v>3307</v>
      </c>
      <c r="L879" t="s">
        <v>1813</v>
      </c>
      <c r="M879">
        <v>24</v>
      </c>
      <c r="N879">
        <v>480</v>
      </c>
      <c r="O879" t="s">
        <v>1818</v>
      </c>
      <c r="P879" s="12" t="str">
        <f>HYPERLINK("https://b2b.kobi.pl/pl/product/12940,slupek-ogrodowy-solar-led-gleam-3000k-ip44-led2b?currency=PLN")</f>
        <v>https://b2b.kobi.pl/pl/product/12940,slupek-ogrodowy-solar-led-gleam-3000k-ip44-led2b?currency=PLN</v>
      </c>
      <c r="Q879" t="s">
        <v>14</v>
      </c>
      <c r="R879"/>
      <c r="S879" t="s">
        <v>2608</v>
      </c>
      <c r="T879">
        <v>7.0000000000000007E-2</v>
      </c>
      <c r="U879">
        <v>0.08</v>
      </c>
      <c r="V879">
        <v>0.10299999999999999</v>
      </c>
      <c r="W879">
        <v>39.799999999999997</v>
      </c>
      <c r="X879">
        <v>30.2</v>
      </c>
      <c r="Y879">
        <v>9.6999999999999993</v>
      </c>
    </row>
    <row r="880" spans="1:25" ht="60" customHeight="1" x14ac:dyDescent="0.25">
      <c r="A880"/>
      <c r="B880" t="s">
        <v>4</v>
      </c>
      <c r="C880" t="s">
        <v>3819</v>
      </c>
      <c r="D880" t="s">
        <v>16</v>
      </c>
      <c r="E880" t="s">
        <v>3277</v>
      </c>
      <c r="F880" t="s">
        <v>3278</v>
      </c>
      <c r="G880" t="s">
        <v>738</v>
      </c>
      <c r="H880" s="11">
        <v>8.6259999999999994</v>
      </c>
      <c r="I880" s="10">
        <f>H880*(1-IFERROR(VLOOKUP(G880,Rabat!$C$9:$D$43,2,0),0))</f>
        <v>8.6259999999999994</v>
      </c>
      <c r="J880" t="s">
        <v>1815</v>
      </c>
      <c r="K880" t="s">
        <v>3308</v>
      </c>
      <c r="L880" t="s">
        <v>1813</v>
      </c>
      <c r="M880">
        <v>24</v>
      </c>
      <c r="N880">
        <v>480</v>
      </c>
      <c r="O880" t="s">
        <v>1818</v>
      </c>
      <c r="P880" s="12" t="str">
        <f>HYPERLINK("https://b2b.kobi.pl/pl/product/12941,slupek-ogrodowy-solar-led-globe-3000k-ip44-led2b?currency=PLN")</f>
        <v>https://b2b.kobi.pl/pl/product/12941,slupek-ogrodowy-solar-led-globe-3000k-ip44-led2b?currency=PLN</v>
      </c>
      <c r="Q880" t="s">
        <v>14</v>
      </c>
      <c r="R880"/>
      <c r="S880" t="s">
        <v>2608</v>
      </c>
      <c r="T880">
        <v>0.06</v>
      </c>
      <c r="U880">
        <v>7.4999999999999997E-2</v>
      </c>
      <c r="V880">
        <v>9.8000000000000004E-2</v>
      </c>
      <c r="W880">
        <v>39.799999999999997</v>
      </c>
      <c r="X880">
        <v>30.2</v>
      </c>
      <c r="Y880">
        <v>9.6999999999999993</v>
      </c>
    </row>
    <row r="881" spans="1:25" ht="60" customHeight="1" x14ac:dyDescent="0.25">
      <c r="A881"/>
      <c r="B881" t="s">
        <v>4</v>
      </c>
      <c r="C881" t="s">
        <v>3819</v>
      </c>
      <c r="D881" t="s">
        <v>16</v>
      </c>
      <c r="E881" t="s">
        <v>3279</v>
      </c>
      <c r="F881" t="s">
        <v>3280</v>
      </c>
      <c r="G881" t="s">
        <v>738</v>
      </c>
      <c r="H881" s="11">
        <v>12.48</v>
      </c>
      <c r="I881" s="10">
        <f>H881*(1-IFERROR(VLOOKUP(G881,Rabat!$C$9:$D$43,2,0),0))</f>
        <v>12.48</v>
      </c>
      <c r="J881" t="s">
        <v>1815</v>
      </c>
      <c r="K881" t="s">
        <v>3309</v>
      </c>
      <c r="L881" t="s">
        <v>1813</v>
      </c>
      <c r="M881">
        <v>12</v>
      </c>
      <c r="N881">
        <v>480</v>
      </c>
      <c r="O881" t="s">
        <v>1818</v>
      </c>
      <c r="P881" s="12" t="str">
        <f>HYPERLINK("https://b2b.kobi.pl/pl/product/12950,slupek-ogrodowy-solar-led-aurora-round-4000k-ip44-led2b?currency=PLN")</f>
        <v>https://b2b.kobi.pl/pl/product/12950,slupek-ogrodowy-solar-led-aurora-round-4000k-ip44-led2b?currency=PLN</v>
      </c>
      <c r="Q881" t="s">
        <v>14</v>
      </c>
      <c r="R881"/>
      <c r="S881" t="s">
        <v>2608</v>
      </c>
      <c r="T881">
        <v>0.14000000000000001</v>
      </c>
      <c r="U881">
        <v>0.16400000000000001</v>
      </c>
      <c r="V881">
        <v>0.17499999999999999</v>
      </c>
      <c r="W881">
        <v>30</v>
      </c>
      <c r="X881">
        <v>23.5</v>
      </c>
      <c r="Y881">
        <v>9</v>
      </c>
    </row>
    <row r="882" spans="1:25" ht="60" customHeight="1" x14ac:dyDescent="0.25">
      <c r="A882"/>
      <c r="B882" t="s">
        <v>4</v>
      </c>
      <c r="C882" t="s">
        <v>3819</v>
      </c>
      <c r="D882" t="s">
        <v>16</v>
      </c>
      <c r="E882" t="s">
        <v>3281</v>
      </c>
      <c r="F882" t="s">
        <v>3282</v>
      </c>
      <c r="G882" t="s">
        <v>738</v>
      </c>
      <c r="H882" s="11">
        <v>38.18</v>
      </c>
      <c r="I882" s="10">
        <f>H882*(1-IFERROR(VLOOKUP(G882,Rabat!$C$9:$D$43,2,0),0))</f>
        <v>38.18</v>
      </c>
      <c r="J882" t="s">
        <v>1815</v>
      </c>
      <c r="K882" t="s">
        <v>3310</v>
      </c>
      <c r="L882" t="s">
        <v>1813</v>
      </c>
      <c r="M882">
        <v>6</v>
      </c>
      <c r="N882">
        <v>288</v>
      </c>
      <c r="O882" t="s">
        <v>1818</v>
      </c>
      <c r="P882" s="12" t="str">
        <f>HYPERLINK("https://b2b.kobi.pl/pl/product/12957,lampa-ogrodowa-solar-led-luvetra-4000k-ip44-biala-led2b?currency=PLN")</f>
        <v>https://b2b.kobi.pl/pl/product/12957,lampa-ogrodowa-solar-led-luvetra-4000k-ip44-biala-led2b?currency=PLN</v>
      </c>
      <c r="Q882" t="s">
        <v>14</v>
      </c>
      <c r="R882"/>
      <c r="S882" t="s">
        <v>2608</v>
      </c>
      <c r="T882">
        <v>0.23</v>
      </c>
      <c r="U882">
        <v>0.27500000000000002</v>
      </c>
      <c r="V882">
        <v>0.36599999999999999</v>
      </c>
      <c r="W882">
        <v>12.5</v>
      </c>
      <c r="X882">
        <v>12.5</v>
      </c>
      <c r="Y882">
        <v>23.8</v>
      </c>
    </row>
    <row r="883" spans="1:25" ht="60" customHeight="1" x14ac:dyDescent="0.25">
      <c r="A883"/>
      <c r="B883" t="s">
        <v>4</v>
      </c>
      <c r="C883" t="s">
        <v>3819</v>
      </c>
      <c r="D883" t="s">
        <v>16</v>
      </c>
      <c r="E883" t="s">
        <v>3283</v>
      </c>
      <c r="F883" t="s">
        <v>3284</v>
      </c>
      <c r="G883" t="s">
        <v>738</v>
      </c>
      <c r="H883" s="11">
        <v>20.2</v>
      </c>
      <c r="I883" s="10">
        <f>H883*(1-IFERROR(VLOOKUP(G883,Rabat!$C$9:$D$43,2,0),0))</f>
        <v>20.2</v>
      </c>
      <c r="J883" t="s">
        <v>1815</v>
      </c>
      <c r="K883" t="s">
        <v>3311</v>
      </c>
      <c r="L883" t="s">
        <v>1813</v>
      </c>
      <c r="M883">
        <v>16</v>
      </c>
      <c r="N883">
        <v>928</v>
      </c>
      <c r="O883" t="s">
        <v>1818</v>
      </c>
      <c r="P883" s="12" t="str">
        <f>HYPERLINK("https://b2b.kobi.pl/pl/product/12958,slupek-ogrodowy-solar-led-sprinkle-3000k-ip44-led2b?currency=PLN")</f>
        <v>https://b2b.kobi.pl/pl/product/12958,slupek-ogrodowy-solar-led-sprinkle-3000k-ip44-led2b?currency=PLN</v>
      </c>
      <c r="Q883" t="s">
        <v>14</v>
      </c>
      <c r="R883"/>
      <c r="S883" t="s">
        <v>2608</v>
      </c>
      <c r="T883">
        <v>0.09</v>
      </c>
      <c r="U883">
        <v>0.105</v>
      </c>
      <c r="V883">
        <v>0.16200000000000001</v>
      </c>
      <c r="W883">
        <v>6.5</v>
      </c>
      <c r="X883">
        <v>5</v>
      </c>
      <c r="Y883">
        <v>38</v>
      </c>
    </row>
    <row r="884" spans="1:25" ht="60" customHeight="1" x14ac:dyDescent="0.25">
      <c r="A884"/>
      <c r="B884" t="s">
        <v>4</v>
      </c>
      <c r="C884" t="s">
        <v>3819</v>
      </c>
      <c r="D884" t="s">
        <v>16</v>
      </c>
      <c r="E884" t="s">
        <v>3285</v>
      </c>
      <c r="F884" t="s">
        <v>3286</v>
      </c>
      <c r="G884" t="s">
        <v>738</v>
      </c>
      <c r="H884" s="11">
        <v>7.88</v>
      </c>
      <c r="I884" s="10">
        <f>H884*(1-IFERROR(VLOOKUP(G884,Rabat!$C$9:$D$43,2,0),0))</f>
        <v>7.88</v>
      </c>
      <c r="J884" t="s">
        <v>1815</v>
      </c>
      <c r="K884" t="s">
        <v>3312</v>
      </c>
      <c r="L884" t="s">
        <v>1813</v>
      </c>
      <c r="M884">
        <v>24</v>
      </c>
      <c r="N884">
        <v>480</v>
      </c>
      <c r="O884" t="s">
        <v>1818</v>
      </c>
      <c r="P884" s="12" t="str">
        <f>HYPERLINK("https://b2b.kobi.pl/pl/product/12959,slupek-ogrodowy-solar-led-sphere-g2-10cm-4000k-ip44-led2b?currency=PLN")</f>
        <v>https://b2b.kobi.pl/pl/product/12959,slupek-ogrodowy-solar-led-sphere-g2-10cm-4000k-ip44-led2b?currency=PLN</v>
      </c>
      <c r="Q884" t="s">
        <v>14</v>
      </c>
      <c r="R884"/>
      <c r="S884" t="s">
        <v>2608</v>
      </c>
      <c r="T884">
        <v>0.06</v>
      </c>
      <c r="U884">
        <v>7.4999999999999997E-2</v>
      </c>
      <c r="V884">
        <v>9.8000000000000004E-2</v>
      </c>
      <c r="W884">
        <v>40</v>
      </c>
      <c r="X884">
        <v>30</v>
      </c>
      <c r="Y884">
        <v>10</v>
      </c>
    </row>
    <row r="885" spans="1:25" ht="60" customHeight="1" x14ac:dyDescent="0.25">
      <c r="A885"/>
      <c r="B885" t="s">
        <v>4</v>
      </c>
      <c r="C885" t="s">
        <v>3819</v>
      </c>
      <c r="D885" t="s">
        <v>16</v>
      </c>
      <c r="E885" t="s">
        <v>3384</v>
      </c>
      <c r="F885" t="s">
        <v>3287</v>
      </c>
      <c r="G885" t="s">
        <v>620</v>
      </c>
      <c r="H885" s="11">
        <v>14.75</v>
      </c>
      <c r="I885" s="10">
        <f>H885*(1-IFERROR(VLOOKUP(G885,Rabat!$C$9:$D$43,2,0),0))</f>
        <v>14.75</v>
      </c>
      <c r="J885" t="s">
        <v>1815</v>
      </c>
      <c r="K885" t="s">
        <v>3313</v>
      </c>
      <c r="L885" t="s">
        <v>1813</v>
      </c>
      <c r="M885">
        <v>200</v>
      </c>
      <c r="N885"/>
      <c r="O885" t="s">
        <v>1818</v>
      </c>
      <c r="P885" s="12" t="str">
        <f>HYPERLINK("https://b2b.kobi.pl/pl/product/12971,zasilacz-do-led-starlight-neo-9w-24v-led2b?currency=PLN")</f>
        <v>https://b2b.kobi.pl/pl/product/12971,zasilacz-do-led-starlight-neo-9w-24v-led2b?currency=PLN</v>
      </c>
      <c r="Q885" t="s">
        <v>14</v>
      </c>
      <c r="R885"/>
      <c r="S885" t="s">
        <v>3314</v>
      </c>
      <c r="T885">
        <v>0.02</v>
      </c>
      <c r="U885">
        <v>4.4999999999999998E-2</v>
      </c>
      <c r="V885">
        <v>0.06</v>
      </c>
      <c r="W885">
        <v>4.5</v>
      </c>
      <c r="X885">
        <v>4.5</v>
      </c>
      <c r="Y885">
        <v>11</v>
      </c>
    </row>
    <row r="886" spans="1:25" ht="60" customHeight="1" x14ac:dyDescent="0.25">
      <c r="A886"/>
      <c r="B886" t="s">
        <v>4</v>
      </c>
      <c r="C886" t="s">
        <v>3819</v>
      </c>
      <c r="D886" t="s">
        <v>16</v>
      </c>
      <c r="E886" t="s">
        <v>3288</v>
      </c>
      <c r="F886" t="s">
        <v>3289</v>
      </c>
      <c r="G886" t="s">
        <v>1436</v>
      </c>
      <c r="H886" s="11">
        <v>2.48</v>
      </c>
      <c r="I886" s="10">
        <f>H886*(1-IFERROR(VLOOKUP(G886,Rabat!$C$9:$D$43,2,0),0))</f>
        <v>2.48</v>
      </c>
      <c r="J886" t="s">
        <v>1815</v>
      </c>
      <c r="K886" t="s">
        <v>3315</v>
      </c>
      <c r="L886" t="s">
        <v>1813</v>
      </c>
      <c r="M886">
        <v>200</v>
      </c>
      <c r="N886"/>
      <c r="O886" t="s">
        <v>1818</v>
      </c>
      <c r="P886" s="12" t="str">
        <f>HYPERLINK("https://b2b.kobi.pl/pl/product/12972,zarowka-led-s14-0-042w-24v-e27-2700k-led2b?currency=PLN")</f>
        <v>https://b2b.kobi.pl/pl/product/12972,zarowka-led-s14-0-042w-24v-e27-2700k-led2b?currency=PLN</v>
      </c>
      <c r="Q886" t="s">
        <v>14</v>
      </c>
      <c r="R886"/>
      <c r="S886" t="s">
        <v>2569</v>
      </c>
      <c r="T886">
        <v>0.01</v>
      </c>
      <c r="U886">
        <v>1.17E-2</v>
      </c>
      <c r="V886">
        <v>1.8200000000000001E-2</v>
      </c>
      <c r="W886">
        <v>4.3</v>
      </c>
      <c r="X886">
        <v>4.3</v>
      </c>
      <c r="Y886">
        <v>8.5</v>
      </c>
    </row>
    <row r="887" spans="1:25" ht="60" customHeight="1" x14ac:dyDescent="0.25">
      <c r="A887"/>
      <c r="B887" t="s">
        <v>4</v>
      </c>
      <c r="C887" t="s">
        <v>3819</v>
      </c>
      <c r="D887" t="s">
        <v>16</v>
      </c>
      <c r="E887" t="s">
        <v>3290</v>
      </c>
      <c r="F887" t="s">
        <v>3291</v>
      </c>
      <c r="G887" t="s">
        <v>738</v>
      </c>
      <c r="H887" s="11">
        <v>45.88</v>
      </c>
      <c r="I887" s="10">
        <f>H887*(1-IFERROR(VLOOKUP(G887,Rabat!$C$9:$D$43,2,0),0))</f>
        <v>45.88</v>
      </c>
      <c r="J887" t="s">
        <v>1815</v>
      </c>
      <c r="K887" t="s">
        <v>3316</v>
      </c>
      <c r="L887" t="s">
        <v>1833</v>
      </c>
      <c r="M887">
        <v>24</v>
      </c>
      <c r="N887">
        <v>576</v>
      </c>
      <c r="O887" t="s">
        <v>1818</v>
      </c>
      <c r="P887" s="12" t="str">
        <f>HYPERLINK("https://b2b.kobi.pl/pl/product/12955,lampa-ogrodowa-solar-led-clavo-g2-4000k-ip44-4-pak-led2b?currency=PLN")</f>
        <v>https://b2b.kobi.pl/pl/product/12955,lampa-ogrodowa-solar-led-clavo-g2-4000k-ip44-4-pak-led2b?currency=PLN</v>
      </c>
      <c r="Q887" t="s">
        <v>14</v>
      </c>
      <c r="R887"/>
      <c r="S887" t="s">
        <v>2608</v>
      </c>
      <c r="T887">
        <v>0.36</v>
      </c>
      <c r="U887">
        <v>0.42399999999999999</v>
      </c>
      <c r="V887">
        <v>0.48799999999999999</v>
      </c>
      <c r="W887">
        <v>12</v>
      </c>
      <c r="X887">
        <v>12</v>
      </c>
      <c r="Y887">
        <v>13</v>
      </c>
    </row>
    <row r="888" spans="1:25" ht="60" customHeight="1" x14ac:dyDescent="0.25">
      <c r="A888"/>
      <c r="B888" t="s">
        <v>4</v>
      </c>
      <c r="C888" t="s">
        <v>3819</v>
      </c>
      <c r="D888" t="s">
        <v>16</v>
      </c>
      <c r="E888" t="s">
        <v>3323</v>
      </c>
      <c r="F888" t="s">
        <v>3292</v>
      </c>
      <c r="G888" t="s">
        <v>738</v>
      </c>
      <c r="H888" s="11">
        <v>102.62</v>
      </c>
      <c r="I888" s="10">
        <f>H888*(1-IFERROR(VLOOKUP(G888,Rabat!$C$9:$D$43,2,0),0))</f>
        <v>102.62</v>
      </c>
      <c r="J888" t="s">
        <v>1815</v>
      </c>
      <c r="K888" t="s">
        <v>3317</v>
      </c>
      <c r="L888" t="s">
        <v>1813</v>
      </c>
      <c r="M888">
        <v>40</v>
      </c>
      <c r="N888">
        <v>640</v>
      </c>
      <c r="O888" t="s">
        <v>1818</v>
      </c>
      <c r="P888"/>
      <c r="Q888" t="s">
        <v>14</v>
      </c>
      <c r="R888"/>
      <c r="S888" t="s">
        <v>2608</v>
      </c>
      <c r="T888">
        <v>0.31</v>
      </c>
      <c r="U888">
        <v>0.36399999999999999</v>
      </c>
      <c r="V888">
        <v>0.438</v>
      </c>
      <c r="W888">
        <v>19.5</v>
      </c>
      <c r="X888">
        <v>9</v>
      </c>
      <c r="Y888">
        <v>10.199999999999999</v>
      </c>
    </row>
    <row r="889" spans="1:25" ht="60" customHeight="1" x14ac:dyDescent="0.25">
      <c r="A889"/>
      <c r="B889" t="s">
        <v>4</v>
      </c>
      <c r="C889" t="s">
        <v>3819</v>
      </c>
      <c r="D889" t="s">
        <v>16</v>
      </c>
      <c r="E889" t="s">
        <v>3324</v>
      </c>
      <c r="F889" t="s">
        <v>3293</v>
      </c>
      <c r="G889" t="s">
        <v>738</v>
      </c>
      <c r="H889" s="11">
        <v>51.33</v>
      </c>
      <c r="I889" s="10">
        <f>H889*(1-IFERROR(VLOOKUP(G889,Rabat!$C$9:$D$43,2,0),0))</f>
        <v>51.33</v>
      </c>
      <c r="J889" t="s">
        <v>1815</v>
      </c>
      <c r="K889" t="s">
        <v>3318</v>
      </c>
      <c r="L889" t="s">
        <v>1813</v>
      </c>
      <c r="M889">
        <v>80</v>
      </c>
      <c r="N889">
        <v>1280</v>
      </c>
      <c r="O889" t="s">
        <v>1818</v>
      </c>
      <c r="P889" s="12" t="str">
        <f>HYPERLINK("https://b2b.kobi.pl/pl/product/12965,kinkiet-ogrodowy-solar-led-querk-2cct-ip54-led2b?currency=PLN")</f>
        <v>https://b2b.kobi.pl/pl/product/12965,kinkiet-ogrodowy-solar-led-querk-2cct-ip54-led2b?currency=PLN</v>
      </c>
      <c r="Q889" t="s">
        <v>14</v>
      </c>
      <c r="R889"/>
      <c r="S889" t="s">
        <v>2608</v>
      </c>
      <c r="T889">
        <v>0.15</v>
      </c>
      <c r="U889">
        <v>0.182</v>
      </c>
      <c r="V889">
        <v>0.22800000000000001</v>
      </c>
      <c r="W889">
        <v>9.5</v>
      </c>
      <c r="X889">
        <v>8.8000000000000007</v>
      </c>
      <c r="Y889">
        <v>10.3</v>
      </c>
    </row>
    <row r="890" spans="1:25" ht="60" customHeight="1" x14ac:dyDescent="0.25">
      <c r="A890"/>
      <c r="B890" t="s">
        <v>4</v>
      </c>
      <c r="C890" t="s">
        <v>3819</v>
      </c>
      <c r="D890" t="s">
        <v>16</v>
      </c>
      <c r="E890" t="s">
        <v>3294</v>
      </c>
      <c r="F890" t="s">
        <v>3295</v>
      </c>
      <c r="G890" t="s">
        <v>738</v>
      </c>
      <c r="H890" s="11">
        <v>112.48</v>
      </c>
      <c r="I890" s="10">
        <f>H890*(1-IFERROR(VLOOKUP(G890,Rabat!$C$9:$D$43,2,0),0))</f>
        <v>112.48</v>
      </c>
      <c r="J890" t="s">
        <v>1815</v>
      </c>
      <c r="K890" t="s">
        <v>3319</v>
      </c>
      <c r="L890" t="s">
        <v>1813</v>
      </c>
      <c r="M890">
        <v>12</v>
      </c>
      <c r="N890">
        <v>192</v>
      </c>
      <c r="O890" t="s">
        <v>1818</v>
      </c>
      <c r="P890" s="12" t="str">
        <f>HYPERLINK("https://b2b.kobi.pl/pl/product/12968,girlanda-solar-led-starlight-neo-10m-10x0-042w-e27-led2b?currency=PLN")</f>
        <v>https://b2b.kobi.pl/pl/product/12968,girlanda-solar-led-starlight-neo-10m-10x0-042w-e27-led2b?currency=PLN</v>
      </c>
      <c r="Q890" t="s">
        <v>14</v>
      </c>
      <c r="R890"/>
      <c r="S890" t="s">
        <v>2608</v>
      </c>
      <c r="T890">
        <v>0.79</v>
      </c>
      <c r="U890">
        <v>0.93500000000000005</v>
      </c>
      <c r="V890">
        <v>1.1100000000000001</v>
      </c>
      <c r="W890">
        <v>25</v>
      </c>
      <c r="X890">
        <v>16</v>
      </c>
      <c r="Y890">
        <v>12</v>
      </c>
    </row>
    <row r="891" spans="1:25" ht="60" customHeight="1" x14ac:dyDescent="0.25">
      <c r="A891"/>
      <c r="B891" t="s">
        <v>4</v>
      </c>
      <c r="C891" t="s">
        <v>3819</v>
      </c>
      <c r="D891" t="s">
        <v>16</v>
      </c>
      <c r="E891" t="s">
        <v>3296</v>
      </c>
      <c r="F891" t="s">
        <v>3297</v>
      </c>
      <c r="G891" t="s">
        <v>738</v>
      </c>
      <c r="H891" s="11">
        <v>199.98</v>
      </c>
      <c r="I891" s="10">
        <f>H891*(1-IFERROR(VLOOKUP(G891,Rabat!$C$9:$D$43,2,0),0))</f>
        <v>199.98</v>
      </c>
      <c r="J891" t="s">
        <v>1815</v>
      </c>
      <c r="K891" t="s">
        <v>3320</v>
      </c>
      <c r="L891" t="s">
        <v>1813</v>
      </c>
      <c r="M891">
        <v>8</v>
      </c>
      <c r="N891">
        <v>128</v>
      </c>
      <c r="O891" t="s">
        <v>1818</v>
      </c>
      <c r="P891" s="12" t="str">
        <f>HYPERLINK("https://b2b.kobi.pl/pl/product/12969,girlanda-solar-led-starlight-neo-10m-20x0-042w-e27-led2b?currency=PLN")</f>
        <v>https://b2b.kobi.pl/pl/product/12969,girlanda-solar-led-starlight-neo-10m-20x0-042w-e27-led2b?currency=PLN</v>
      </c>
      <c r="Q891" t="s">
        <v>14</v>
      </c>
      <c r="R891"/>
      <c r="S891" t="s">
        <v>2608</v>
      </c>
      <c r="T891">
        <v>1.35</v>
      </c>
      <c r="U891">
        <v>1.5960000000000001</v>
      </c>
      <c r="V891">
        <v>1.7849999999999999</v>
      </c>
      <c r="W891">
        <v>27</v>
      </c>
      <c r="X891">
        <v>17</v>
      </c>
      <c r="Y891">
        <v>17.5</v>
      </c>
    </row>
    <row r="892" spans="1:25" ht="60" customHeight="1" x14ac:dyDescent="0.25">
      <c r="A892"/>
      <c r="B892" t="s">
        <v>4</v>
      </c>
      <c r="C892" t="s">
        <v>3819</v>
      </c>
      <c r="D892" t="s">
        <v>16</v>
      </c>
      <c r="E892" t="s">
        <v>3298</v>
      </c>
      <c r="F892" t="s">
        <v>3299</v>
      </c>
      <c r="G892" t="s">
        <v>738</v>
      </c>
      <c r="H892" s="11">
        <v>211.25</v>
      </c>
      <c r="I892" s="10">
        <f>H892*(1-IFERROR(VLOOKUP(G892,Rabat!$C$9:$D$43,2,0),0))</f>
        <v>211.25</v>
      </c>
      <c r="J892" t="s">
        <v>1815</v>
      </c>
      <c r="K892" t="s">
        <v>3321</v>
      </c>
      <c r="L892" t="s">
        <v>1813</v>
      </c>
      <c r="M892">
        <v>8</v>
      </c>
      <c r="N892">
        <v>128</v>
      </c>
      <c r="O892" t="s">
        <v>1818</v>
      </c>
      <c r="P892" s="12" t="str">
        <f>HYPERLINK("https://b2b.kobi.pl/pl/product/12970,girlanda-solar-led-starlight-neo-20m-20x0-042w-e27-led2b?currency=PLN")</f>
        <v>https://b2b.kobi.pl/pl/product/12970,girlanda-solar-led-starlight-neo-20m-20x0-042w-e27-led2b?currency=PLN</v>
      </c>
      <c r="Q892" t="s">
        <v>14</v>
      </c>
      <c r="R892"/>
      <c r="S892" t="s">
        <v>2608</v>
      </c>
      <c r="T892">
        <v>1.62</v>
      </c>
      <c r="U892">
        <v>1.915</v>
      </c>
      <c r="V892">
        <v>2.125</v>
      </c>
      <c r="W892">
        <v>27</v>
      </c>
      <c r="X892">
        <v>19</v>
      </c>
      <c r="Y892">
        <v>17.5</v>
      </c>
    </row>
    <row r="893" spans="1:25" ht="60" customHeight="1" x14ac:dyDescent="0.25">
      <c r="A893"/>
      <c r="B893" t="s">
        <v>621</v>
      </c>
      <c r="C893" t="s">
        <v>5</v>
      </c>
      <c r="D893" t="s">
        <v>606</v>
      </c>
      <c r="E893" t="s">
        <v>622</v>
      </c>
      <c r="F893" t="s">
        <v>623</v>
      </c>
      <c r="G893" t="s">
        <v>620</v>
      </c>
      <c r="H893" s="11">
        <v>47.02</v>
      </c>
      <c r="I893" s="10">
        <f>H893*(1-IFERROR(VLOOKUP(G893,Rabat!$C$9:$D$43,2,0),0))</f>
        <v>47.02</v>
      </c>
      <c r="J893" t="s">
        <v>1815</v>
      </c>
      <c r="K893" t="s">
        <v>398</v>
      </c>
      <c r="L893" t="s">
        <v>1813</v>
      </c>
      <c r="M893">
        <v>100</v>
      </c>
      <c r="N893"/>
      <c r="O893" t="s">
        <v>1819</v>
      </c>
      <c r="P893" s="12" t="str">
        <f>HYPERLINK("https://b2b.kobi.pl/pl/product/10671,czujnik-ruchu-lx01-160-pir-bialy-kobi-premium?currency=PLN")</f>
        <v>https://b2b.kobi.pl/pl/product/10671,czujnik-ruchu-lx01-160-pir-bialy-kobi-premium?currency=PLN</v>
      </c>
      <c r="Q893" t="s">
        <v>14</v>
      </c>
      <c r="R893" t="s">
        <v>1945</v>
      </c>
      <c r="S893" t="s">
        <v>2621</v>
      </c>
      <c r="T893">
        <v>0.03</v>
      </c>
      <c r="U893">
        <v>8.7999999999999995E-2</v>
      </c>
      <c r="V893">
        <v>0.113</v>
      </c>
      <c r="W893">
        <v>8.5</v>
      </c>
      <c r="X893">
        <v>5</v>
      </c>
      <c r="Y893">
        <v>8.5</v>
      </c>
    </row>
    <row r="894" spans="1:25" ht="60" customHeight="1" x14ac:dyDescent="0.25">
      <c r="A894"/>
      <c r="B894" t="s">
        <v>621</v>
      </c>
      <c r="C894" t="s">
        <v>5</v>
      </c>
      <c r="D894" t="s">
        <v>606</v>
      </c>
      <c r="E894" t="s">
        <v>624</v>
      </c>
      <c r="F894" t="s">
        <v>625</v>
      </c>
      <c r="G894" t="s">
        <v>620</v>
      </c>
      <c r="H894" s="11">
        <v>46.43</v>
      </c>
      <c r="I894" s="10">
        <f>H894*(1-IFERROR(VLOOKUP(G894,Rabat!$C$9:$D$43,2,0),0))</f>
        <v>46.43</v>
      </c>
      <c r="J894" t="s">
        <v>1815</v>
      </c>
      <c r="K894" t="s">
        <v>399</v>
      </c>
      <c r="L894" t="s">
        <v>1813</v>
      </c>
      <c r="M894">
        <v>50</v>
      </c>
      <c r="N894">
        <v>900</v>
      </c>
      <c r="O894" t="s">
        <v>1819</v>
      </c>
      <c r="P894" s="12" t="str">
        <f>HYPERLINK("https://b2b.kobi.pl/pl/product/10672,czujnik-ruchu-lx06-360-pir-kobi-premium?currency=PLN")</f>
        <v>https://b2b.kobi.pl/pl/product/10672,czujnik-ruchu-lx06-360-pir-kobi-premium?currency=PLN</v>
      </c>
      <c r="Q894" t="s">
        <v>14</v>
      </c>
      <c r="R894" t="s">
        <v>1945</v>
      </c>
      <c r="S894" t="s">
        <v>2621</v>
      </c>
      <c r="T894">
        <v>0.06</v>
      </c>
      <c r="U894">
        <v>0.14199999999999999</v>
      </c>
      <c r="V894">
        <v>0.17699999999999999</v>
      </c>
      <c r="W894">
        <v>12.3</v>
      </c>
      <c r="X894">
        <v>6.5</v>
      </c>
      <c r="Y894">
        <v>12.3</v>
      </c>
    </row>
    <row r="895" spans="1:25" ht="60" customHeight="1" x14ac:dyDescent="0.25">
      <c r="A895"/>
      <c r="B895" t="s">
        <v>621</v>
      </c>
      <c r="C895" t="s">
        <v>5</v>
      </c>
      <c r="D895" t="s">
        <v>606</v>
      </c>
      <c r="E895" t="s">
        <v>626</v>
      </c>
      <c r="F895" t="s">
        <v>627</v>
      </c>
      <c r="G895" t="s">
        <v>620</v>
      </c>
      <c r="H895" s="11">
        <v>37.799999999999997</v>
      </c>
      <c r="I895" s="10">
        <f>H895*(1-IFERROR(VLOOKUP(G895,Rabat!$C$9:$D$43,2,0),0))</f>
        <v>37.799999999999997</v>
      </c>
      <c r="J895" t="s">
        <v>1815</v>
      </c>
      <c r="K895" t="s">
        <v>400</v>
      </c>
      <c r="L895" t="s">
        <v>1813</v>
      </c>
      <c r="M895">
        <v>50</v>
      </c>
      <c r="N895">
        <v>1400</v>
      </c>
      <c r="O895" t="s">
        <v>1819</v>
      </c>
      <c r="P895" s="12" t="str">
        <f>HYPERLINK("https://b2b.kobi.pl/pl/product/10674,czujnik-ruchu-lx39-ip44-180-pir-bialy-kobi-premium?currency=PLN")</f>
        <v>https://b2b.kobi.pl/pl/product/10674,czujnik-ruchu-lx39-ip44-180-pir-bialy-kobi-premium?currency=PLN</v>
      </c>
      <c r="Q895" t="s">
        <v>14</v>
      </c>
      <c r="R895"/>
      <c r="S895" t="s">
        <v>2621</v>
      </c>
      <c r="T895">
        <v>0.04</v>
      </c>
      <c r="U895">
        <v>0.10299999999999999</v>
      </c>
      <c r="V895">
        <v>0.13800000000000001</v>
      </c>
      <c r="W895">
        <v>9</v>
      </c>
      <c r="X895">
        <v>7.3</v>
      </c>
      <c r="Y895">
        <v>10.3</v>
      </c>
    </row>
    <row r="896" spans="1:25" ht="60" customHeight="1" x14ac:dyDescent="0.25">
      <c r="A896"/>
      <c r="B896" t="s">
        <v>621</v>
      </c>
      <c r="C896" t="s">
        <v>5</v>
      </c>
      <c r="D896" t="s">
        <v>606</v>
      </c>
      <c r="E896" t="s">
        <v>628</v>
      </c>
      <c r="F896" t="s">
        <v>629</v>
      </c>
      <c r="G896" t="s">
        <v>620</v>
      </c>
      <c r="H896" s="11">
        <v>37.76</v>
      </c>
      <c r="I896" s="10">
        <f>H896*(1-IFERROR(VLOOKUP(G896,Rabat!$C$9:$D$43,2,0),0))</f>
        <v>37.76</v>
      </c>
      <c r="J896" t="s">
        <v>1815</v>
      </c>
      <c r="K896" t="s">
        <v>401</v>
      </c>
      <c r="L896" t="s">
        <v>1813</v>
      </c>
      <c r="M896">
        <v>50</v>
      </c>
      <c r="N896">
        <v>1700</v>
      </c>
      <c r="O896" t="s">
        <v>1819</v>
      </c>
      <c r="P896" s="12" t="str">
        <f>HYPERLINK("https://b2b.kobi.pl/pl/product/10675,czujnik-ruchu-lx39-ip44-180-pir-czarny-kobi-premium?currency=PLN")</f>
        <v>https://b2b.kobi.pl/pl/product/10675,czujnik-ruchu-lx39-ip44-180-pir-czarny-kobi-premium?currency=PLN</v>
      </c>
      <c r="Q896" t="s">
        <v>14</v>
      </c>
      <c r="R896" t="s">
        <v>1945</v>
      </c>
      <c r="S896" t="s">
        <v>2621</v>
      </c>
      <c r="T896">
        <v>0.04</v>
      </c>
      <c r="U896">
        <v>0.10299999999999999</v>
      </c>
      <c r="V896">
        <v>0.13800000000000001</v>
      </c>
      <c r="W896">
        <v>9</v>
      </c>
      <c r="X896">
        <v>7.3</v>
      </c>
      <c r="Y896">
        <v>10.3</v>
      </c>
    </row>
    <row r="897" spans="1:25" ht="60" customHeight="1" x14ac:dyDescent="0.25">
      <c r="A897"/>
      <c r="B897" t="s">
        <v>621</v>
      </c>
      <c r="C897" t="s">
        <v>5</v>
      </c>
      <c r="D897" t="s">
        <v>606</v>
      </c>
      <c r="E897" t="s">
        <v>630</v>
      </c>
      <c r="F897" t="s">
        <v>631</v>
      </c>
      <c r="G897" t="s">
        <v>620</v>
      </c>
      <c r="H897" s="11">
        <v>47.25</v>
      </c>
      <c r="I897" s="10">
        <f>H897*(1-IFERROR(VLOOKUP(G897,Rabat!$C$9:$D$43,2,0),0))</f>
        <v>47.25</v>
      </c>
      <c r="J897" t="s">
        <v>1815</v>
      </c>
      <c r="K897" t="s">
        <v>402</v>
      </c>
      <c r="L897" t="s">
        <v>1813</v>
      </c>
      <c r="M897">
        <v>50</v>
      </c>
      <c r="N897">
        <v>1000</v>
      </c>
      <c r="O897" t="s">
        <v>1819</v>
      </c>
      <c r="P897" s="12" t="str">
        <f>HYPERLINK("https://b2b.kobi.pl/pl/product/10676,czujnik-ruchu-lx40-ip44-180-pir-bialy-kobi-premium?currency=PLN")</f>
        <v>https://b2b.kobi.pl/pl/product/10676,czujnik-ruchu-lx40-ip44-180-pir-bialy-kobi-premium?currency=PLN</v>
      </c>
      <c r="Q897" t="s">
        <v>14</v>
      </c>
      <c r="R897" t="s">
        <v>1945</v>
      </c>
      <c r="S897" t="s">
        <v>2621</v>
      </c>
      <c r="T897">
        <v>0.05</v>
      </c>
      <c r="U897">
        <v>0.13800000000000001</v>
      </c>
      <c r="V897">
        <v>0.17799999999999999</v>
      </c>
      <c r="W897">
        <v>9</v>
      </c>
      <c r="X897">
        <v>6.9</v>
      </c>
      <c r="Y897">
        <v>9.8000000000000007</v>
      </c>
    </row>
    <row r="898" spans="1:25" ht="60" customHeight="1" x14ac:dyDescent="0.25">
      <c r="A898"/>
      <c r="B898" t="s">
        <v>621</v>
      </c>
      <c r="C898" t="s">
        <v>5</v>
      </c>
      <c r="D898" t="s">
        <v>606</v>
      </c>
      <c r="E898" t="s">
        <v>632</v>
      </c>
      <c r="F898" t="s">
        <v>633</v>
      </c>
      <c r="G898" t="s">
        <v>620</v>
      </c>
      <c r="H898" s="11">
        <v>45.01</v>
      </c>
      <c r="I898" s="10">
        <f>H898*(1-IFERROR(VLOOKUP(G898,Rabat!$C$9:$D$43,2,0),0))</f>
        <v>45.01</v>
      </c>
      <c r="J898" t="s">
        <v>1815</v>
      </c>
      <c r="K898" t="s">
        <v>403</v>
      </c>
      <c r="L898" t="s">
        <v>1813</v>
      </c>
      <c r="M898">
        <v>50</v>
      </c>
      <c r="N898">
        <v>1700</v>
      </c>
      <c r="O898" t="s">
        <v>1819</v>
      </c>
      <c r="P898" s="12" t="str">
        <f>HYPERLINK("https://b2b.kobi.pl/pl/product/10677,czujnik-ruchu-lx40-ip44-180-pir-czarny-kobi-premium?currency=PLN")</f>
        <v>https://b2b.kobi.pl/pl/product/10677,czujnik-ruchu-lx40-ip44-180-pir-czarny-kobi-premium?currency=PLN</v>
      </c>
      <c r="Q898" t="s">
        <v>14</v>
      </c>
      <c r="R898" t="s">
        <v>1945</v>
      </c>
      <c r="S898" t="s">
        <v>2621</v>
      </c>
      <c r="T898">
        <v>0.05</v>
      </c>
      <c r="U898">
        <v>0.13800000000000001</v>
      </c>
      <c r="V898">
        <v>0.17799999999999999</v>
      </c>
      <c r="W898">
        <v>9</v>
      </c>
      <c r="X898">
        <v>6.9</v>
      </c>
      <c r="Y898">
        <v>9.8000000000000007</v>
      </c>
    </row>
    <row r="899" spans="1:25" ht="60" customHeight="1" x14ac:dyDescent="0.25">
      <c r="A899"/>
      <c r="B899" s="13" t="s">
        <v>621</v>
      </c>
      <c r="C899" s="13" t="s">
        <v>5</v>
      </c>
      <c r="D899" s="13" t="s">
        <v>606</v>
      </c>
      <c r="E899" s="13" t="s">
        <v>634</v>
      </c>
      <c r="F899" s="13" t="s">
        <v>635</v>
      </c>
      <c r="G899" s="13" t="s">
        <v>620</v>
      </c>
      <c r="H899" s="10">
        <v>44.31</v>
      </c>
      <c r="I899" s="10">
        <f>H899*(1-IFERROR(VLOOKUP(G899,Rabat!$C$9:$D$43,2,0),0))</f>
        <v>44.31</v>
      </c>
      <c r="J899" s="13" t="s">
        <v>1815</v>
      </c>
      <c r="K899" s="13" t="s">
        <v>404</v>
      </c>
      <c r="L899" s="13" t="s">
        <v>1813</v>
      </c>
      <c r="M899" s="13">
        <v>100</v>
      </c>
      <c r="N899" s="13">
        <v>2500</v>
      </c>
      <c r="O899" s="13" t="s">
        <v>1819</v>
      </c>
      <c r="P899" s="14" t="str">
        <f>HYPERLINK("https://b2b.kobi.pl/pl/product/10679,czujnik-ruchu-lx42-360-pir-kobi-premium?currency=PLN")</f>
        <v>https://b2b.kobi.pl/pl/product/10679,czujnik-ruchu-lx42-360-pir-kobi-premium?currency=PLN</v>
      </c>
      <c r="Q899" s="13" t="s">
        <v>14</v>
      </c>
      <c r="R899" s="13" t="s">
        <v>1945</v>
      </c>
      <c r="S899" t="s">
        <v>2621</v>
      </c>
      <c r="T899">
        <v>0.02</v>
      </c>
      <c r="U899">
        <v>0.04</v>
      </c>
      <c r="V899">
        <v>0.06</v>
      </c>
      <c r="W899">
        <v>8.3000000000000007</v>
      </c>
      <c r="X899">
        <v>6.2</v>
      </c>
      <c r="Y899">
        <v>8.3000000000000007</v>
      </c>
    </row>
    <row r="900" spans="1:25" ht="60" customHeight="1" x14ac:dyDescent="0.25">
      <c r="A900"/>
      <c r="B900" s="13" t="s">
        <v>621</v>
      </c>
      <c r="C900" s="13" t="s">
        <v>5</v>
      </c>
      <c r="D900" s="13" t="s">
        <v>575</v>
      </c>
      <c r="E900" s="13" t="s">
        <v>636</v>
      </c>
      <c r="F900" s="13" t="s">
        <v>637</v>
      </c>
      <c r="G900" s="13" t="s">
        <v>620</v>
      </c>
      <c r="H900" s="10">
        <v>49.6</v>
      </c>
      <c r="I900" s="10">
        <f>H900*(1-IFERROR(VLOOKUP(G900,Rabat!$C$9:$D$43,2,0),0))</f>
        <v>49.6</v>
      </c>
      <c r="J900" s="13" t="s">
        <v>1815</v>
      </c>
      <c r="K900" s="13" t="s">
        <v>397</v>
      </c>
      <c r="L900" s="13" t="s">
        <v>1813</v>
      </c>
      <c r="M900" s="13">
        <v>100</v>
      </c>
      <c r="N900" s="13">
        <v>5600</v>
      </c>
      <c r="O900" s="13" t="s">
        <v>1814</v>
      </c>
      <c r="P900" s="14" t="str">
        <f>HYPERLINK("https://b2b.kobi.pl/pl/product/10681,czujnik-ruchu-lx701-360-mic-kobi-pro?currency=PLN")</f>
        <v>https://b2b.kobi.pl/pl/product/10681,czujnik-ruchu-lx701-360-mic-kobi-pro?currency=PLN</v>
      </c>
      <c r="Q900" s="13" t="s">
        <v>14</v>
      </c>
      <c r="R900" s="13"/>
      <c r="S900" t="s">
        <v>2621</v>
      </c>
      <c r="T900">
        <v>0.02</v>
      </c>
      <c r="U900">
        <v>4.2000000000000003E-2</v>
      </c>
      <c r="V900">
        <v>0.43</v>
      </c>
      <c r="W900">
        <v>5.0999999999999996</v>
      </c>
      <c r="X900">
        <v>5</v>
      </c>
      <c r="Y900">
        <v>7.4</v>
      </c>
    </row>
    <row r="901" spans="1:25" ht="60" customHeight="1" x14ac:dyDescent="0.25">
      <c r="A901"/>
      <c r="B901" s="13" t="s">
        <v>621</v>
      </c>
      <c r="C901" s="13" t="s">
        <v>5</v>
      </c>
      <c r="D901" s="13" t="s">
        <v>575</v>
      </c>
      <c r="E901" s="13" t="s">
        <v>1310</v>
      </c>
      <c r="F901" s="13" t="s">
        <v>1311</v>
      </c>
      <c r="G901" s="13" t="s">
        <v>620</v>
      </c>
      <c r="H901" s="10">
        <v>218</v>
      </c>
      <c r="I901" s="10">
        <f>H901*(1-IFERROR(VLOOKUP(G901,Rabat!$C$9:$D$43,2,0),0))</f>
        <v>218</v>
      </c>
      <c r="J901" s="13" t="s">
        <v>1815</v>
      </c>
      <c r="K901" s="13" t="s">
        <v>406</v>
      </c>
      <c r="L901" s="13" t="s">
        <v>1813</v>
      </c>
      <c r="M901" s="13">
        <v>20</v>
      </c>
      <c r="N901" s="13"/>
      <c r="O901" s="13" t="s">
        <v>1818</v>
      </c>
      <c r="P901" s="14" t="str">
        <f>HYPERLINK("https://b2b.kobi.pl/pl/product/10682,pilot-do-czujnika-ruchu-zhaga-hd05r?currency=PLN")</f>
        <v>https://b2b.kobi.pl/pl/product/10682,pilot-do-czujnika-ruchu-zhaga-hd05r?currency=PLN</v>
      </c>
      <c r="Q901" s="13" t="s">
        <v>14</v>
      </c>
      <c r="R901" s="13"/>
      <c r="S901" t="s">
        <v>2622</v>
      </c>
      <c r="T901">
        <v>0.03</v>
      </c>
      <c r="U901">
        <v>0.08</v>
      </c>
      <c r="V901">
        <v>0.1</v>
      </c>
      <c r="W901">
        <v>14</v>
      </c>
      <c r="X901">
        <v>7</v>
      </c>
      <c r="Y901">
        <v>3</v>
      </c>
    </row>
    <row r="902" spans="1:25" ht="60" customHeight="1" x14ac:dyDescent="0.25">
      <c r="A902"/>
      <c r="B902" s="13" t="s">
        <v>621</v>
      </c>
      <c r="C902" s="13" t="s">
        <v>5</v>
      </c>
      <c r="D902" s="13" t="s">
        <v>618</v>
      </c>
      <c r="E902" s="13" t="s">
        <v>1014</v>
      </c>
      <c r="F902" s="13" t="s">
        <v>1015</v>
      </c>
      <c r="G902" s="13" t="s">
        <v>620</v>
      </c>
      <c r="H902" s="10">
        <v>115.5</v>
      </c>
      <c r="I902" s="10">
        <f>H902*(1-IFERROR(VLOOKUP(G902,Rabat!$C$9:$D$43,2,0),0))</f>
        <v>115.5</v>
      </c>
      <c r="J902" s="13" t="s">
        <v>1815</v>
      </c>
      <c r="K902" s="13" t="s">
        <v>405</v>
      </c>
      <c r="L902" s="13" t="s">
        <v>1813</v>
      </c>
      <c r="M902" s="13">
        <v>1</v>
      </c>
      <c r="N902" s="13"/>
      <c r="O902" s="13" t="s">
        <v>1818</v>
      </c>
      <c r="P902" s="14" t="str">
        <f>HYPERLINK("https://b2b.kobi.pl/pl/product/10684,czujnik-ruchu-zhaga-hd06vcrh7c?currency=PLN")</f>
        <v>https://b2b.kobi.pl/pl/product/10684,czujnik-ruchu-zhaga-hd06vcrh7c?currency=PLN</v>
      </c>
      <c r="Q902" s="13" t="s">
        <v>14</v>
      </c>
      <c r="R902" s="13"/>
      <c r="S902" t="s">
        <v>2621</v>
      </c>
      <c r="T902">
        <v>0.01</v>
      </c>
      <c r="U902">
        <v>0.03</v>
      </c>
      <c r="V902">
        <v>0.04</v>
      </c>
      <c r="W902">
        <v>6</v>
      </c>
      <c r="X902">
        <v>6</v>
      </c>
      <c r="Y902">
        <v>5</v>
      </c>
    </row>
    <row r="903" spans="1:25" ht="60" customHeight="1" x14ac:dyDescent="0.25">
      <c r="A903"/>
      <c r="B903" s="13" t="s">
        <v>621</v>
      </c>
      <c r="C903" s="13" t="s">
        <v>5</v>
      </c>
      <c r="D903" s="13" t="s">
        <v>618</v>
      </c>
      <c r="E903" s="13" t="s">
        <v>538</v>
      </c>
      <c r="F903" s="13" t="s">
        <v>619</v>
      </c>
      <c r="G903" s="13" t="s">
        <v>620</v>
      </c>
      <c r="H903" s="10">
        <v>207.67</v>
      </c>
      <c r="I903" s="10">
        <f>H903*(1-IFERROR(VLOOKUP(G903,Rabat!$C$9:$D$43,2,0),0))</f>
        <v>207.67</v>
      </c>
      <c r="J903" s="13" t="s">
        <v>1815</v>
      </c>
      <c r="K903" s="13" t="s">
        <v>542</v>
      </c>
      <c r="L903" s="13" t="s">
        <v>1813</v>
      </c>
      <c r="M903" s="13">
        <v>30</v>
      </c>
      <c r="N903" s="13"/>
      <c r="O903" s="13" t="s">
        <v>1818</v>
      </c>
      <c r="P903" s="14" t="str">
        <f>HYPERLINK("https://b2b.kobi.pl/pl/product/12215,czujnik-ruchu-bluetooth-zhaga?currency=PLN")</f>
        <v>https://b2b.kobi.pl/pl/product/12215,czujnik-ruchu-bluetooth-zhaga?currency=PLN</v>
      </c>
      <c r="Q903" s="13" t="s">
        <v>14</v>
      </c>
      <c r="R903" s="13"/>
      <c r="S903" t="s">
        <v>2621</v>
      </c>
      <c r="T903">
        <v>0.01</v>
      </c>
      <c r="U903">
        <v>3.5000000000000003E-2</v>
      </c>
      <c r="V903">
        <v>4.4999999999999998E-2</v>
      </c>
      <c r="W903">
        <v>6</v>
      </c>
      <c r="X903">
        <v>6</v>
      </c>
      <c r="Y903">
        <v>5</v>
      </c>
    </row>
    <row r="904" spans="1:25" ht="60" customHeight="1" x14ac:dyDescent="0.25">
      <c r="A904"/>
      <c r="B904" s="13" t="s">
        <v>621</v>
      </c>
      <c r="C904" s="13" t="s">
        <v>5</v>
      </c>
      <c r="D904" s="13" t="s">
        <v>618</v>
      </c>
      <c r="E904" s="13" t="s">
        <v>3976</v>
      </c>
      <c r="F904" s="13" t="s">
        <v>638</v>
      </c>
      <c r="G904" s="13" t="s">
        <v>620</v>
      </c>
      <c r="H904" s="10">
        <v>68</v>
      </c>
      <c r="I904" s="10">
        <f>H904*(1-IFERROR(VLOOKUP(G904,Rabat!$C$9:$D$43,2,0),0))</f>
        <v>68</v>
      </c>
      <c r="J904" s="13" t="s">
        <v>1815</v>
      </c>
      <c r="K904" s="13" t="s">
        <v>534</v>
      </c>
      <c r="L904" s="13" t="s">
        <v>1813</v>
      </c>
      <c r="M904" s="13">
        <v>100</v>
      </c>
      <c r="N904" s="13"/>
      <c r="O904" s="13" t="s">
        <v>1818</v>
      </c>
      <c r="P904" s="14" t="str">
        <f>HYPERLINK("https://b2b.kobi.pl/pl/product/10680,czujnik-zmierzchowy-lx501-kobi?currency=PLN")</f>
        <v>https://b2b.kobi.pl/pl/product/10680,czujnik-zmierzchowy-lx501-kobi?currency=PLN</v>
      </c>
      <c r="Q904" s="13" t="s">
        <v>14</v>
      </c>
      <c r="R904" s="13"/>
      <c r="S904" t="s">
        <v>2621</v>
      </c>
      <c r="T904">
        <v>0.01</v>
      </c>
      <c r="U904">
        <v>3.3000000000000002E-2</v>
      </c>
      <c r="V904">
        <v>5.8999999999999997E-2</v>
      </c>
      <c r="W904">
        <v>10.5</v>
      </c>
      <c r="X904">
        <v>6.5</v>
      </c>
      <c r="Y904">
        <v>4.5</v>
      </c>
    </row>
    <row r="905" spans="1:25" ht="60" customHeight="1" x14ac:dyDescent="0.25">
      <c r="A905"/>
      <c r="B905" s="13" t="s">
        <v>621</v>
      </c>
      <c r="C905" s="13" t="s">
        <v>3977</v>
      </c>
      <c r="D905" s="13" t="s">
        <v>618</v>
      </c>
      <c r="E905" s="13" t="s">
        <v>739</v>
      </c>
      <c r="F905" s="13" t="s">
        <v>740</v>
      </c>
      <c r="G905" s="13" t="s">
        <v>620</v>
      </c>
      <c r="H905" s="10">
        <v>1.33</v>
      </c>
      <c r="I905" s="10">
        <f>H905*(1-IFERROR(VLOOKUP(G905,Rabat!$C$9:$D$43,2,0),0))</f>
        <v>1.33</v>
      </c>
      <c r="J905" s="13" t="s">
        <v>1815</v>
      </c>
      <c r="K905" s="13" t="s">
        <v>408</v>
      </c>
      <c r="L905" s="13" t="s">
        <v>1813</v>
      </c>
      <c r="M905" s="13">
        <v>200</v>
      </c>
      <c r="N905" s="13"/>
      <c r="O905" s="13" t="s">
        <v>1818</v>
      </c>
      <c r="P905" s="14" t="str">
        <f>HYPERLINK("https://b2b.kobi.pl/pl/product/10704,kostka-halogenowa-k001-g5-3-kobi?currency=PLN")</f>
        <v>https://b2b.kobi.pl/pl/product/10704,kostka-halogenowa-k001-g5-3-kobi?currency=PLN</v>
      </c>
      <c r="Q905" s="13" t="s">
        <v>14</v>
      </c>
      <c r="R905" s="13"/>
      <c r="S905" t="s">
        <v>2623</v>
      </c>
      <c r="T905">
        <v>0</v>
      </c>
      <c r="U905">
        <v>0.01</v>
      </c>
      <c r="V905">
        <v>0.01</v>
      </c>
      <c r="W905">
        <v>2</v>
      </c>
      <c r="X905">
        <v>2</v>
      </c>
      <c r="Y905">
        <v>2</v>
      </c>
    </row>
    <row r="906" spans="1:25" ht="60" customHeight="1" x14ac:dyDescent="0.25">
      <c r="A906"/>
      <c r="B906" s="13" t="s">
        <v>621</v>
      </c>
      <c r="C906" s="13" t="s">
        <v>3977</v>
      </c>
      <c r="D906" s="13" t="s">
        <v>618</v>
      </c>
      <c r="E906" s="13" t="s">
        <v>741</v>
      </c>
      <c r="F906" s="13" t="s">
        <v>742</v>
      </c>
      <c r="G906" s="13" t="s">
        <v>620</v>
      </c>
      <c r="H906" s="10">
        <v>1.53</v>
      </c>
      <c r="I906" s="10">
        <f>H906*(1-IFERROR(VLOOKUP(G906,Rabat!$C$9:$D$43,2,0),0))</f>
        <v>1.53</v>
      </c>
      <c r="J906" s="13" t="s">
        <v>1815</v>
      </c>
      <c r="K906" s="13" t="s">
        <v>409</v>
      </c>
      <c r="L906" s="13" t="s">
        <v>1813</v>
      </c>
      <c r="M906" s="13">
        <v>50</v>
      </c>
      <c r="N906" s="13">
        <v>32000</v>
      </c>
      <c r="O906" s="13" t="s">
        <v>1818</v>
      </c>
      <c r="P906" s="14" t="str">
        <f>HYPERLINK("https://b2b.kobi.pl/pl/product/10705,kostka-halogenowa-k002-gu10-kobi?currency=PLN")</f>
        <v>https://b2b.kobi.pl/pl/product/10705,kostka-halogenowa-k002-gu10-kobi?currency=PLN</v>
      </c>
      <c r="Q906" s="13" t="s">
        <v>14</v>
      </c>
      <c r="R906" s="13"/>
      <c r="S906" t="s">
        <v>2624</v>
      </c>
      <c r="T906">
        <v>0</v>
      </c>
      <c r="U906">
        <v>1.6E-2</v>
      </c>
      <c r="V906">
        <v>0.02</v>
      </c>
      <c r="W906">
        <v>2</v>
      </c>
      <c r="X906">
        <v>2</v>
      </c>
      <c r="Y906">
        <v>2</v>
      </c>
    </row>
    <row r="907" spans="1:25" ht="60" customHeight="1" x14ac:dyDescent="0.25">
      <c r="A907"/>
      <c r="B907" s="13" t="s">
        <v>621</v>
      </c>
      <c r="C907" s="13" t="s">
        <v>3977</v>
      </c>
      <c r="D907" s="13" t="s">
        <v>618</v>
      </c>
      <c r="E907" s="13" t="s">
        <v>1292</v>
      </c>
      <c r="F907" s="13" t="s">
        <v>1293</v>
      </c>
      <c r="G907" s="13" t="s">
        <v>620</v>
      </c>
      <c r="H907" s="10">
        <v>1.22</v>
      </c>
      <c r="I907" s="10">
        <f>H907*(1-IFERROR(VLOOKUP(G907,Rabat!$C$9:$D$43,2,0),0))</f>
        <v>1.22</v>
      </c>
      <c r="J907" s="13" t="s">
        <v>1815</v>
      </c>
      <c r="K907" s="13" t="s">
        <v>410</v>
      </c>
      <c r="L907" s="13" t="s">
        <v>1813</v>
      </c>
      <c r="M907" s="13">
        <v>280</v>
      </c>
      <c r="N907" s="13">
        <v>13720</v>
      </c>
      <c r="O907" s="13" t="s">
        <v>1818</v>
      </c>
      <c r="P907" s="14" t="str">
        <f>HYPERLINK("https://b2b.kobi.pl/pl/product/10706,oprawka-porcelanowa-z-blaszka-k003-e27-kobi?currency=PLN")</f>
        <v>https://b2b.kobi.pl/pl/product/10706,oprawka-porcelanowa-z-blaszka-k003-e27-kobi?currency=PLN</v>
      </c>
      <c r="Q907" s="13" t="s">
        <v>14</v>
      </c>
      <c r="R907" s="13"/>
      <c r="S907" t="s">
        <v>2623</v>
      </c>
      <c r="T907">
        <v>0</v>
      </c>
      <c r="U907">
        <v>0.06</v>
      </c>
      <c r="V907">
        <v>0.06</v>
      </c>
      <c r="W907">
        <v>4.8</v>
      </c>
      <c r="X907">
        <v>3.7</v>
      </c>
      <c r="Y907">
        <v>5</v>
      </c>
    </row>
    <row r="908" spans="1:25" ht="60" customHeight="1" x14ac:dyDescent="0.25">
      <c r="A908"/>
      <c r="B908" s="13" t="s">
        <v>621</v>
      </c>
      <c r="C908" s="13" t="s">
        <v>3977</v>
      </c>
      <c r="D908" s="13" t="s">
        <v>618</v>
      </c>
      <c r="E908" s="13" t="s">
        <v>3978</v>
      </c>
      <c r="F908" s="13" t="s">
        <v>3979</v>
      </c>
      <c r="G908" s="13" t="s">
        <v>620</v>
      </c>
      <c r="H908" s="10">
        <v>7.55</v>
      </c>
      <c r="I908" s="10">
        <f>H908*(1-IFERROR(VLOOKUP(G908,Rabat!$C$9:$D$43,2,0),0))</f>
        <v>7.55</v>
      </c>
      <c r="J908" s="13" t="s">
        <v>1815</v>
      </c>
      <c r="K908" s="13" t="s">
        <v>4208</v>
      </c>
      <c r="L908" s="13" t="s">
        <v>1813</v>
      </c>
      <c r="M908" s="13">
        <v>500</v>
      </c>
      <c r="N908" s="13">
        <v>10000</v>
      </c>
      <c r="O908" s="13" t="s">
        <v>1818</v>
      </c>
      <c r="P908" s="14" t="str">
        <f>HYPERLINK("https://b2b.kobi.pl/pl/product/13451,konektor-hermetyczny-hermelink-3x0-5-1-5mm-5-9mm-ip68-kobi?currency=PLN")</f>
        <v>https://b2b.kobi.pl/pl/product/13451,konektor-hermetyczny-hermelink-3x0-5-1-5mm-5-9mm-ip68-kobi?currency=PLN</v>
      </c>
      <c r="Q908" s="13" t="s">
        <v>14</v>
      </c>
      <c r="R908" s="13" t="s">
        <v>4101</v>
      </c>
      <c r="S908" t="s">
        <v>2570</v>
      </c>
      <c r="T908">
        <v>0</v>
      </c>
      <c r="U908">
        <v>1.7000000000000001E-2</v>
      </c>
      <c r="V908">
        <v>2.3E-2</v>
      </c>
      <c r="W908">
        <v>9</v>
      </c>
      <c r="X908">
        <v>16</v>
      </c>
      <c r="Y908">
        <v>2.4</v>
      </c>
    </row>
    <row r="909" spans="1:25" ht="60" customHeight="1" x14ac:dyDescent="0.25">
      <c r="A909"/>
      <c r="B909" t="s">
        <v>621</v>
      </c>
      <c r="C909" t="s">
        <v>3977</v>
      </c>
      <c r="D909" t="s">
        <v>618</v>
      </c>
      <c r="E909" t="s">
        <v>3980</v>
      </c>
      <c r="F909" t="s">
        <v>3981</v>
      </c>
      <c r="G909" t="s">
        <v>620</v>
      </c>
      <c r="H909" s="11">
        <v>22.25</v>
      </c>
      <c r="I909" s="10">
        <f>H909*(1-IFERROR(VLOOKUP(G909,Rabat!$C$9:$D$43,2,0),0))</f>
        <v>22.25</v>
      </c>
      <c r="J909" t="s">
        <v>1815</v>
      </c>
      <c r="K909" t="s">
        <v>4209</v>
      </c>
      <c r="L909" t="s">
        <v>1813</v>
      </c>
      <c r="M909">
        <v>200</v>
      </c>
      <c r="N909">
        <v>4000</v>
      </c>
      <c r="O909" t="s">
        <v>1818</v>
      </c>
      <c r="P909" s="12" t="str">
        <f>HYPERLINK("https://b2b.kobi.pl/pl/product/13452,konektor-hermetyczny-hermelink-5x0-5-2-5mm-10-14mm-ip68-kobi?currency=PLN")</f>
        <v>https://b2b.kobi.pl/pl/product/13452,konektor-hermetyczny-hermelink-5x0-5-2-5mm-10-14mm-ip68-kobi?currency=PLN</v>
      </c>
      <c r="Q909" t="s">
        <v>14</v>
      </c>
      <c r="R909" t="s">
        <v>4101</v>
      </c>
      <c r="S909" t="s">
        <v>2570</v>
      </c>
      <c r="T909">
        <v>0</v>
      </c>
      <c r="U909">
        <v>0.05</v>
      </c>
      <c r="V909">
        <v>5.7000000000000002E-2</v>
      </c>
      <c r="W909">
        <v>10</v>
      </c>
      <c r="X909">
        <v>18</v>
      </c>
      <c r="Y909">
        <v>3</v>
      </c>
    </row>
    <row r="910" spans="1:25" ht="60" customHeight="1" x14ac:dyDescent="0.25">
      <c r="A910"/>
      <c r="B910" t="s">
        <v>621</v>
      </c>
      <c r="C910" t="s">
        <v>3977</v>
      </c>
      <c r="D910" t="s">
        <v>618</v>
      </c>
      <c r="E910" t="s">
        <v>3982</v>
      </c>
      <c r="F910" t="s">
        <v>3983</v>
      </c>
      <c r="G910" t="s">
        <v>620</v>
      </c>
      <c r="H910" s="11">
        <v>9.25</v>
      </c>
      <c r="I910" s="10">
        <f>H910*(1-IFERROR(VLOOKUP(G910,Rabat!$C$9:$D$43,2,0),0))</f>
        <v>9.25</v>
      </c>
      <c r="J910" t="s">
        <v>1815</v>
      </c>
      <c r="K910" t="s">
        <v>4210</v>
      </c>
      <c r="L910" t="s">
        <v>1813</v>
      </c>
      <c r="M910">
        <v>250</v>
      </c>
      <c r="N910">
        <v>6000</v>
      </c>
      <c r="O910" t="s">
        <v>1818</v>
      </c>
      <c r="P910" s="12" t="str">
        <f>HYPERLINK("https://b2b.kobi.pl/pl/product/13453,konektor-hermetyczny-hermelink-3x0-5-2-5mm-6-11mm-ip68-kobi?currency=PLN")</f>
        <v>https://b2b.kobi.pl/pl/product/13453,konektor-hermetyczny-hermelink-3x0-5-2-5mm-6-11mm-ip68-kobi?currency=PLN</v>
      </c>
      <c r="Q910" t="s">
        <v>14</v>
      </c>
      <c r="R910" t="s">
        <v>4101</v>
      </c>
      <c r="S910" t="s">
        <v>2570</v>
      </c>
      <c r="T910">
        <v>0</v>
      </c>
      <c r="U910">
        <v>0.03</v>
      </c>
      <c r="V910">
        <v>3.5999999999999997E-2</v>
      </c>
      <c r="W910">
        <v>9</v>
      </c>
      <c r="X910">
        <v>16</v>
      </c>
      <c r="Y910">
        <v>2.5</v>
      </c>
    </row>
    <row r="911" spans="1:25" ht="60" customHeight="1" x14ac:dyDescent="0.25">
      <c r="A911"/>
      <c r="B911" t="s">
        <v>621</v>
      </c>
      <c r="C911" t="s">
        <v>3977</v>
      </c>
      <c r="D911" t="s">
        <v>618</v>
      </c>
      <c r="E911" t="s">
        <v>3984</v>
      </c>
      <c r="F911" t="s">
        <v>3985</v>
      </c>
      <c r="G911" t="s">
        <v>620</v>
      </c>
      <c r="H911" s="11">
        <v>15.17</v>
      </c>
      <c r="I911" s="10">
        <f>H911*(1-IFERROR(VLOOKUP(G911,Rabat!$C$9:$D$43,2,0),0))</f>
        <v>15.17</v>
      </c>
      <c r="J911" t="s">
        <v>1815</v>
      </c>
      <c r="K911" t="s">
        <v>4211</v>
      </c>
      <c r="L911" t="s">
        <v>1813</v>
      </c>
      <c r="M911">
        <v>100</v>
      </c>
      <c r="N911">
        <v>2400</v>
      </c>
      <c r="O911" t="s">
        <v>1818</v>
      </c>
      <c r="P911" s="12" t="str">
        <f>HYPERLINK("https://b2b.kobi.pl/pl/product/13454,konektor-hermetyczny-hermelinkx2-3x0-5-2-5mm-4-8mm-ip68-kobi?currency=PLN")</f>
        <v>https://b2b.kobi.pl/pl/product/13454,konektor-hermetyczny-hermelinkx2-3x0-5-2-5mm-4-8mm-ip68-kobi?currency=PLN</v>
      </c>
      <c r="Q911" t="s">
        <v>14</v>
      </c>
      <c r="R911" t="s">
        <v>4101</v>
      </c>
      <c r="S911" t="s">
        <v>2570</v>
      </c>
      <c r="T911">
        <v>0</v>
      </c>
      <c r="U911">
        <v>8.4000000000000005E-2</v>
      </c>
      <c r="V911">
        <v>0.09</v>
      </c>
      <c r="W911">
        <v>15</v>
      </c>
      <c r="X911">
        <v>21</v>
      </c>
      <c r="Y911">
        <v>4</v>
      </c>
    </row>
    <row r="912" spans="1:25" ht="60" customHeight="1" x14ac:dyDescent="0.25">
      <c r="A912"/>
      <c r="B912" t="s">
        <v>621</v>
      </c>
      <c r="C912" t="s">
        <v>3977</v>
      </c>
      <c r="D912" t="s">
        <v>618</v>
      </c>
      <c r="E912" t="s">
        <v>3986</v>
      </c>
      <c r="F912" t="s">
        <v>3987</v>
      </c>
      <c r="G912" t="s">
        <v>620</v>
      </c>
      <c r="H912" s="11">
        <v>18.23</v>
      </c>
      <c r="I912" s="10">
        <f>H912*(1-IFERROR(VLOOKUP(G912,Rabat!$C$9:$D$43,2,0),0))</f>
        <v>18.23</v>
      </c>
      <c r="J912" t="s">
        <v>1815</v>
      </c>
      <c r="K912" t="s">
        <v>4212</v>
      </c>
      <c r="L912" t="s">
        <v>1813</v>
      </c>
      <c r="M912">
        <v>100</v>
      </c>
      <c r="N912">
        <v>2400</v>
      </c>
      <c r="O912" t="s">
        <v>1818</v>
      </c>
      <c r="P912" s="12" t="str">
        <f>HYPERLINK("https://b2b.kobi.pl/pl/product/13455,konektor-hermetyczny-hermelinkx3-3x0-5-2-5mm-4-8mm-ip68-kobi?currency=PLN")</f>
        <v>https://b2b.kobi.pl/pl/product/13455,konektor-hermetyczny-hermelinkx3-3x0-5-2-5mm-4-8mm-ip68-kobi?currency=PLN</v>
      </c>
      <c r="Q912" t="s">
        <v>14</v>
      </c>
      <c r="R912" t="s">
        <v>4101</v>
      </c>
      <c r="S912" t="s">
        <v>2570</v>
      </c>
      <c r="T912">
        <v>0</v>
      </c>
      <c r="U912">
        <v>9.0999999999999998E-2</v>
      </c>
      <c r="V912">
        <v>0.1</v>
      </c>
      <c r="W912">
        <v>15</v>
      </c>
      <c r="X912">
        <v>21</v>
      </c>
      <c r="Y912">
        <v>4</v>
      </c>
    </row>
    <row r="913" spans="1:25" ht="60" customHeight="1" x14ac:dyDescent="0.25">
      <c r="A913"/>
      <c r="B913" t="s">
        <v>621</v>
      </c>
      <c r="C913" t="s">
        <v>3977</v>
      </c>
      <c r="D913" t="s">
        <v>618</v>
      </c>
      <c r="E913" t="s">
        <v>3988</v>
      </c>
      <c r="F913" t="s">
        <v>3989</v>
      </c>
      <c r="G913" t="s">
        <v>620</v>
      </c>
      <c r="H913" s="11">
        <v>18.77</v>
      </c>
      <c r="I913" s="10">
        <f>H913*(1-IFERROR(VLOOKUP(G913,Rabat!$C$9:$D$43,2,0),0))</f>
        <v>18.77</v>
      </c>
      <c r="J913" t="s">
        <v>1815</v>
      </c>
      <c r="K913" t="s">
        <v>4213</v>
      </c>
      <c r="L913" t="s">
        <v>1813</v>
      </c>
      <c r="M913">
        <v>100</v>
      </c>
      <c r="N913">
        <v>2000</v>
      </c>
      <c r="O913" t="s">
        <v>1818</v>
      </c>
      <c r="P913" s="12" t="str">
        <f>HYPERLINK("https://b2b.kobi.pl/pl/product/13456,konektor-hermetyczny-hermelinkx3-3x0-5-4mm-4-8mm-ip68-kobi?currency=PLN")</f>
        <v>https://b2b.kobi.pl/pl/product/13456,konektor-hermetyczny-hermelinkx3-3x0-5-4mm-4-8mm-ip68-kobi?currency=PLN</v>
      </c>
      <c r="Q913" t="s">
        <v>14</v>
      </c>
      <c r="R913" t="s">
        <v>4101</v>
      </c>
      <c r="S913" t="s">
        <v>2570</v>
      </c>
      <c r="T913">
        <v>0</v>
      </c>
      <c r="U913">
        <v>0.11799999999999999</v>
      </c>
      <c r="V913">
        <v>0.125</v>
      </c>
      <c r="W913">
        <v>16</v>
      </c>
      <c r="X913">
        <v>24</v>
      </c>
      <c r="Y913">
        <v>3.7</v>
      </c>
    </row>
    <row r="914" spans="1:25" ht="60" customHeight="1" x14ac:dyDescent="0.25">
      <c r="A914"/>
      <c r="B914" t="s">
        <v>621</v>
      </c>
      <c r="C914" t="s">
        <v>3977</v>
      </c>
      <c r="D914" t="s">
        <v>618</v>
      </c>
      <c r="E914" t="s">
        <v>3990</v>
      </c>
      <c r="F914" t="s">
        <v>3991</v>
      </c>
      <c r="G914" t="s">
        <v>620</v>
      </c>
      <c r="H914" s="11">
        <v>19.09</v>
      </c>
      <c r="I914" s="10">
        <f>H914*(1-IFERROR(VLOOKUP(G914,Rabat!$C$9:$D$43,2,0),0))</f>
        <v>19.09</v>
      </c>
      <c r="J914" t="s">
        <v>1815</v>
      </c>
      <c r="K914" t="s">
        <v>4214</v>
      </c>
      <c r="L914" t="s">
        <v>1813</v>
      </c>
      <c r="M914">
        <v>100</v>
      </c>
      <c r="N914">
        <v>2000</v>
      </c>
      <c r="O914" t="s">
        <v>1818</v>
      </c>
      <c r="P914" s="12" t="str">
        <f>HYPERLINK("https://b2b.kobi.pl/pl/product/13457,konektor-hermetyczny-hermelinkx3-3x0-5-4mm-8-12mm-ip68-kobi?currency=PLN")</f>
        <v>https://b2b.kobi.pl/pl/product/13457,konektor-hermetyczny-hermelinkx3-3x0-5-4mm-8-12mm-ip68-kobi?currency=PLN</v>
      </c>
      <c r="Q914" t="s">
        <v>14</v>
      </c>
      <c r="R914" t="s">
        <v>4101</v>
      </c>
      <c r="S914" t="s">
        <v>2570</v>
      </c>
      <c r="T914">
        <v>0</v>
      </c>
      <c r="U914">
        <v>0.13400000000000001</v>
      </c>
      <c r="V914">
        <v>0.14000000000000001</v>
      </c>
      <c r="W914">
        <v>16</v>
      </c>
      <c r="X914">
        <v>24</v>
      </c>
      <c r="Y914">
        <v>3.6</v>
      </c>
    </row>
    <row r="915" spans="1:25" ht="60" customHeight="1" x14ac:dyDescent="0.25">
      <c r="A915"/>
      <c r="B915" t="s">
        <v>4</v>
      </c>
      <c r="C915" t="s">
        <v>743</v>
      </c>
      <c r="D915" t="s">
        <v>644</v>
      </c>
      <c r="E915" t="s">
        <v>744</v>
      </c>
      <c r="F915" t="s">
        <v>745</v>
      </c>
      <c r="G915" t="s">
        <v>746</v>
      </c>
      <c r="H915" s="11">
        <v>265.77999999999997</v>
      </c>
      <c r="I915" s="10">
        <f>H915*(1-IFERROR(VLOOKUP(G915,Rabat!$C$9:$D$43,2,0),0))</f>
        <v>265.77999999999997</v>
      </c>
      <c r="J915" t="s">
        <v>1815</v>
      </c>
      <c r="K915" t="s">
        <v>445</v>
      </c>
      <c r="L915" t="s">
        <v>1813</v>
      </c>
      <c r="M915">
        <v>10</v>
      </c>
      <c r="N915"/>
      <c r="O915" t="s">
        <v>1818</v>
      </c>
      <c r="P915" s="12" t="str">
        <f>HYPERLINK("https://b2b.kobi.pl/pl/product/9793,lampa-do-roslin-led-bloom-20w-3500k-kobi-design?currency=PLN")</f>
        <v>https://b2b.kobi.pl/pl/product/9793,lampa-do-roslin-led-bloom-20w-3500k-kobi-design?currency=PLN</v>
      </c>
      <c r="Q915" t="s">
        <v>14</v>
      </c>
      <c r="R915"/>
      <c r="S915" t="s">
        <v>2613</v>
      </c>
      <c r="T915">
        <v>1.1299999999999999</v>
      </c>
      <c r="U915">
        <v>1.34</v>
      </c>
      <c r="V915">
        <v>1.67</v>
      </c>
      <c r="W915">
        <v>49</v>
      </c>
      <c r="X915">
        <v>19.5</v>
      </c>
      <c r="Y915">
        <v>5.5</v>
      </c>
    </row>
    <row r="916" spans="1:25" ht="60" customHeight="1" x14ac:dyDescent="0.25">
      <c r="A916"/>
      <c r="B916" t="s">
        <v>4</v>
      </c>
      <c r="C916" t="s">
        <v>743</v>
      </c>
      <c r="D916" t="s">
        <v>644</v>
      </c>
      <c r="E916" t="s">
        <v>2645</v>
      </c>
      <c r="F916" t="s">
        <v>2646</v>
      </c>
      <c r="G916" t="s">
        <v>746</v>
      </c>
      <c r="H916" s="11">
        <v>153.4</v>
      </c>
      <c r="I916" s="10">
        <f>H916*(1-IFERROR(VLOOKUP(G916,Rabat!$C$9:$D$43,2,0),0))</f>
        <v>153.4</v>
      </c>
      <c r="J916" t="s">
        <v>1815</v>
      </c>
      <c r="K916" t="s">
        <v>2669</v>
      </c>
      <c r="L916" t="s">
        <v>1813</v>
      </c>
      <c r="M916">
        <v>24</v>
      </c>
      <c r="N916">
        <v>432</v>
      </c>
      <c r="O916" t="s">
        <v>1818</v>
      </c>
      <c r="P916" s="12" t="str">
        <f>HYPERLINK("https://b2b.kobi.pl/pl/product/12763,lampa-do-roslin-led-bloom-12w-4500k-kobi-design?currency=PLN")</f>
        <v>https://b2b.kobi.pl/pl/product/12763,lampa-do-roslin-led-bloom-12w-4500k-kobi-design?currency=PLN</v>
      </c>
      <c r="Q916" t="s">
        <v>14</v>
      </c>
      <c r="R916"/>
      <c r="S916" t="s">
        <v>2613</v>
      </c>
      <c r="T916">
        <v>0.42</v>
      </c>
      <c r="U916">
        <v>0.49199999999999999</v>
      </c>
      <c r="V916">
        <v>0.61099999999999999</v>
      </c>
      <c r="W916">
        <v>45</v>
      </c>
      <c r="X916">
        <v>13.5</v>
      </c>
      <c r="Y916">
        <v>4</v>
      </c>
    </row>
    <row r="917" spans="1:25" ht="60" customHeight="1" x14ac:dyDescent="0.25">
      <c r="A917"/>
      <c r="B917" t="s">
        <v>4</v>
      </c>
      <c r="C917" t="s">
        <v>743</v>
      </c>
      <c r="D917" t="s">
        <v>644</v>
      </c>
      <c r="E917" t="s">
        <v>747</v>
      </c>
      <c r="F917" t="s">
        <v>748</v>
      </c>
      <c r="G917" t="s">
        <v>746</v>
      </c>
      <c r="H917" s="11">
        <v>56.62</v>
      </c>
      <c r="I917" s="10">
        <f>H917*(1-IFERROR(VLOOKUP(G917,Rabat!$C$9:$D$43,2,0),0))</f>
        <v>56.62</v>
      </c>
      <c r="J917" t="s">
        <v>1815</v>
      </c>
      <c r="K917" t="s">
        <v>446</v>
      </c>
      <c r="L917" t="s">
        <v>1813</v>
      </c>
      <c r="M917">
        <v>20</v>
      </c>
      <c r="N917"/>
      <c r="O917" t="s">
        <v>1818</v>
      </c>
      <c r="P917" s="12" t="str">
        <f>HYPERLINK("https://b2b.kobi.pl/pl/product/9794,lampa-do-roslin-led-verdi-5w-3200k-kobi-design?currency=PLN")</f>
        <v>https://b2b.kobi.pl/pl/product/9794,lampa-do-roslin-led-verdi-5w-3200k-kobi-design?currency=PLN</v>
      </c>
      <c r="Q917" t="s">
        <v>14</v>
      </c>
      <c r="R917" t="s">
        <v>1945</v>
      </c>
      <c r="S917" t="s">
        <v>2613</v>
      </c>
      <c r="T917">
        <v>0.12</v>
      </c>
      <c r="U917">
        <v>0.14000000000000001</v>
      </c>
      <c r="V917">
        <v>0.2</v>
      </c>
      <c r="W917">
        <v>17</v>
      </c>
      <c r="X917">
        <v>12</v>
      </c>
      <c r="Y917">
        <v>5.5</v>
      </c>
    </row>
    <row r="918" spans="1:25" ht="60" customHeight="1" x14ac:dyDescent="0.25">
      <c r="A918"/>
      <c r="B918" t="s">
        <v>4</v>
      </c>
      <c r="C918" t="s">
        <v>743</v>
      </c>
      <c r="D918" t="s">
        <v>644</v>
      </c>
      <c r="E918" t="s">
        <v>749</v>
      </c>
      <c r="F918" t="s">
        <v>750</v>
      </c>
      <c r="G918" t="s">
        <v>746</v>
      </c>
      <c r="H918" s="11">
        <v>86.24</v>
      </c>
      <c r="I918" s="10">
        <f>H918*(1-IFERROR(VLOOKUP(G918,Rabat!$C$9:$D$43,2,0),0))</f>
        <v>86.24</v>
      </c>
      <c r="J918" t="s">
        <v>1815</v>
      </c>
      <c r="K918" t="s">
        <v>447</v>
      </c>
      <c r="L918" t="s">
        <v>1813</v>
      </c>
      <c r="M918">
        <v>20</v>
      </c>
      <c r="N918"/>
      <c r="O918" t="s">
        <v>1818</v>
      </c>
      <c r="P918" s="12" t="str">
        <f>HYPERLINK("https://b2b.kobi.pl/pl/product/9795,lampa-do-roslin-led-verdi-10w-3200k-kobi-design?currency=PLN")</f>
        <v>https://b2b.kobi.pl/pl/product/9795,lampa-do-roslin-led-verdi-10w-3200k-kobi-design?currency=PLN</v>
      </c>
      <c r="Q918" t="s">
        <v>14</v>
      </c>
      <c r="R918"/>
      <c r="S918" t="s">
        <v>2613</v>
      </c>
      <c r="T918">
        <v>0.14000000000000001</v>
      </c>
      <c r="U918">
        <v>0.17</v>
      </c>
      <c r="V918">
        <v>0.26</v>
      </c>
      <c r="W918">
        <v>25</v>
      </c>
      <c r="X918">
        <v>12</v>
      </c>
      <c r="Y918">
        <v>5</v>
      </c>
    </row>
    <row r="919" spans="1:25" ht="60" customHeight="1" x14ac:dyDescent="0.25">
      <c r="A919"/>
      <c r="B919" t="s">
        <v>4</v>
      </c>
      <c r="C919" t="s">
        <v>743</v>
      </c>
      <c r="D919" t="s">
        <v>644</v>
      </c>
      <c r="E919" t="s">
        <v>2215</v>
      </c>
      <c r="F919" t="s">
        <v>2216</v>
      </c>
      <c r="G919" t="s">
        <v>746</v>
      </c>
      <c r="H919" s="11">
        <v>19.48</v>
      </c>
      <c r="I919" s="10">
        <f>H919*(1-IFERROR(VLOOKUP(G919,Rabat!$C$9:$D$43,2,0),0))</f>
        <v>19.48</v>
      </c>
      <c r="J919" t="s">
        <v>1815</v>
      </c>
      <c r="K919" t="s">
        <v>2252</v>
      </c>
      <c r="L919" t="s">
        <v>1813</v>
      </c>
      <c r="M919">
        <v>100</v>
      </c>
      <c r="N919">
        <v>2100</v>
      </c>
      <c r="O919" t="s">
        <v>1818</v>
      </c>
      <c r="P919" s="12" t="str">
        <f>HYPERLINK("https://b2b.kobi.pl/pl/product/12455,zarowka-do-roslin-led-planty-w-7w-e27-1200k-biala-kobi-design?currency=PLN")</f>
        <v>https://b2b.kobi.pl/pl/product/12455,zarowka-do-roslin-led-planty-w-7w-e27-1200k-biala-kobi-design?currency=PLN</v>
      </c>
      <c r="Q919" t="s">
        <v>14</v>
      </c>
      <c r="R919"/>
      <c r="S919" t="s">
        <v>2569</v>
      </c>
      <c r="T919">
        <v>0.04</v>
      </c>
      <c r="U919">
        <v>0.05</v>
      </c>
      <c r="V919">
        <v>7.4999999999999997E-2</v>
      </c>
      <c r="W919">
        <v>6.5</v>
      </c>
      <c r="X919">
        <v>6.5</v>
      </c>
      <c r="Y919">
        <v>8.5</v>
      </c>
    </row>
    <row r="920" spans="1:25" ht="60" customHeight="1" x14ac:dyDescent="0.25">
      <c r="A920"/>
      <c r="B920" t="s">
        <v>4</v>
      </c>
      <c r="C920" t="s">
        <v>743</v>
      </c>
      <c r="D920" t="s">
        <v>644</v>
      </c>
      <c r="E920" t="s">
        <v>2647</v>
      </c>
      <c r="F920" t="s">
        <v>2648</v>
      </c>
      <c r="G920" t="s">
        <v>746</v>
      </c>
      <c r="H920" s="11">
        <v>48.1</v>
      </c>
      <c r="I920" s="10">
        <f>H920*(1-IFERROR(VLOOKUP(G920,Rabat!$C$9:$D$43,2,0),0))</f>
        <v>48.1</v>
      </c>
      <c r="J920" t="s">
        <v>1815</v>
      </c>
      <c r="K920" t="s">
        <v>2670</v>
      </c>
      <c r="L920" t="s">
        <v>1813</v>
      </c>
      <c r="M920">
        <v>50</v>
      </c>
      <c r="N920">
        <v>1200</v>
      </c>
      <c r="O920" t="s">
        <v>1818</v>
      </c>
      <c r="P920" s="12" t="str">
        <f>HYPERLINK("https://b2b.kobi.pl/pl/product/12764,lampa-do-roslin-led-verdi-v2-5w-1300k-biala-kobi-design?currency=PLN")</f>
        <v>https://b2b.kobi.pl/pl/product/12764,lampa-do-roslin-led-verdi-v2-5w-1300k-biala-kobi-design?currency=PLN</v>
      </c>
      <c r="Q920" t="s">
        <v>14</v>
      </c>
      <c r="R920"/>
      <c r="S920" t="s">
        <v>2613</v>
      </c>
      <c r="T920">
        <v>0.12</v>
      </c>
      <c r="U920">
        <v>0.14000000000000001</v>
      </c>
      <c r="V920">
        <v>0.17</v>
      </c>
      <c r="W920">
        <v>14</v>
      </c>
      <c r="X920">
        <v>12.5</v>
      </c>
      <c r="Y920">
        <v>4</v>
      </c>
    </row>
    <row r="921" spans="1:25" ht="60" customHeight="1" x14ac:dyDescent="0.25">
      <c r="A921"/>
      <c r="B921" t="s">
        <v>4</v>
      </c>
      <c r="C921" t="s">
        <v>743</v>
      </c>
      <c r="D921" t="s">
        <v>644</v>
      </c>
      <c r="E921" t="s">
        <v>2217</v>
      </c>
      <c r="F921" t="s">
        <v>2218</v>
      </c>
      <c r="G921" t="s">
        <v>746</v>
      </c>
      <c r="H921" s="11">
        <v>20.52</v>
      </c>
      <c r="I921" s="10">
        <f>H921*(1-IFERROR(VLOOKUP(G921,Rabat!$C$9:$D$43,2,0),0))</f>
        <v>20.52</v>
      </c>
      <c r="J921" t="s">
        <v>1815</v>
      </c>
      <c r="K921" t="s">
        <v>2253</v>
      </c>
      <c r="L921" t="s">
        <v>1813</v>
      </c>
      <c r="M921">
        <v>100</v>
      </c>
      <c r="N921">
        <v>2100</v>
      </c>
      <c r="O921" t="s">
        <v>1818</v>
      </c>
      <c r="P921" s="12" t="str">
        <f>HYPERLINK("https://b2b.kobi.pl/pl/product/12456,zarowka-do-roslin-led-planty-b-7w-e27-1200k-czarna-kobi-design?currency=PLN")</f>
        <v>https://b2b.kobi.pl/pl/product/12456,zarowka-do-roslin-led-planty-b-7w-e27-1200k-czarna-kobi-design?currency=PLN</v>
      </c>
      <c r="Q921" t="s">
        <v>14</v>
      </c>
      <c r="R921"/>
      <c r="S921" t="s">
        <v>2569</v>
      </c>
      <c r="T921">
        <v>0.04</v>
      </c>
      <c r="U921">
        <v>0.05</v>
      </c>
      <c r="V921">
        <v>7.4999999999999997E-2</v>
      </c>
      <c r="W921">
        <v>6.5</v>
      </c>
      <c r="X921">
        <v>6.5</v>
      </c>
      <c r="Y921">
        <v>8.5</v>
      </c>
    </row>
    <row r="922" spans="1:25" ht="60" customHeight="1" x14ac:dyDescent="0.25">
      <c r="A922"/>
      <c r="B922" t="s">
        <v>4</v>
      </c>
      <c r="C922" t="s">
        <v>743</v>
      </c>
      <c r="D922" t="s">
        <v>644</v>
      </c>
      <c r="E922" t="s">
        <v>2649</v>
      </c>
      <c r="F922" t="s">
        <v>2650</v>
      </c>
      <c r="G922" t="s">
        <v>746</v>
      </c>
      <c r="H922" s="11">
        <v>48.1</v>
      </c>
      <c r="I922" s="10">
        <f>H922*(1-IFERROR(VLOOKUP(G922,Rabat!$C$9:$D$43,2,0),0))</f>
        <v>48.1</v>
      </c>
      <c r="J922" t="s">
        <v>1815</v>
      </c>
      <c r="K922" t="s">
        <v>2671</v>
      </c>
      <c r="L922" t="s">
        <v>1813</v>
      </c>
      <c r="M922">
        <v>50</v>
      </c>
      <c r="N922"/>
      <c r="O922" t="s">
        <v>1818</v>
      </c>
      <c r="P922" s="12" t="str">
        <f>HYPERLINK("https://b2b.kobi.pl/pl/product/12765,lampa-do-roslin-led-verdi-v2-5w-1300k-czarna-kobi-design?currency=PLN")</f>
        <v>https://b2b.kobi.pl/pl/product/12765,lampa-do-roslin-led-verdi-v2-5w-1300k-czarna-kobi-design?currency=PLN</v>
      </c>
      <c r="Q922" t="s">
        <v>14</v>
      </c>
      <c r="R922"/>
      <c r="S922" t="s">
        <v>2613</v>
      </c>
      <c r="T922">
        <v>0.12</v>
      </c>
      <c r="U922">
        <v>0.14000000000000001</v>
      </c>
      <c r="V922">
        <v>0.17</v>
      </c>
      <c r="W922">
        <v>14</v>
      </c>
      <c r="X922">
        <v>12.5</v>
      </c>
      <c r="Y922">
        <v>4</v>
      </c>
    </row>
    <row r="923" spans="1:25" ht="60" customHeight="1" x14ac:dyDescent="0.25">
      <c r="A923"/>
      <c r="B923" t="s">
        <v>4</v>
      </c>
      <c r="C923" t="s">
        <v>743</v>
      </c>
      <c r="D923" t="s">
        <v>644</v>
      </c>
      <c r="E923" t="s">
        <v>1484</v>
      </c>
      <c r="F923" t="s">
        <v>1485</v>
      </c>
      <c r="G923" t="s">
        <v>746</v>
      </c>
      <c r="H923" s="11">
        <v>30.94</v>
      </c>
      <c r="I923" s="10">
        <f>H923*(1-IFERROR(VLOOKUP(G923,Rabat!$C$9:$D$43,2,0),0))</f>
        <v>30.94</v>
      </c>
      <c r="J923" t="s">
        <v>1815</v>
      </c>
      <c r="K923" t="s">
        <v>503</v>
      </c>
      <c r="L923" t="s">
        <v>1813</v>
      </c>
      <c r="M923">
        <v>50</v>
      </c>
      <c r="N923">
        <v>1000</v>
      </c>
      <c r="O923" t="s">
        <v>1818</v>
      </c>
      <c r="P923" s="12" t="str">
        <f>HYPERLINK("https://b2b.kobi.pl/pl/product/9841,zarowka-do-roslin-led-planty-w-9w-e27-1200k-biala-kobi-design?currency=PLN")</f>
        <v>https://b2b.kobi.pl/pl/product/9841,zarowka-do-roslin-led-planty-w-9w-e27-1200k-biala-kobi-design?currency=PLN</v>
      </c>
      <c r="Q923" t="s">
        <v>14</v>
      </c>
      <c r="R923"/>
      <c r="S923" t="s">
        <v>2569</v>
      </c>
      <c r="T923">
        <v>0.08</v>
      </c>
      <c r="U923">
        <v>0.09</v>
      </c>
      <c r="V923">
        <v>0.1009</v>
      </c>
      <c r="W923">
        <v>10</v>
      </c>
      <c r="X923">
        <v>10</v>
      </c>
      <c r="Y923">
        <v>10.5</v>
      </c>
    </row>
    <row r="924" spans="1:25" ht="60" customHeight="1" x14ac:dyDescent="0.25">
      <c r="A924"/>
      <c r="B924" t="s">
        <v>4</v>
      </c>
      <c r="C924" t="s">
        <v>743</v>
      </c>
      <c r="D924" t="s">
        <v>644</v>
      </c>
      <c r="E924" t="s">
        <v>1480</v>
      </c>
      <c r="F924" t="s">
        <v>1481</v>
      </c>
      <c r="G924" t="s">
        <v>746</v>
      </c>
      <c r="H924" s="11">
        <v>32.5</v>
      </c>
      <c r="I924" s="10">
        <f>H924*(1-IFERROR(VLOOKUP(G924,Rabat!$C$9:$D$43,2,0),0))</f>
        <v>32.5</v>
      </c>
      <c r="J924" t="s">
        <v>1815</v>
      </c>
      <c r="K924" t="s">
        <v>501</v>
      </c>
      <c r="L924" t="s">
        <v>1813</v>
      </c>
      <c r="M924">
        <v>50</v>
      </c>
      <c r="N924">
        <v>1000</v>
      </c>
      <c r="O924" t="s">
        <v>1818</v>
      </c>
      <c r="P924" s="12" t="str">
        <f>HYPERLINK("https://b2b.kobi.pl/pl/product/9842,zarowka-do-roslin-led-planty-b-9w-e27-1200k-czarna-kobi-design?currency=PLN")</f>
        <v>https://b2b.kobi.pl/pl/product/9842,zarowka-do-roslin-led-planty-b-9w-e27-1200k-czarna-kobi-design?currency=PLN</v>
      </c>
      <c r="Q924" t="s">
        <v>14</v>
      </c>
      <c r="R924"/>
      <c r="S924" t="s">
        <v>2569</v>
      </c>
      <c r="T924">
        <v>0.08</v>
      </c>
      <c r="U924">
        <v>0.09</v>
      </c>
      <c r="V924">
        <v>0.1</v>
      </c>
      <c r="W924">
        <v>10</v>
      </c>
      <c r="X924">
        <v>10</v>
      </c>
      <c r="Y924">
        <v>10.5</v>
      </c>
    </row>
    <row r="925" spans="1:25" ht="60" customHeight="1" x14ac:dyDescent="0.25">
      <c r="A925"/>
      <c r="B925" t="s">
        <v>4</v>
      </c>
      <c r="C925" t="s">
        <v>743</v>
      </c>
      <c r="D925" t="s">
        <v>644</v>
      </c>
      <c r="E925" t="s">
        <v>879</v>
      </c>
      <c r="F925" t="s">
        <v>880</v>
      </c>
      <c r="G925" t="s">
        <v>746</v>
      </c>
      <c r="H925" s="11">
        <v>45.5</v>
      </c>
      <c r="I925" s="10">
        <f>H925*(1-IFERROR(VLOOKUP(G925,Rabat!$C$9:$D$43,2,0),0))</f>
        <v>45.5</v>
      </c>
      <c r="J925" t="s">
        <v>1815</v>
      </c>
      <c r="K925" t="s">
        <v>500</v>
      </c>
      <c r="L925" t="s">
        <v>1813</v>
      </c>
      <c r="M925">
        <v>20</v>
      </c>
      <c r="N925">
        <v>500</v>
      </c>
      <c r="O925" t="s">
        <v>1818</v>
      </c>
      <c r="P925" s="12" t="str">
        <f>HYPERLINK("https://b2b.kobi.pl/pl/product/9843,lampka-biurkowa-planty-clip-w-1xe27-biala-kobi-design?currency=PLN")</f>
        <v>https://b2b.kobi.pl/pl/product/9843,lampka-biurkowa-planty-clip-w-1xe27-biala-kobi-design?currency=PLN</v>
      </c>
      <c r="Q925" t="s">
        <v>14</v>
      </c>
      <c r="R925"/>
      <c r="S925" t="s">
        <v>2612</v>
      </c>
      <c r="T925">
        <v>0.11</v>
      </c>
      <c r="U925">
        <v>0.28399999999999997</v>
      </c>
      <c r="V925">
        <v>0.35049999999999998</v>
      </c>
      <c r="W925">
        <v>13.5</v>
      </c>
      <c r="X925">
        <v>12.5</v>
      </c>
      <c r="Y925">
        <v>12.7</v>
      </c>
    </row>
    <row r="926" spans="1:25" ht="60" customHeight="1" x14ac:dyDescent="0.25">
      <c r="A926"/>
      <c r="B926" t="s">
        <v>4</v>
      </c>
      <c r="C926" t="s">
        <v>743</v>
      </c>
      <c r="D926" t="s">
        <v>644</v>
      </c>
      <c r="E926" t="s">
        <v>881</v>
      </c>
      <c r="F926" t="s">
        <v>882</v>
      </c>
      <c r="G926" t="s">
        <v>746</v>
      </c>
      <c r="H926" s="11">
        <v>45.5</v>
      </c>
      <c r="I926" s="10">
        <f>H926*(1-IFERROR(VLOOKUP(G926,Rabat!$C$9:$D$43,2,0),0))</f>
        <v>45.5</v>
      </c>
      <c r="J926" t="s">
        <v>1815</v>
      </c>
      <c r="K926" t="s">
        <v>499</v>
      </c>
      <c r="L926" t="s">
        <v>1813</v>
      </c>
      <c r="M926">
        <v>20</v>
      </c>
      <c r="N926">
        <v>500</v>
      </c>
      <c r="O926" t="s">
        <v>1818</v>
      </c>
      <c r="P926" s="12" t="str">
        <f>HYPERLINK("https://b2b.kobi.pl/pl/product/9844,lampka-biurkowa-planty-clip-b-1xe27-czarna-kobi-design?currency=PLN")</f>
        <v>https://b2b.kobi.pl/pl/product/9844,lampka-biurkowa-planty-clip-b-1xe27-czarna-kobi-design?currency=PLN</v>
      </c>
      <c r="Q926" t="s">
        <v>14</v>
      </c>
      <c r="R926"/>
      <c r="S926" t="s">
        <v>2612</v>
      </c>
      <c r="T926">
        <v>0.11</v>
      </c>
      <c r="U926">
        <v>0.28399999999999997</v>
      </c>
      <c r="V926">
        <v>0.35049999999999998</v>
      </c>
      <c r="W926">
        <v>13.5</v>
      </c>
      <c r="X926">
        <v>12.5</v>
      </c>
      <c r="Y926">
        <v>12.7</v>
      </c>
    </row>
    <row r="927" spans="1:25" ht="60" customHeight="1" x14ac:dyDescent="0.25">
      <c r="A927"/>
      <c r="B927" t="s">
        <v>4</v>
      </c>
      <c r="C927" t="s">
        <v>743</v>
      </c>
      <c r="D927" t="s">
        <v>644</v>
      </c>
      <c r="E927" t="s">
        <v>2343</v>
      </c>
      <c r="F927" t="s">
        <v>2344</v>
      </c>
      <c r="G927" t="s">
        <v>746</v>
      </c>
      <c r="H927" s="11">
        <v>67.34</v>
      </c>
      <c r="I927" s="10">
        <f>H927*(1-IFERROR(VLOOKUP(G927,Rabat!$C$9:$D$43,2,0),0))</f>
        <v>67.34</v>
      </c>
      <c r="J927" t="s">
        <v>1815</v>
      </c>
      <c r="K927" t="s">
        <v>2426</v>
      </c>
      <c r="L927" t="s">
        <v>1813</v>
      </c>
      <c r="M927">
        <v>20</v>
      </c>
      <c r="N927">
        <v>340</v>
      </c>
      <c r="O927" t="s">
        <v>1818</v>
      </c>
      <c r="P927" s="12" t="str">
        <f>HYPERLINK("https://b2b.kobi.pl/pl/product/12460,lampka-biurkowa-planty-clip-w-duo-2xe27-biala-kobi-design?currency=PLN")</f>
        <v>https://b2b.kobi.pl/pl/product/12460,lampka-biurkowa-planty-clip-w-duo-2xe27-biala-kobi-design?currency=PLN</v>
      </c>
      <c r="Q927" t="s">
        <v>14</v>
      </c>
      <c r="R927"/>
      <c r="S927" t="s">
        <v>2612</v>
      </c>
      <c r="T927">
        <v>0.16</v>
      </c>
      <c r="U927">
        <v>0.4</v>
      </c>
      <c r="V927">
        <v>0.49</v>
      </c>
      <c r="W927">
        <v>12.5</v>
      </c>
      <c r="X927">
        <v>12.5</v>
      </c>
      <c r="Y927">
        <v>20</v>
      </c>
    </row>
    <row r="928" spans="1:25" ht="60" customHeight="1" x14ac:dyDescent="0.25">
      <c r="A928"/>
      <c r="B928" t="s">
        <v>4</v>
      </c>
      <c r="C928" t="s">
        <v>743</v>
      </c>
      <c r="D928" t="s">
        <v>644</v>
      </c>
      <c r="E928" t="s">
        <v>2345</v>
      </c>
      <c r="F928" t="s">
        <v>2346</v>
      </c>
      <c r="G928" t="s">
        <v>746</v>
      </c>
      <c r="H928" s="11">
        <v>67.34</v>
      </c>
      <c r="I928" s="10">
        <f>H928*(1-IFERROR(VLOOKUP(G928,Rabat!$C$9:$D$43,2,0),0))</f>
        <v>67.34</v>
      </c>
      <c r="J928" t="s">
        <v>1815</v>
      </c>
      <c r="K928" t="s">
        <v>2427</v>
      </c>
      <c r="L928" t="s">
        <v>1813</v>
      </c>
      <c r="M928">
        <v>20</v>
      </c>
      <c r="N928">
        <v>340</v>
      </c>
      <c r="O928" t="s">
        <v>1818</v>
      </c>
      <c r="P928" s="12" t="str">
        <f>HYPERLINK("https://b2b.kobi.pl/pl/product/12461,lampka-biurkowa-planty-clip-b-duo-2xe27-czarna-kobi-design?currency=PLN")</f>
        <v>https://b2b.kobi.pl/pl/product/12461,lampka-biurkowa-planty-clip-b-duo-2xe27-czarna-kobi-design?currency=PLN</v>
      </c>
      <c r="Q928" t="s">
        <v>14</v>
      </c>
      <c r="R928"/>
      <c r="S928" t="s">
        <v>2612</v>
      </c>
      <c r="T928">
        <v>0.16</v>
      </c>
      <c r="U928">
        <v>0.4</v>
      </c>
      <c r="V928">
        <v>0.49</v>
      </c>
      <c r="W928">
        <v>12.5</v>
      </c>
      <c r="X928">
        <v>12.5</v>
      </c>
      <c r="Y928">
        <v>20</v>
      </c>
    </row>
    <row r="929" spans="1:25" ht="60" customHeight="1" x14ac:dyDescent="0.25">
      <c r="A929"/>
      <c r="B929" t="s">
        <v>4</v>
      </c>
      <c r="C929" t="s">
        <v>743</v>
      </c>
      <c r="D929" t="s">
        <v>644</v>
      </c>
      <c r="E929" t="s">
        <v>2347</v>
      </c>
      <c r="F929" t="s">
        <v>2348</v>
      </c>
      <c r="G929" t="s">
        <v>746</v>
      </c>
      <c r="H929" s="11">
        <v>49.14</v>
      </c>
      <c r="I929" s="10">
        <f>H929*(1-IFERROR(VLOOKUP(G929,Rabat!$C$9:$D$43,2,0),0))</f>
        <v>49.14</v>
      </c>
      <c r="J929" t="s">
        <v>1815</v>
      </c>
      <c r="K929" t="s">
        <v>2428</v>
      </c>
      <c r="L929" t="s">
        <v>1813</v>
      </c>
      <c r="M929">
        <v>50</v>
      </c>
      <c r="N929">
        <v>700</v>
      </c>
      <c r="O929" t="s">
        <v>1818</v>
      </c>
      <c r="P929" s="12" t="str">
        <f>HYPERLINK("https://b2b.kobi.pl/pl/product/9845,zarowka-do-roslin-led-planty-24w-e27-1200k-kobi-design?currency=PLN")</f>
        <v>https://b2b.kobi.pl/pl/product/9845,zarowka-do-roslin-led-planty-24w-e27-1200k-kobi-design?currency=PLN</v>
      </c>
      <c r="Q929" t="s">
        <v>14</v>
      </c>
      <c r="R929"/>
      <c r="S929" t="s">
        <v>2569</v>
      </c>
      <c r="T929">
        <v>0.22</v>
      </c>
      <c r="U929">
        <v>0.26</v>
      </c>
      <c r="V929">
        <v>0.28499999999999998</v>
      </c>
      <c r="W929">
        <v>8.5</v>
      </c>
      <c r="X929">
        <v>8.5</v>
      </c>
      <c r="Y929">
        <v>25</v>
      </c>
    </row>
    <row r="930" spans="1:25" ht="60" customHeight="1" x14ac:dyDescent="0.25">
      <c r="A930"/>
      <c r="B930" t="s">
        <v>4</v>
      </c>
      <c r="C930" t="s">
        <v>743</v>
      </c>
      <c r="D930" t="s">
        <v>644</v>
      </c>
      <c r="E930" t="s">
        <v>2349</v>
      </c>
      <c r="F930" t="s">
        <v>2350</v>
      </c>
      <c r="G930" t="s">
        <v>746</v>
      </c>
      <c r="H930" s="11">
        <v>75.92</v>
      </c>
      <c r="I930" s="10">
        <f>H930*(1-IFERROR(VLOOKUP(G930,Rabat!$C$9:$D$43,2,0),0))</f>
        <v>75.92</v>
      </c>
      <c r="J930" t="s">
        <v>1815</v>
      </c>
      <c r="K930" t="s">
        <v>2429</v>
      </c>
      <c r="L930" t="s">
        <v>1813</v>
      </c>
      <c r="M930">
        <v>25</v>
      </c>
      <c r="N930">
        <v>400</v>
      </c>
      <c r="O930" t="s">
        <v>1818</v>
      </c>
      <c r="P930" s="12" t="str">
        <f>HYPERLINK("https://b2b.kobi.pl/pl/product/9846,zarowka-do-roslin-led-planty-40w-e27-1200k-kobi-design?currency=PLN")</f>
        <v>https://b2b.kobi.pl/pl/product/9846,zarowka-do-roslin-led-planty-40w-e27-1200k-kobi-design?currency=PLN</v>
      </c>
      <c r="Q930" t="s">
        <v>14</v>
      </c>
      <c r="R930"/>
      <c r="S930" t="s">
        <v>2569</v>
      </c>
      <c r="T930">
        <v>0.31</v>
      </c>
      <c r="U930">
        <v>0.36499999999999999</v>
      </c>
      <c r="V930">
        <v>0.44</v>
      </c>
      <c r="W930">
        <v>11.5</v>
      </c>
      <c r="X930">
        <v>11.5</v>
      </c>
      <c r="Y930">
        <v>20.5</v>
      </c>
    </row>
    <row r="931" spans="1:25" ht="60" customHeight="1" x14ac:dyDescent="0.25">
      <c r="A931"/>
      <c r="B931" t="s">
        <v>4</v>
      </c>
      <c r="C931" t="s">
        <v>743</v>
      </c>
      <c r="D931" t="s">
        <v>644</v>
      </c>
      <c r="E931" t="s">
        <v>2351</v>
      </c>
      <c r="F931" t="s">
        <v>2352</v>
      </c>
      <c r="G931" t="s">
        <v>746</v>
      </c>
      <c r="H931" s="11">
        <v>36.14</v>
      </c>
      <c r="I931" s="10">
        <f>H931*(1-IFERROR(VLOOKUP(G931,Rabat!$C$9:$D$43,2,0),0))</f>
        <v>36.14</v>
      </c>
      <c r="J931" t="s">
        <v>1815</v>
      </c>
      <c r="K931" t="s">
        <v>2430</v>
      </c>
      <c r="L931" t="s">
        <v>1813</v>
      </c>
      <c r="M931">
        <v>30</v>
      </c>
      <c r="N931">
        <v>1680</v>
      </c>
      <c r="O931" t="s">
        <v>1818</v>
      </c>
      <c r="P931" s="12" t="str">
        <f>HYPERLINK("https://b2b.kobi.pl/pl/product/12464,lampa-do-roslin-led-growly-2x8-5w-kobi-design?currency=PLN")</f>
        <v>https://b2b.kobi.pl/pl/product/12464,lampa-do-roslin-led-growly-2x8-5w-kobi-design?currency=PLN</v>
      </c>
      <c r="Q931" t="s">
        <v>14</v>
      </c>
      <c r="R931"/>
      <c r="S931" t="s">
        <v>2607</v>
      </c>
      <c r="T931">
        <v>7.0000000000000007E-2</v>
      </c>
      <c r="U931">
        <v>8.5999999999999993E-2</v>
      </c>
      <c r="V931">
        <v>0.13500000000000001</v>
      </c>
      <c r="W931">
        <v>54</v>
      </c>
      <c r="X931">
        <v>3.2</v>
      </c>
      <c r="Y931">
        <v>3.2</v>
      </c>
    </row>
    <row r="932" spans="1:25" ht="60" customHeight="1" x14ac:dyDescent="0.25">
      <c r="A932"/>
      <c r="B932" t="s">
        <v>4</v>
      </c>
      <c r="C932" t="s">
        <v>743</v>
      </c>
      <c r="D932" t="s">
        <v>644</v>
      </c>
      <c r="E932" t="s">
        <v>2353</v>
      </c>
      <c r="F932" t="s">
        <v>2354</v>
      </c>
      <c r="G932" t="s">
        <v>746</v>
      </c>
      <c r="H932" s="11">
        <v>41.34</v>
      </c>
      <c r="I932" s="10">
        <f>H932*(1-IFERROR(VLOOKUP(G932,Rabat!$C$9:$D$43,2,0),0))</f>
        <v>41.34</v>
      </c>
      <c r="J932" t="s">
        <v>1815</v>
      </c>
      <c r="K932" t="s">
        <v>2431</v>
      </c>
      <c r="L932" t="s">
        <v>1813</v>
      </c>
      <c r="M932">
        <v>25</v>
      </c>
      <c r="N932">
        <v>1000</v>
      </c>
      <c r="O932" t="s">
        <v>1818</v>
      </c>
      <c r="P932" s="12" t="str">
        <f>HYPERLINK("https://b2b.kobi.pl/pl/product/12462,lampa-do-roslin-led-growly-9w-kobi-design?currency=PLN")</f>
        <v>https://b2b.kobi.pl/pl/product/12462,lampa-do-roslin-led-growly-9w-kobi-design?currency=PLN</v>
      </c>
      <c r="Q932" t="s">
        <v>14</v>
      </c>
      <c r="R932"/>
      <c r="S932" t="s">
        <v>2607</v>
      </c>
      <c r="T932">
        <v>0.1</v>
      </c>
      <c r="U932">
        <v>0.113</v>
      </c>
      <c r="V932">
        <v>0.17499999999999999</v>
      </c>
      <c r="W932">
        <v>62</v>
      </c>
      <c r="X932">
        <v>3.5</v>
      </c>
      <c r="Y932">
        <v>4</v>
      </c>
    </row>
    <row r="933" spans="1:25" ht="60" customHeight="1" x14ac:dyDescent="0.25">
      <c r="A933"/>
      <c r="B933" t="s">
        <v>4</v>
      </c>
      <c r="C933" t="s">
        <v>743</v>
      </c>
      <c r="D933" t="s">
        <v>644</v>
      </c>
      <c r="E933" t="s">
        <v>2355</v>
      </c>
      <c r="F933" t="s">
        <v>2356</v>
      </c>
      <c r="G933" t="s">
        <v>746</v>
      </c>
      <c r="H933" s="11">
        <v>67.34</v>
      </c>
      <c r="I933" s="10">
        <f>H933*(1-IFERROR(VLOOKUP(G933,Rabat!$C$9:$D$43,2,0),0))</f>
        <v>67.34</v>
      </c>
      <c r="J933" t="s">
        <v>1815</v>
      </c>
      <c r="K933" t="s">
        <v>2432</v>
      </c>
      <c r="L933" t="s">
        <v>1813</v>
      </c>
      <c r="M933">
        <v>25</v>
      </c>
      <c r="N933">
        <v>2025</v>
      </c>
      <c r="O933" t="s">
        <v>1818</v>
      </c>
      <c r="P933" s="12" t="str">
        <f>HYPERLINK("https://b2b.kobi.pl/pl/product/9847,lampa-do-roslin-led-growly-15w-kobi-design?currency=PLN")</f>
        <v>https://b2b.kobi.pl/pl/product/9847,lampa-do-roslin-led-growly-15w-kobi-design?currency=PLN</v>
      </c>
      <c r="Q933" t="s">
        <v>14</v>
      </c>
      <c r="R933"/>
      <c r="S933" t="s">
        <v>2607</v>
      </c>
      <c r="T933">
        <v>0.09</v>
      </c>
      <c r="U933">
        <v>0.10299999999999999</v>
      </c>
      <c r="V933">
        <v>0.12</v>
      </c>
      <c r="W933">
        <v>3</v>
      </c>
      <c r="X933">
        <v>3</v>
      </c>
      <c r="Y933">
        <v>6.2</v>
      </c>
    </row>
    <row r="934" spans="1:25" ht="60" customHeight="1" x14ac:dyDescent="0.25">
      <c r="A934"/>
      <c r="B934" t="s">
        <v>4</v>
      </c>
      <c r="C934" t="s">
        <v>743</v>
      </c>
      <c r="D934" t="s">
        <v>644</v>
      </c>
      <c r="E934" t="s">
        <v>3992</v>
      </c>
      <c r="F934" t="s">
        <v>3993</v>
      </c>
      <c r="G934" t="s">
        <v>746</v>
      </c>
      <c r="H934" s="11">
        <v>6.25</v>
      </c>
      <c r="I934" s="10">
        <f>H934*(1-IFERROR(VLOOKUP(G934,Rabat!$C$9:$D$43,2,0),0))</f>
        <v>6.25</v>
      </c>
      <c r="J934"/>
      <c r="K934" t="s">
        <v>4215</v>
      </c>
      <c r="L934" t="s">
        <v>1813</v>
      </c>
      <c r="M934">
        <v>600</v>
      </c>
      <c r="N934"/>
      <c r="O934" t="s">
        <v>1818</v>
      </c>
      <c r="P934" s="12" t="str">
        <f>HYPERLINK("https://b2b.kobi.pl/pl/product/13675,przewod-laczeniowy-do-growly-15w-0-6m-kobi-design?currency=PLN")</f>
        <v>https://b2b.kobi.pl/pl/product/13675,przewod-laczeniowy-do-growly-15w-0-6m-kobi-design?currency=PLN</v>
      </c>
      <c r="Q934" t="s">
        <v>14</v>
      </c>
      <c r="R934" t="s">
        <v>4101</v>
      </c>
      <c r="S934" t="s">
        <v>2625</v>
      </c>
      <c r="T934">
        <v>0</v>
      </c>
      <c r="U934">
        <v>2.1999999999999999E-2</v>
      </c>
      <c r="V934">
        <v>2.1999999999999999E-2</v>
      </c>
      <c r="W934">
        <v>0</v>
      </c>
      <c r="X934">
        <v>0</v>
      </c>
      <c r="Y934">
        <v>0</v>
      </c>
    </row>
    <row r="935" spans="1:25" ht="60" customHeight="1" x14ac:dyDescent="0.25">
      <c r="A935"/>
      <c r="B935" t="s">
        <v>4</v>
      </c>
      <c r="C935" t="s">
        <v>743</v>
      </c>
      <c r="D935" t="s">
        <v>644</v>
      </c>
      <c r="E935" t="s">
        <v>3994</v>
      </c>
      <c r="F935" t="s">
        <v>3995</v>
      </c>
      <c r="G935" t="s">
        <v>746</v>
      </c>
      <c r="H935" s="11">
        <v>8.75</v>
      </c>
      <c r="I935" s="10">
        <f>H935*(1-IFERROR(VLOOKUP(G935,Rabat!$C$9:$D$43,2,0),0))</f>
        <v>8.75</v>
      </c>
      <c r="J935"/>
      <c r="K935" t="s">
        <v>4216</v>
      </c>
      <c r="L935" t="s">
        <v>1813</v>
      </c>
      <c r="M935">
        <v>500</v>
      </c>
      <c r="N935"/>
      <c r="O935" t="s">
        <v>1818</v>
      </c>
      <c r="P935" s="12" t="str">
        <f>HYPERLINK("https://b2b.kobi.pl/pl/product/13676,przewod-laczeniowy-do-growly-15w-1m-kobi-design?currency=PLN")</f>
        <v>https://b2b.kobi.pl/pl/product/13676,przewod-laczeniowy-do-growly-15w-1m-kobi-design?currency=PLN</v>
      </c>
      <c r="Q935" t="s">
        <v>14</v>
      </c>
      <c r="R935" t="s">
        <v>4101</v>
      </c>
      <c r="S935" t="s">
        <v>2625</v>
      </c>
      <c r="T935">
        <v>0</v>
      </c>
      <c r="U935">
        <v>3.3000000000000002E-2</v>
      </c>
      <c r="V935">
        <v>3.3000000000000002E-2</v>
      </c>
      <c r="W935">
        <v>0</v>
      </c>
      <c r="X935">
        <v>0</v>
      </c>
      <c r="Y935">
        <v>0</v>
      </c>
    </row>
    <row r="936" spans="1:25" ht="60" customHeight="1" x14ac:dyDescent="0.25">
      <c r="A936"/>
      <c r="B936" t="s">
        <v>4</v>
      </c>
      <c r="C936" t="s">
        <v>743</v>
      </c>
      <c r="D936" t="s">
        <v>644</v>
      </c>
      <c r="E936" t="s">
        <v>2357</v>
      </c>
      <c r="F936" t="s">
        <v>2358</v>
      </c>
      <c r="G936" t="s">
        <v>746</v>
      </c>
      <c r="H936" s="11">
        <v>42.9</v>
      </c>
      <c r="I936" s="10">
        <f>H936*(1-IFERROR(VLOOKUP(G936,Rabat!$C$9:$D$43,2,0),0))</f>
        <v>42.9</v>
      </c>
      <c r="J936" t="s">
        <v>1815</v>
      </c>
      <c r="K936" t="s">
        <v>2433</v>
      </c>
      <c r="L936" t="s">
        <v>1813</v>
      </c>
      <c r="M936">
        <v>100</v>
      </c>
      <c r="N936">
        <v>2000</v>
      </c>
      <c r="O936" t="s">
        <v>1818</v>
      </c>
      <c r="P936" s="12" t="str">
        <f>HYPERLINK("https://b2b.kobi.pl/pl/product/9848,przewod-ze-sterownikiem-led-growly-pc-3m-kobi-design?currency=PLN")</f>
        <v>https://b2b.kobi.pl/pl/product/9848,przewod-ze-sterownikiem-led-growly-pc-3m-kobi-design?currency=PLN</v>
      </c>
      <c r="Q936" t="s">
        <v>14</v>
      </c>
      <c r="R936"/>
      <c r="S936" t="s">
        <v>2625</v>
      </c>
      <c r="T936">
        <v>0.04</v>
      </c>
      <c r="U936">
        <v>0.11</v>
      </c>
      <c r="V936">
        <v>0.13</v>
      </c>
      <c r="W936">
        <v>15</v>
      </c>
      <c r="X936">
        <v>25</v>
      </c>
      <c r="Y936">
        <v>2</v>
      </c>
    </row>
    <row r="937" spans="1:25" ht="60" customHeight="1" x14ac:dyDescent="0.25">
      <c r="A937"/>
      <c r="B937" t="s">
        <v>4</v>
      </c>
      <c r="C937" t="s">
        <v>743</v>
      </c>
      <c r="D937" t="s">
        <v>644</v>
      </c>
      <c r="E937" t="s">
        <v>2219</v>
      </c>
      <c r="F937" t="s">
        <v>2220</v>
      </c>
      <c r="G937" t="s">
        <v>746</v>
      </c>
      <c r="H937" s="11">
        <v>39</v>
      </c>
      <c r="I937" s="10">
        <f>H937*(1-IFERROR(VLOOKUP(G937,Rabat!$C$9:$D$43,2,0),0))</f>
        <v>39</v>
      </c>
      <c r="J937" t="s">
        <v>1815</v>
      </c>
      <c r="K937" t="s">
        <v>2254</v>
      </c>
      <c r="L937" t="s">
        <v>1813</v>
      </c>
      <c r="M937">
        <v>50</v>
      </c>
      <c r="N937">
        <v>1800</v>
      </c>
      <c r="O937" t="s">
        <v>1818</v>
      </c>
      <c r="P937" s="12" t="str">
        <f>HYPERLINK("https://b2b.kobi.pl/pl/product/12463,przewod-ze-sterownikiem-led-growly-pc3-3m-kobi-design?currency=PLN")</f>
        <v>https://b2b.kobi.pl/pl/product/12463,przewod-ze-sterownikiem-led-growly-pc3-3m-kobi-design?currency=PLN</v>
      </c>
      <c r="Q937" t="s">
        <v>14</v>
      </c>
      <c r="R937"/>
      <c r="S937" t="s">
        <v>2625</v>
      </c>
      <c r="T937">
        <v>0.06</v>
      </c>
      <c r="U937">
        <v>0.14499999999999999</v>
      </c>
      <c r="V937">
        <v>0.16500000000000001</v>
      </c>
      <c r="W937">
        <v>1.5</v>
      </c>
      <c r="X937">
        <v>2.5</v>
      </c>
      <c r="Y937">
        <v>0.5</v>
      </c>
    </row>
    <row r="938" spans="1:25" ht="60" customHeight="1" x14ac:dyDescent="0.25">
      <c r="A938"/>
      <c r="B938" t="s">
        <v>4</v>
      </c>
      <c r="C938" t="s">
        <v>743</v>
      </c>
      <c r="D938" t="s">
        <v>644</v>
      </c>
      <c r="E938" t="s">
        <v>1482</v>
      </c>
      <c r="F938" t="s">
        <v>1483</v>
      </c>
      <c r="G938" t="s">
        <v>746</v>
      </c>
      <c r="H938" s="11">
        <v>15.94</v>
      </c>
      <c r="I938" s="10">
        <f>H938*(1-IFERROR(VLOOKUP(G938,Rabat!$C$9:$D$43,2,0),0))</f>
        <v>15.94</v>
      </c>
      <c r="J938" t="s">
        <v>1815</v>
      </c>
      <c r="K938" t="s">
        <v>502</v>
      </c>
      <c r="L938" t="s">
        <v>1813</v>
      </c>
      <c r="M938">
        <v>50</v>
      </c>
      <c r="N938">
        <v>2100</v>
      </c>
      <c r="O938" t="s">
        <v>1818</v>
      </c>
      <c r="P938" s="12" t="str">
        <f>HYPERLINK("https://b2b.kobi.pl/pl/product/9849,zarowka-do-roslin-led-planty-fgs-8w-e27-1200k-kobi-design?currency=PLN")</f>
        <v>https://b2b.kobi.pl/pl/product/9849,zarowka-do-roslin-led-planty-fgs-8w-e27-1200k-kobi-design?currency=PLN</v>
      </c>
      <c r="Q938" t="s">
        <v>14</v>
      </c>
      <c r="R938"/>
      <c r="S938" t="s">
        <v>2569</v>
      </c>
      <c r="T938">
        <v>0.03</v>
      </c>
      <c r="U938">
        <v>0.03</v>
      </c>
      <c r="V938">
        <v>0.05</v>
      </c>
      <c r="W938">
        <v>6</v>
      </c>
      <c r="X938">
        <v>6</v>
      </c>
      <c r="Y938">
        <v>11</v>
      </c>
    </row>
    <row r="939" spans="1:25" ht="60" customHeight="1" x14ac:dyDescent="0.25">
      <c r="A939"/>
      <c r="B939" t="s">
        <v>4</v>
      </c>
      <c r="C939" t="s">
        <v>743</v>
      </c>
      <c r="D939" t="s">
        <v>644</v>
      </c>
      <c r="E939" t="s">
        <v>2221</v>
      </c>
      <c r="F939" t="s">
        <v>2222</v>
      </c>
      <c r="G939" t="s">
        <v>746</v>
      </c>
      <c r="H939" s="11">
        <v>18.600000000000001</v>
      </c>
      <c r="I939" s="10">
        <f>H939*(1-IFERROR(VLOOKUP(G939,Rabat!$C$9:$D$43,2,0),0))</f>
        <v>18.600000000000001</v>
      </c>
      <c r="J939" t="s">
        <v>1815</v>
      </c>
      <c r="K939" t="s">
        <v>2255</v>
      </c>
      <c r="L939" t="s">
        <v>1813</v>
      </c>
      <c r="M939">
        <v>100</v>
      </c>
      <c r="N939">
        <v>1800</v>
      </c>
      <c r="O939" t="s">
        <v>1818</v>
      </c>
      <c r="P939" s="12" t="str">
        <f>HYPERLINK("https://b2b.kobi.pl/pl/product/12457,zarowka-do-roslin-led-planty-gs-11w-e27-1200k-kobi-design?currency=PLN")</f>
        <v>https://b2b.kobi.pl/pl/product/12457,zarowka-do-roslin-led-planty-gs-11w-e27-1200k-kobi-design?currency=PLN</v>
      </c>
      <c r="Q939" t="s">
        <v>14</v>
      </c>
      <c r="R939"/>
      <c r="S939" t="s">
        <v>2569</v>
      </c>
      <c r="T939">
        <v>0.04</v>
      </c>
      <c r="U939">
        <v>4.5999999999999999E-2</v>
      </c>
      <c r="V939">
        <v>7.4999999999999997E-2</v>
      </c>
      <c r="W939">
        <v>6</v>
      </c>
      <c r="X939">
        <v>6</v>
      </c>
      <c r="Y939">
        <v>12</v>
      </c>
    </row>
    <row r="940" spans="1:25" ht="60" customHeight="1" x14ac:dyDescent="0.25">
      <c r="A940"/>
      <c r="B940" t="s">
        <v>4</v>
      </c>
      <c r="C940" t="s">
        <v>743</v>
      </c>
      <c r="D940" t="s">
        <v>644</v>
      </c>
      <c r="E940" t="s">
        <v>751</v>
      </c>
      <c r="F940" t="s">
        <v>752</v>
      </c>
      <c r="G940" t="s">
        <v>746</v>
      </c>
      <c r="H940" s="11">
        <v>77.739999999999995</v>
      </c>
      <c r="I940" s="10">
        <f>H940*(1-IFERROR(VLOOKUP(G940,Rabat!$C$9:$D$43,2,0),0))</f>
        <v>77.739999999999995</v>
      </c>
      <c r="J940" t="s">
        <v>1815</v>
      </c>
      <c r="K940" t="s">
        <v>504</v>
      </c>
      <c r="L940" t="s">
        <v>1813</v>
      </c>
      <c r="M940">
        <v>16</v>
      </c>
      <c r="N940">
        <v>384</v>
      </c>
      <c r="O940" t="s">
        <v>1818</v>
      </c>
      <c r="P940" s="12" t="str">
        <f>HYPERLINK("https://b2b.kobi.pl/pl/product/9850,lampa-do-roslin-led-vitaro-3-clip-10w-kobi-design?currency=PLN")</f>
        <v>https://b2b.kobi.pl/pl/product/9850,lampa-do-roslin-led-vitaro-3-clip-10w-kobi-design?currency=PLN</v>
      </c>
      <c r="Q940" t="s">
        <v>14</v>
      </c>
      <c r="R940"/>
      <c r="S940" t="s">
        <v>2613</v>
      </c>
      <c r="T940">
        <v>0.3</v>
      </c>
      <c r="U940">
        <v>0.35680000000000001</v>
      </c>
      <c r="V940">
        <v>0.51500000000000001</v>
      </c>
      <c r="W940">
        <v>36</v>
      </c>
      <c r="X940">
        <v>14</v>
      </c>
      <c r="Y940">
        <v>8.5</v>
      </c>
    </row>
    <row r="941" spans="1:25" ht="60" customHeight="1" x14ac:dyDescent="0.25">
      <c r="A941"/>
      <c r="B941" t="s">
        <v>4</v>
      </c>
      <c r="C941" t="s">
        <v>743</v>
      </c>
      <c r="D941" t="s">
        <v>644</v>
      </c>
      <c r="E941" t="s">
        <v>755</v>
      </c>
      <c r="F941" t="s">
        <v>756</v>
      </c>
      <c r="G941" t="s">
        <v>746</v>
      </c>
      <c r="H941" s="11">
        <v>93.34</v>
      </c>
      <c r="I941" s="10">
        <f>H941*(1-IFERROR(VLOOKUP(G941,Rabat!$C$9:$D$43,2,0),0))</f>
        <v>93.34</v>
      </c>
      <c r="J941" t="s">
        <v>1815</v>
      </c>
      <c r="K941" t="s">
        <v>506</v>
      </c>
      <c r="L941" t="s">
        <v>1813</v>
      </c>
      <c r="M941">
        <v>16</v>
      </c>
      <c r="N941">
        <v>320</v>
      </c>
      <c r="O941" t="s">
        <v>1818</v>
      </c>
      <c r="P941" s="12" t="str">
        <f>HYPERLINK("https://b2b.kobi.pl/pl/product/9851,lampa-do-roslin-led-vitaro-4-clip-10w-kobi-design?currency=PLN")</f>
        <v>https://b2b.kobi.pl/pl/product/9851,lampa-do-roslin-led-vitaro-4-clip-10w-kobi-design?currency=PLN</v>
      </c>
      <c r="Q941" t="s">
        <v>14</v>
      </c>
      <c r="R941"/>
      <c r="S941" t="s">
        <v>2613</v>
      </c>
      <c r="T941">
        <v>0.47</v>
      </c>
      <c r="U941">
        <v>0.56000000000000005</v>
      </c>
      <c r="V941">
        <v>0.59499999999999997</v>
      </c>
      <c r="W941">
        <v>36</v>
      </c>
      <c r="X941">
        <v>14</v>
      </c>
      <c r="Y941">
        <v>8.5</v>
      </c>
    </row>
    <row r="942" spans="1:25" ht="60" customHeight="1" x14ac:dyDescent="0.25">
      <c r="A942"/>
      <c r="B942" t="s">
        <v>4</v>
      </c>
      <c r="C942" t="s">
        <v>743</v>
      </c>
      <c r="D942" t="s">
        <v>644</v>
      </c>
      <c r="E942" t="s">
        <v>753</v>
      </c>
      <c r="F942" t="s">
        <v>754</v>
      </c>
      <c r="G942" t="s">
        <v>746</v>
      </c>
      <c r="H942" s="11">
        <v>88.14</v>
      </c>
      <c r="I942" s="10">
        <f>H942*(1-IFERROR(VLOOKUP(G942,Rabat!$C$9:$D$43,2,0),0))</f>
        <v>88.14</v>
      </c>
      <c r="J942" t="s">
        <v>1815</v>
      </c>
      <c r="K942" t="s">
        <v>505</v>
      </c>
      <c r="L942" t="s">
        <v>1813</v>
      </c>
      <c r="M942">
        <v>16</v>
      </c>
      <c r="N942">
        <v>400</v>
      </c>
      <c r="O942" t="s">
        <v>1818</v>
      </c>
      <c r="P942" s="12" t="str">
        <f>HYPERLINK("https://b2b.kobi.pl/pl/product/9852,lampa-do-roslin-led-vitaro-3-st-mini-10w?currency=PLN")</f>
        <v>https://b2b.kobi.pl/pl/product/9852,lampa-do-roslin-led-vitaro-3-st-mini-10w?currency=PLN</v>
      </c>
      <c r="Q942" t="s">
        <v>14</v>
      </c>
      <c r="R942"/>
      <c r="S942" t="s">
        <v>2613</v>
      </c>
      <c r="T942">
        <v>0.53</v>
      </c>
      <c r="U942">
        <v>0.623</v>
      </c>
      <c r="V942">
        <v>0.73</v>
      </c>
      <c r="W942">
        <v>31</v>
      </c>
      <c r="X942">
        <v>12.5</v>
      </c>
      <c r="Y942">
        <v>7.5</v>
      </c>
    </row>
    <row r="943" spans="1:25" ht="60" customHeight="1" x14ac:dyDescent="0.25">
      <c r="A943"/>
      <c r="B943" t="s">
        <v>4</v>
      </c>
      <c r="C943" t="s">
        <v>743</v>
      </c>
      <c r="D943" t="s">
        <v>644</v>
      </c>
      <c r="E943" t="s">
        <v>759</v>
      </c>
      <c r="F943" t="s">
        <v>760</v>
      </c>
      <c r="G943" t="s">
        <v>746</v>
      </c>
      <c r="H943" s="11">
        <v>103.74</v>
      </c>
      <c r="I943" s="10">
        <f>H943*(1-IFERROR(VLOOKUP(G943,Rabat!$C$9:$D$43,2,0),0))</f>
        <v>103.74</v>
      </c>
      <c r="J943" t="s">
        <v>1815</v>
      </c>
      <c r="K943" t="s">
        <v>508</v>
      </c>
      <c r="L943" t="s">
        <v>1813</v>
      </c>
      <c r="M943">
        <v>16</v>
      </c>
      <c r="N943">
        <v>400</v>
      </c>
      <c r="O943" t="s">
        <v>1818</v>
      </c>
      <c r="P943" s="12" t="str">
        <f>HYPERLINK("https://b2b.kobi.pl/pl/product/9853,lampa-do-roslin-led-vitaro-4-st-mini-10w?currency=PLN")</f>
        <v>https://b2b.kobi.pl/pl/product/9853,lampa-do-roslin-led-vitaro-4-st-mini-10w?currency=PLN</v>
      </c>
      <c r="Q943" t="s">
        <v>14</v>
      </c>
      <c r="R943"/>
      <c r="S943" t="s">
        <v>2613</v>
      </c>
      <c r="T943">
        <v>0.56000000000000005</v>
      </c>
      <c r="U943">
        <v>0.66300000000000003</v>
      </c>
      <c r="V943">
        <v>0.76800000000000002</v>
      </c>
      <c r="W943">
        <v>31</v>
      </c>
      <c r="X943">
        <v>12.5</v>
      </c>
      <c r="Y943">
        <v>7.5</v>
      </c>
    </row>
    <row r="944" spans="1:25" ht="60" customHeight="1" x14ac:dyDescent="0.25">
      <c r="A944"/>
      <c r="B944" t="s">
        <v>4</v>
      </c>
      <c r="C944" t="s">
        <v>743</v>
      </c>
      <c r="D944" t="s">
        <v>644</v>
      </c>
      <c r="E944" t="s">
        <v>757</v>
      </c>
      <c r="F944" t="s">
        <v>758</v>
      </c>
      <c r="G944" t="s">
        <v>746</v>
      </c>
      <c r="H944" s="11">
        <v>181.74</v>
      </c>
      <c r="I944" s="10">
        <f>H944*(1-IFERROR(VLOOKUP(G944,Rabat!$C$9:$D$43,2,0),0))</f>
        <v>181.74</v>
      </c>
      <c r="J944" t="s">
        <v>1815</v>
      </c>
      <c r="K944" t="s">
        <v>507</v>
      </c>
      <c r="L944" t="s">
        <v>1813</v>
      </c>
      <c r="M944">
        <v>8</v>
      </c>
      <c r="N944">
        <v>160</v>
      </c>
      <c r="O944" t="s">
        <v>1818</v>
      </c>
      <c r="P944" s="12" t="str">
        <f>HYPERLINK("https://b2b.kobi.pl/pl/product/9854,lampa-do-roslin-led-vitaro-4-st-30w-kobi-design?currency=PLN")</f>
        <v>https://b2b.kobi.pl/pl/product/9854,lampa-do-roslin-led-vitaro-4-st-30w-kobi-design?currency=PLN</v>
      </c>
      <c r="Q944" t="s">
        <v>14</v>
      </c>
      <c r="R944"/>
      <c r="S944" t="s">
        <v>2613</v>
      </c>
      <c r="T944">
        <v>0.7</v>
      </c>
      <c r="U944">
        <v>0.83399999999999996</v>
      </c>
      <c r="V944">
        <v>1.0449999999999999</v>
      </c>
      <c r="W944">
        <v>12</v>
      </c>
      <c r="X944">
        <v>68</v>
      </c>
      <c r="Y944">
        <v>9</v>
      </c>
    </row>
    <row r="945" spans="1:25" ht="60" customHeight="1" x14ac:dyDescent="0.25">
      <c r="A945"/>
      <c r="B945" t="s">
        <v>4</v>
      </c>
      <c r="C945" t="s">
        <v>743</v>
      </c>
      <c r="D945" t="s">
        <v>644</v>
      </c>
      <c r="E945" t="s">
        <v>2223</v>
      </c>
      <c r="F945" t="s">
        <v>2224</v>
      </c>
      <c r="G945" t="s">
        <v>746</v>
      </c>
      <c r="H945" s="11">
        <v>77.739999999999995</v>
      </c>
      <c r="I945" s="10">
        <f>H945*(1-IFERROR(VLOOKUP(G945,Rabat!$C$9:$D$43,2,0),0))</f>
        <v>77.739999999999995</v>
      </c>
      <c r="J945" t="s">
        <v>1815</v>
      </c>
      <c r="K945" t="s">
        <v>2256</v>
      </c>
      <c r="L945" t="s">
        <v>1813</v>
      </c>
      <c r="M945">
        <v>20</v>
      </c>
      <c r="N945">
        <v>320</v>
      </c>
      <c r="O945" t="s">
        <v>1818</v>
      </c>
      <c r="P945" s="12" t="str">
        <f>HYPERLINK("https://b2b.kobi.pl/pl/product/12458,lampa-do-roslin-led-vitaro-ring-2-clip-8w-kobi-design?currency=PLN")</f>
        <v>https://b2b.kobi.pl/pl/product/12458,lampa-do-roslin-led-vitaro-ring-2-clip-8w-kobi-design?currency=PLN</v>
      </c>
      <c r="Q945" t="s">
        <v>14</v>
      </c>
      <c r="R945"/>
      <c r="S945" t="s">
        <v>2613</v>
      </c>
      <c r="T945">
        <v>0.37</v>
      </c>
      <c r="U945">
        <v>0.433</v>
      </c>
      <c r="V945">
        <v>0.56499999999999995</v>
      </c>
      <c r="W945">
        <v>9</v>
      </c>
      <c r="X945">
        <v>11.5</v>
      </c>
      <c r="Y945">
        <v>32</v>
      </c>
    </row>
    <row r="946" spans="1:25" ht="60" customHeight="1" x14ac:dyDescent="0.25">
      <c r="A946"/>
      <c r="B946" t="s">
        <v>4</v>
      </c>
      <c r="C946" t="s">
        <v>743</v>
      </c>
      <c r="D946" t="s">
        <v>644</v>
      </c>
      <c r="E946" t="s">
        <v>2225</v>
      </c>
      <c r="F946" t="s">
        <v>2226</v>
      </c>
      <c r="G946" t="s">
        <v>746</v>
      </c>
      <c r="H946" s="11">
        <v>90.74</v>
      </c>
      <c r="I946" s="10">
        <f>H946*(1-IFERROR(VLOOKUP(G946,Rabat!$C$9:$D$43,2,0),0))</f>
        <v>90.74</v>
      </c>
      <c r="J946" t="s">
        <v>1815</v>
      </c>
      <c r="K946" t="s">
        <v>2257</v>
      </c>
      <c r="L946" t="s">
        <v>1813</v>
      </c>
      <c r="M946">
        <v>8</v>
      </c>
      <c r="N946">
        <v>120</v>
      </c>
      <c r="O946" t="s">
        <v>1818</v>
      </c>
      <c r="P946" s="12" t="str">
        <f>HYPERLINK("https://b2b.kobi.pl/pl/product/12459,lampa-do-roslin-led-firon-45w-kobi-design?currency=PLN")</f>
        <v>https://b2b.kobi.pl/pl/product/12459,lampa-do-roslin-led-firon-45w-kobi-design?currency=PLN</v>
      </c>
      <c r="Q946" t="s">
        <v>14</v>
      </c>
      <c r="R946"/>
      <c r="S946" t="s">
        <v>2613</v>
      </c>
      <c r="T946">
        <v>0.79</v>
      </c>
      <c r="U946">
        <v>0.93</v>
      </c>
      <c r="V946">
        <v>1.1299999999999999</v>
      </c>
      <c r="W946">
        <v>70</v>
      </c>
      <c r="X946">
        <v>32</v>
      </c>
      <c r="Y946">
        <v>34</v>
      </c>
    </row>
    <row r="947" spans="1:25" ht="60" customHeight="1" x14ac:dyDescent="0.25">
      <c r="A947"/>
      <c r="B947" t="s">
        <v>2131</v>
      </c>
      <c r="C947" t="s">
        <v>2132</v>
      </c>
      <c r="D947" t="s">
        <v>2133</v>
      </c>
      <c r="E947" t="s">
        <v>2134</v>
      </c>
      <c r="F947" t="s">
        <v>2135</v>
      </c>
      <c r="G947" t="s">
        <v>2136</v>
      </c>
      <c r="H947" s="11">
        <v>181.13</v>
      </c>
      <c r="I947" s="10">
        <f>H947*(1-IFERROR(VLOOKUP(G947,Rabat!$C$9:$D$43,2,0),0))</f>
        <v>181.13</v>
      </c>
      <c r="J947" t="s">
        <v>1815</v>
      </c>
      <c r="K947" t="s">
        <v>2164</v>
      </c>
      <c r="L947" t="s">
        <v>1813</v>
      </c>
      <c r="M947">
        <v>1</v>
      </c>
      <c r="N947">
        <v>55</v>
      </c>
      <c r="O947" t="s">
        <v>1818</v>
      </c>
      <c r="P947" s="12" t="str">
        <f>HYPERLINK("https://b2b.kobi.pl/pl/product/9770,wentylator-wiezowy-hoorn-45w-czarny-kobi?currency=PLN")</f>
        <v>https://b2b.kobi.pl/pl/product/9770,wentylator-wiezowy-hoorn-45w-czarny-kobi?currency=PLN</v>
      </c>
      <c r="Q947" t="s">
        <v>14</v>
      </c>
      <c r="R947"/>
      <c r="S947" t="s">
        <v>2626</v>
      </c>
      <c r="T947">
        <v>0.82</v>
      </c>
      <c r="U947">
        <v>2</v>
      </c>
      <c r="V947">
        <v>2.39</v>
      </c>
      <c r="W947">
        <v>84.5</v>
      </c>
      <c r="X947">
        <v>15.5</v>
      </c>
      <c r="Y947">
        <v>17</v>
      </c>
    </row>
    <row r="948" spans="1:25" ht="60" customHeight="1" x14ac:dyDescent="0.25">
      <c r="A948"/>
      <c r="B948" t="s">
        <v>2131</v>
      </c>
      <c r="C948" t="s">
        <v>2132</v>
      </c>
      <c r="D948" t="s">
        <v>2133</v>
      </c>
      <c r="E948" t="s">
        <v>2137</v>
      </c>
      <c r="F948" t="s">
        <v>2138</v>
      </c>
      <c r="G948" t="s">
        <v>2136</v>
      </c>
      <c r="H948" s="11">
        <v>134.75</v>
      </c>
      <c r="I948" s="10">
        <f>H948*(1-IFERROR(VLOOKUP(G948,Rabat!$C$9:$D$43,2,0),0))</f>
        <v>134.75</v>
      </c>
      <c r="J948" t="s">
        <v>1815</v>
      </c>
      <c r="K948" t="s">
        <v>2165</v>
      </c>
      <c r="L948" t="s">
        <v>1813</v>
      </c>
      <c r="M948">
        <v>1</v>
      </c>
      <c r="N948">
        <v>60</v>
      </c>
      <c r="O948" t="s">
        <v>1818</v>
      </c>
      <c r="P948" s="12" t="str">
        <f>HYPERLINK("https://b2b.kobi.pl/pl/product/9771,wentylator-wiezowy-venlo-45w-czarny-kobi?currency=PLN")</f>
        <v>https://b2b.kobi.pl/pl/product/9771,wentylator-wiezowy-venlo-45w-czarny-kobi?currency=PLN</v>
      </c>
      <c r="Q948" t="s">
        <v>14</v>
      </c>
      <c r="R948"/>
      <c r="S948" t="s">
        <v>2626</v>
      </c>
      <c r="T948">
        <v>0.75</v>
      </c>
      <c r="U948">
        <v>1.82</v>
      </c>
      <c r="V948">
        <v>2.5</v>
      </c>
      <c r="W948">
        <v>16.5</v>
      </c>
      <c r="X948">
        <v>15.5</v>
      </c>
      <c r="Y948">
        <v>81.5</v>
      </c>
    </row>
    <row r="949" spans="1:25" ht="60" customHeight="1" x14ac:dyDescent="0.25">
      <c r="A949"/>
      <c r="B949" t="s">
        <v>2131</v>
      </c>
      <c r="C949" t="s">
        <v>2132</v>
      </c>
      <c r="D949" t="s">
        <v>2133</v>
      </c>
      <c r="E949" t="s">
        <v>2490</v>
      </c>
      <c r="F949" t="s">
        <v>2139</v>
      </c>
      <c r="G949" t="s">
        <v>2136</v>
      </c>
      <c r="H949" s="11">
        <v>272.5</v>
      </c>
      <c r="I949" s="10">
        <f>H949*(1-IFERROR(VLOOKUP(G949,Rabat!$C$9:$D$43,2,0),0))</f>
        <v>272.5</v>
      </c>
      <c r="J949" t="s">
        <v>1815</v>
      </c>
      <c r="K949" t="s">
        <v>2166</v>
      </c>
      <c r="L949" t="s">
        <v>1813</v>
      </c>
      <c r="M949">
        <v>1</v>
      </c>
      <c r="N949">
        <v>20</v>
      </c>
      <c r="O949" t="s">
        <v>1818</v>
      </c>
      <c r="P949" s="12" t="str">
        <f>HYPERLINK("https://b2b.kobi.pl/pl/product/10755,wentylator-podlogowy-viento-100w-kobi-windstar?currency=PLN")</f>
        <v>https://b2b.kobi.pl/pl/product/10755,wentylator-podlogowy-viento-100w-kobi-windstar?currency=PLN</v>
      </c>
      <c r="Q949" t="s">
        <v>14</v>
      </c>
      <c r="R949"/>
      <c r="S949" t="s">
        <v>2626</v>
      </c>
      <c r="T949">
        <v>2.0299999999999998</v>
      </c>
      <c r="U949">
        <v>4.95</v>
      </c>
      <c r="V949">
        <v>5.56</v>
      </c>
      <c r="W949">
        <v>54.5</v>
      </c>
      <c r="X949">
        <v>56.5</v>
      </c>
      <c r="Y949">
        <v>21.5</v>
      </c>
    </row>
    <row r="950" spans="1:25" ht="60" customHeight="1" x14ac:dyDescent="0.25">
      <c r="A950"/>
      <c r="B950" t="s">
        <v>2131</v>
      </c>
      <c r="C950" t="s">
        <v>2132</v>
      </c>
      <c r="D950" t="s">
        <v>2133</v>
      </c>
      <c r="E950" t="s">
        <v>3612</v>
      </c>
      <c r="F950" t="s">
        <v>3613</v>
      </c>
      <c r="G950" t="s">
        <v>2136</v>
      </c>
      <c r="H950" s="11">
        <v>121.25</v>
      </c>
      <c r="I950" s="10">
        <f>H950*(1-IFERROR(VLOOKUP(G950,Rabat!$C$9:$D$43,2,0),0))</f>
        <v>121.25</v>
      </c>
      <c r="J950" t="s">
        <v>1815</v>
      </c>
      <c r="K950" t="s">
        <v>3650</v>
      </c>
      <c r="L950" t="s">
        <v>1813</v>
      </c>
      <c r="M950">
        <v>1</v>
      </c>
      <c r="N950">
        <v>52</v>
      </c>
      <c r="O950" t="s">
        <v>1818</v>
      </c>
      <c r="P950" s="12" t="str">
        <f>HYPERLINK("https://b2b.kobi.pl/pl/product/10757,wentylator-podlogowy-viento-45w-czarny-kobi-windstar?currency=PLN")</f>
        <v>https://b2b.kobi.pl/pl/product/10757,wentylator-podlogowy-viento-45w-czarny-kobi-windstar?currency=PLN</v>
      </c>
      <c r="Q950" t="s">
        <v>14</v>
      </c>
      <c r="R950"/>
      <c r="S950" t="s">
        <v>2626</v>
      </c>
      <c r="T950">
        <v>0.93</v>
      </c>
      <c r="U950">
        <v>2.2599999999999998</v>
      </c>
      <c r="V950">
        <v>2.65</v>
      </c>
      <c r="W950">
        <v>48</v>
      </c>
      <c r="X950">
        <v>44</v>
      </c>
      <c r="Y950">
        <v>13.5</v>
      </c>
    </row>
    <row r="951" spans="1:25" ht="60" customHeight="1" x14ac:dyDescent="0.25">
      <c r="A951"/>
      <c r="B951" t="s">
        <v>2131</v>
      </c>
      <c r="C951" t="s">
        <v>2132</v>
      </c>
      <c r="D951" t="s">
        <v>2133</v>
      </c>
      <c r="E951" t="s">
        <v>2140</v>
      </c>
      <c r="F951" t="s">
        <v>2141</v>
      </c>
      <c r="G951" t="s">
        <v>2136</v>
      </c>
      <c r="H951" s="11">
        <v>212.25</v>
      </c>
      <c r="I951" s="10">
        <f>H951*(1-IFERROR(VLOOKUP(G951,Rabat!$C$9:$D$43,2,0),0))</f>
        <v>212.25</v>
      </c>
      <c r="J951" t="s">
        <v>1815</v>
      </c>
      <c r="K951" t="s">
        <v>2167</v>
      </c>
      <c r="L951" t="s">
        <v>1813</v>
      </c>
      <c r="M951">
        <v>1</v>
      </c>
      <c r="N951">
        <v>40</v>
      </c>
      <c r="O951" t="s">
        <v>1818</v>
      </c>
      <c r="P951" s="12" t="str">
        <f>HYPERLINK("https://b2b.kobi.pl/pl/product/12121,wentylator-wiezowy-lisse-2-st-45w-czarny-kobi-windstar?currency=PLN")</f>
        <v>https://b2b.kobi.pl/pl/product/12121,wentylator-wiezowy-lisse-2-st-45w-czarny-kobi-windstar?currency=PLN</v>
      </c>
      <c r="Q951" t="s">
        <v>14</v>
      </c>
      <c r="R951"/>
      <c r="S951" t="s">
        <v>2626</v>
      </c>
      <c r="T951">
        <v>0.9</v>
      </c>
      <c r="U951">
        <v>2.2000000000000002</v>
      </c>
      <c r="V951">
        <v>2.6</v>
      </c>
      <c r="W951">
        <v>18.5</v>
      </c>
      <c r="X951">
        <v>18.5</v>
      </c>
      <c r="Y951">
        <v>93.5</v>
      </c>
    </row>
    <row r="952" spans="1:25" ht="60" customHeight="1" x14ac:dyDescent="0.25">
      <c r="A952"/>
      <c r="B952" t="s">
        <v>2131</v>
      </c>
      <c r="C952" t="s">
        <v>2132</v>
      </c>
      <c r="D952" t="s">
        <v>2133</v>
      </c>
      <c r="E952" t="s">
        <v>2142</v>
      </c>
      <c r="F952" t="s">
        <v>2143</v>
      </c>
      <c r="G952" t="s">
        <v>2136</v>
      </c>
      <c r="H952" s="11">
        <v>147.5</v>
      </c>
      <c r="I952" s="10">
        <f>H952*(1-IFERROR(VLOOKUP(G952,Rabat!$C$9:$D$43,2,0),0))</f>
        <v>147.5</v>
      </c>
      <c r="J952" t="s">
        <v>1815</v>
      </c>
      <c r="K952" t="s">
        <v>2168</v>
      </c>
      <c r="L952" t="s">
        <v>1813</v>
      </c>
      <c r="M952">
        <v>1</v>
      </c>
      <c r="N952">
        <v>63</v>
      </c>
      <c r="O952" t="s">
        <v>1818</v>
      </c>
      <c r="P952" s="12" t="str">
        <f>HYPERLINK("https://b2b.kobi.pl/pl/product/12120,wentylator-wiezowy-venlo-2-45w-czarny-kobi-windstar?currency=PLN")</f>
        <v>https://b2b.kobi.pl/pl/product/12120,wentylator-wiezowy-venlo-2-45w-czarny-kobi-windstar?currency=PLN</v>
      </c>
      <c r="Q952" t="s">
        <v>14</v>
      </c>
      <c r="R952"/>
      <c r="S952" t="s">
        <v>2626</v>
      </c>
      <c r="T952">
        <v>0.82</v>
      </c>
      <c r="U952">
        <v>2</v>
      </c>
      <c r="V952">
        <v>2.5</v>
      </c>
      <c r="W952">
        <v>16.5</v>
      </c>
      <c r="X952">
        <v>15.5</v>
      </c>
      <c r="Y952">
        <v>81.5</v>
      </c>
    </row>
    <row r="953" spans="1:25" ht="60" customHeight="1" x14ac:dyDescent="0.25">
      <c r="A953"/>
      <c r="B953" t="s">
        <v>2131</v>
      </c>
      <c r="C953" t="s">
        <v>2132</v>
      </c>
      <c r="D953" t="s">
        <v>2133</v>
      </c>
      <c r="E953" t="s">
        <v>3406</v>
      </c>
      <c r="F953" t="s">
        <v>3407</v>
      </c>
      <c r="G953" t="s">
        <v>2136</v>
      </c>
      <c r="H953" s="11">
        <v>212.5</v>
      </c>
      <c r="I953" s="10">
        <f>H953*(1-IFERROR(VLOOKUP(G953,Rabat!$C$9:$D$43,2,0),0))</f>
        <v>212.5</v>
      </c>
      <c r="J953" t="s">
        <v>1815</v>
      </c>
      <c r="K953" t="s">
        <v>3442</v>
      </c>
      <c r="L953" t="s">
        <v>1813</v>
      </c>
      <c r="M953">
        <v>4</v>
      </c>
      <c r="N953">
        <v>24</v>
      </c>
      <c r="O953" t="s">
        <v>1818</v>
      </c>
      <c r="P953" s="12" t="str">
        <f>HYPERLINK("https://b2b.kobi.pl/pl/product/13044,plafon-led-z-wentylatorem-ventelux-24w-15w-3cct-bialy-kobi-windstar?currency=PLN")</f>
        <v>https://b2b.kobi.pl/pl/product/13044,plafon-led-z-wentylatorem-ventelux-24w-15w-3cct-bialy-kobi-windstar?currency=PLN</v>
      </c>
      <c r="Q953" s="12" t="str">
        <f>HYPERLINK("https://eprel.ec.europa.eu/qr/2458402")</f>
        <v>https://eprel.ec.europa.eu/qr/2458402</v>
      </c>
      <c r="R953"/>
      <c r="S953" t="s">
        <v>2571</v>
      </c>
      <c r="T953">
        <v>1.1200000000000001</v>
      </c>
      <c r="U953">
        <v>1.33</v>
      </c>
      <c r="V953">
        <v>2</v>
      </c>
      <c r="W953">
        <v>47</v>
      </c>
      <c r="X953">
        <v>14.5</v>
      </c>
      <c r="Y953">
        <v>47</v>
      </c>
    </row>
    <row r="954" spans="1:25" ht="60" customHeight="1" x14ac:dyDescent="0.25">
      <c r="A954"/>
      <c r="B954" t="s">
        <v>2131</v>
      </c>
      <c r="C954" t="s">
        <v>2132</v>
      </c>
      <c r="D954" t="s">
        <v>2133</v>
      </c>
      <c r="E954" t="s">
        <v>3550</v>
      </c>
      <c r="F954" t="s">
        <v>3551</v>
      </c>
      <c r="G954" t="s">
        <v>2136</v>
      </c>
      <c r="H954" s="11">
        <v>121.25</v>
      </c>
      <c r="I954" s="10">
        <f>H954*(1-IFERROR(VLOOKUP(G954,Rabat!$C$9:$D$43,2,0),0))</f>
        <v>121.25</v>
      </c>
      <c r="J954" t="s">
        <v>1815</v>
      </c>
      <c r="K954" t="s">
        <v>3555</v>
      </c>
      <c r="L954" t="s">
        <v>1813</v>
      </c>
      <c r="M954">
        <v>1</v>
      </c>
      <c r="N954">
        <v>52</v>
      </c>
      <c r="O954" t="s">
        <v>1818</v>
      </c>
      <c r="P954" s="12" t="str">
        <f>HYPERLINK("https://b2b.kobi.pl/pl/product/10756,wentylator-podlogowy-viento-45w-bialy-kobi-windstar?currency=PLN")</f>
        <v>https://b2b.kobi.pl/pl/product/10756,wentylator-podlogowy-viento-45w-bialy-kobi-windstar?currency=PLN</v>
      </c>
      <c r="Q954" t="s">
        <v>14</v>
      </c>
      <c r="R954"/>
      <c r="S954" t="s">
        <v>2626</v>
      </c>
      <c r="T954">
        <v>0.91</v>
      </c>
      <c r="U954">
        <v>2.21</v>
      </c>
      <c r="V954">
        <v>2.6</v>
      </c>
      <c r="W954">
        <v>48</v>
      </c>
      <c r="X954">
        <v>44</v>
      </c>
      <c r="Y954">
        <v>13.5</v>
      </c>
    </row>
    <row r="955" spans="1:25" ht="60" customHeight="1" x14ac:dyDescent="0.25">
      <c r="A955"/>
      <c r="B955" t="s">
        <v>2131</v>
      </c>
      <c r="C955" t="s">
        <v>2132</v>
      </c>
      <c r="D955" t="s">
        <v>2133</v>
      </c>
      <c r="E955" t="s">
        <v>3408</v>
      </c>
      <c r="F955" t="s">
        <v>3409</v>
      </c>
      <c r="G955" t="s">
        <v>2136</v>
      </c>
      <c r="H955" s="11">
        <v>272.5</v>
      </c>
      <c r="I955" s="10">
        <f>H955*(1-IFERROR(VLOOKUP(G955,Rabat!$C$9:$D$43,2,0),0))</f>
        <v>272.5</v>
      </c>
      <c r="J955" t="s">
        <v>1815</v>
      </c>
      <c r="K955" t="s">
        <v>3443</v>
      </c>
      <c r="L955" t="s">
        <v>1813</v>
      </c>
      <c r="M955">
        <v>2</v>
      </c>
      <c r="N955">
        <v>24</v>
      </c>
      <c r="O955" t="s">
        <v>1818</v>
      </c>
      <c r="P955" s="12" t="str">
        <f>HYPERLINK("https://b2b.kobi.pl/pl/product/13045,plafon-led-z-wentylatorem-ventelux-48w-15w-3cct-czarny-kobi-windstar?currency=PLN")</f>
        <v>https://b2b.kobi.pl/pl/product/13045,plafon-led-z-wentylatorem-ventelux-48w-15w-3cct-czarny-kobi-windstar?currency=PLN</v>
      </c>
      <c r="Q955" s="12" t="str">
        <f>HYPERLINK("https://eprel.ec.europa.eu/qr/2458130")</f>
        <v>https://eprel.ec.europa.eu/qr/2458130</v>
      </c>
      <c r="R955"/>
      <c r="S955" t="s">
        <v>2571</v>
      </c>
      <c r="T955">
        <v>1.1200000000000001</v>
      </c>
      <c r="U955">
        <v>1.33</v>
      </c>
      <c r="V955">
        <v>2</v>
      </c>
      <c r="W955">
        <v>51</v>
      </c>
      <c r="X955">
        <v>14.5</v>
      </c>
      <c r="Y955">
        <v>51</v>
      </c>
    </row>
    <row r="956" spans="1:25" ht="60" customHeight="1" x14ac:dyDescent="0.25">
      <c r="A956"/>
      <c r="B956" t="s">
        <v>2131</v>
      </c>
      <c r="C956" t="s">
        <v>2132</v>
      </c>
      <c r="D956" t="s">
        <v>2133</v>
      </c>
      <c r="E956" t="s">
        <v>3614</v>
      </c>
      <c r="F956" t="s">
        <v>3615</v>
      </c>
      <c r="G956" t="s">
        <v>2136</v>
      </c>
      <c r="H956" s="11">
        <v>99.75</v>
      </c>
      <c r="I956" s="10">
        <f>H956*(1-IFERROR(VLOOKUP(G956,Rabat!$C$9:$D$43,2,0),0))</f>
        <v>99.75</v>
      </c>
      <c r="J956" t="s">
        <v>1815</v>
      </c>
      <c r="K956" t="s">
        <v>3651</v>
      </c>
      <c r="L956" t="s">
        <v>1813</v>
      </c>
      <c r="M956">
        <v>1</v>
      </c>
      <c r="N956">
        <v>54</v>
      </c>
      <c r="O956" t="s">
        <v>1818</v>
      </c>
      <c r="P956" s="12" t="str">
        <f>HYPERLINK("https://b2b.kobi.pl/pl/product/10758,wentylator-biurkowy-viento-40w-bialy-kobi-windstar?currency=PLN")</f>
        <v>https://b2b.kobi.pl/pl/product/10758,wentylator-biurkowy-viento-40w-bialy-kobi-windstar?currency=PLN</v>
      </c>
      <c r="Q956" t="s">
        <v>14</v>
      </c>
      <c r="R956"/>
      <c r="S956" t="s">
        <v>2626</v>
      </c>
      <c r="T956">
        <v>0.62</v>
      </c>
      <c r="U956">
        <v>1.6</v>
      </c>
      <c r="V956">
        <v>1.94</v>
      </c>
      <c r="W956">
        <v>34.5</v>
      </c>
      <c r="X956">
        <v>17.5</v>
      </c>
      <c r="Y956">
        <v>37.5</v>
      </c>
    </row>
    <row r="957" spans="1:25" ht="60" customHeight="1" x14ac:dyDescent="0.25">
      <c r="A957"/>
      <c r="B957" t="s">
        <v>2131</v>
      </c>
      <c r="C957" t="s">
        <v>2132</v>
      </c>
      <c r="D957" t="s">
        <v>2133</v>
      </c>
      <c r="E957" t="s">
        <v>3410</v>
      </c>
      <c r="F957" t="s">
        <v>3411</v>
      </c>
      <c r="G957" t="s">
        <v>2136</v>
      </c>
      <c r="H957" s="11">
        <v>324.75</v>
      </c>
      <c r="I957" s="10">
        <f>H957*(1-IFERROR(VLOOKUP(G957,Rabat!$C$9:$D$43,2,0),0))</f>
        <v>324.75</v>
      </c>
      <c r="J957" t="s">
        <v>1815</v>
      </c>
      <c r="K957" t="s">
        <v>3444</v>
      </c>
      <c r="L957" t="s">
        <v>1813</v>
      </c>
      <c r="M957">
        <v>2</v>
      </c>
      <c r="N957">
        <v>24</v>
      </c>
      <c r="O957" t="s">
        <v>1818</v>
      </c>
      <c r="P957" s="12" t="str">
        <f>HYPERLINK("https://b2b.kobi.pl/pl/product/13046,plafon-led-z-wentylatorem-ventelux-48w-15w-3cct-rgb-kobi-windstar?currency=PLN")</f>
        <v>https://b2b.kobi.pl/pl/product/13046,plafon-led-z-wentylatorem-ventelux-48w-15w-3cct-rgb-kobi-windstar?currency=PLN</v>
      </c>
      <c r="Q957" s="12" t="str">
        <f>HYPERLINK("https://eprel.ec.europa.eu/qr/2458181")</f>
        <v>https://eprel.ec.europa.eu/qr/2458181</v>
      </c>
      <c r="R957"/>
      <c r="S957" t="s">
        <v>2571</v>
      </c>
      <c r="T957">
        <v>0</v>
      </c>
      <c r="U957">
        <v>1.4</v>
      </c>
      <c r="V957">
        <v>2</v>
      </c>
      <c r="W957">
        <v>51</v>
      </c>
      <c r="X957">
        <v>14.5</v>
      </c>
      <c r="Y957">
        <v>51</v>
      </c>
    </row>
    <row r="958" spans="1:25" ht="60" customHeight="1" x14ac:dyDescent="0.25">
      <c r="A958"/>
      <c r="B958" t="s">
        <v>2131</v>
      </c>
      <c r="C958" t="s">
        <v>2132</v>
      </c>
      <c r="D958" t="s">
        <v>2133</v>
      </c>
      <c r="E958" t="s">
        <v>3616</v>
      </c>
      <c r="F958" t="s">
        <v>3617</v>
      </c>
      <c r="G958" t="s">
        <v>2136</v>
      </c>
      <c r="H958" s="11">
        <v>324.75</v>
      </c>
      <c r="I958" s="10">
        <f>H958*(1-IFERROR(VLOOKUP(G958,Rabat!$C$9:$D$43,2,0),0))</f>
        <v>324.75</v>
      </c>
      <c r="J958" t="s">
        <v>1815</v>
      </c>
      <c r="K958" t="s">
        <v>3652</v>
      </c>
      <c r="L958" t="s">
        <v>1813</v>
      </c>
      <c r="M958">
        <v>1</v>
      </c>
      <c r="N958">
        <v>25</v>
      </c>
      <c r="O958" t="s">
        <v>1818</v>
      </c>
      <c r="P958" s="12" t="str">
        <f>HYPERLINK("https://b2b.kobi.pl/pl/product/13040,klimator-ewaporacyjny-viento-cool-r-65w-czarny-kobi-windstar?currency=PLN")</f>
        <v>https://b2b.kobi.pl/pl/product/13040,klimator-ewaporacyjny-viento-cool-r-65w-czarny-kobi-windstar?currency=PLN</v>
      </c>
      <c r="Q958" t="s">
        <v>14</v>
      </c>
      <c r="R958"/>
      <c r="S958" t="s">
        <v>3653</v>
      </c>
      <c r="T958">
        <v>1.76</v>
      </c>
      <c r="U958">
        <v>4.3</v>
      </c>
      <c r="V958">
        <v>5.58</v>
      </c>
      <c r="W958">
        <v>32.5</v>
      </c>
      <c r="X958">
        <v>28.5</v>
      </c>
      <c r="Y958">
        <v>60.5</v>
      </c>
    </row>
    <row r="959" spans="1:25" ht="60" customHeight="1" x14ac:dyDescent="0.25">
      <c r="A959"/>
      <c r="B959" t="s">
        <v>2131</v>
      </c>
      <c r="C959" t="s">
        <v>2132</v>
      </c>
      <c r="D959" t="s">
        <v>2133</v>
      </c>
      <c r="E959" t="s">
        <v>3618</v>
      </c>
      <c r="F959" t="s">
        <v>3619</v>
      </c>
      <c r="G959" t="s">
        <v>2136</v>
      </c>
      <c r="H959" s="11">
        <v>99.75</v>
      </c>
      <c r="I959" s="10">
        <f>H959*(1-IFERROR(VLOOKUP(G959,Rabat!$C$9:$D$43,2,0),0))</f>
        <v>99.75</v>
      </c>
      <c r="J959" t="s">
        <v>1815</v>
      </c>
      <c r="K959" t="s">
        <v>3654</v>
      </c>
      <c r="L959" t="s">
        <v>1813</v>
      </c>
      <c r="M959">
        <v>1</v>
      </c>
      <c r="N959">
        <v>54</v>
      </c>
      <c r="O959" t="s">
        <v>1818</v>
      </c>
      <c r="P959" s="12" t="str">
        <f>HYPERLINK("https://b2b.kobi.pl/pl/product/13023,wentylator-biurkowy-viento-40w-czarny-kobi-windstar?currency=PLN")</f>
        <v>https://b2b.kobi.pl/pl/product/13023,wentylator-biurkowy-viento-40w-czarny-kobi-windstar?currency=PLN</v>
      </c>
      <c r="Q959" t="s">
        <v>14</v>
      </c>
      <c r="R959"/>
      <c r="S959" t="s">
        <v>2626</v>
      </c>
      <c r="T959">
        <v>0.62</v>
      </c>
      <c r="U959">
        <v>1.6</v>
      </c>
      <c r="V959">
        <v>1.94</v>
      </c>
      <c r="W959">
        <v>34.5</v>
      </c>
      <c r="X959">
        <v>17.5</v>
      </c>
      <c r="Y959">
        <v>37.5</v>
      </c>
    </row>
    <row r="960" spans="1:25" ht="60" customHeight="1" x14ac:dyDescent="0.25">
      <c r="A960"/>
      <c r="B960" t="s">
        <v>2131</v>
      </c>
      <c r="C960" t="s">
        <v>2132</v>
      </c>
      <c r="D960" t="s">
        <v>2133</v>
      </c>
      <c r="E960" t="s">
        <v>3620</v>
      </c>
      <c r="F960" t="s">
        <v>3621</v>
      </c>
      <c r="G960" t="s">
        <v>2136</v>
      </c>
      <c r="H960" s="11">
        <v>322.5</v>
      </c>
      <c r="I960" s="10">
        <f>H960*(1-IFERROR(VLOOKUP(G960,Rabat!$C$9:$D$43,2,0),0))</f>
        <v>322.5</v>
      </c>
      <c r="J960" t="s">
        <v>1815</v>
      </c>
      <c r="K960" t="s">
        <v>3655</v>
      </c>
      <c r="L960" t="s">
        <v>1813</v>
      </c>
      <c r="M960">
        <v>1</v>
      </c>
      <c r="N960">
        <v>14</v>
      </c>
      <c r="O960" t="s">
        <v>1818</v>
      </c>
      <c r="P960" s="12" t="str">
        <f>HYPERLINK("https://b2b.kobi.pl/pl/product/13026,wentylator-podlogowy-viento-200w-kobi-windstar?currency=PLN")</f>
        <v>https://b2b.kobi.pl/pl/product/13026,wentylator-podlogowy-viento-200w-kobi-windstar?currency=PLN</v>
      </c>
      <c r="Q960" t="s">
        <v>14</v>
      </c>
      <c r="R960"/>
      <c r="S960" t="s">
        <v>2626</v>
      </c>
      <c r="T960">
        <v>2.1</v>
      </c>
      <c r="U960">
        <v>5.12</v>
      </c>
      <c r="V960">
        <v>6.14</v>
      </c>
      <c r="W960">
        <v>57.5</v>
      </c>
      <c r="X960">
        <v>61</v>
      </c>
      <c r="Y960">
        <v>21.5</v>
      </c>
    </row>
    <row r="961" spans="1:25" ht="60" customHeight="1" x14ac:dyDescent="0.25">
      <c r="A961"/>
      <c r="B961" t="s">
        <v>2131</v>
      </c>
      <c r="C961" t="s">
        <v>2132</v>
      </c>
      <c r="D961" t="s">
        <v>2133</v>
      </c>
      <c r="E961" t="s">
        <v>3622</v>
      </c>
      <c r="F961" t="s">
        <v>3623</v>
      </c>
      <c r="G961" t="s">
        <v>2136</v>
      </c>
      <c r="H961" s="11">
        <v>144.75</v>
      </c>
      <c r="I961" s="10">
        <f>H961*(1-IFERROR(VLOOKUP(G961,Rabat!$C$9:$D$43,2,0),0))</f>
        <v>144.75</v>
      </c>
      <c r="J961" t="s">
        <v>1815</v>
      </c>
      <c r="K961" t="s">
        <v>3656</v>
      </c>
      <c r="L961" t="s">
        <v>1813</v>
      </c>
      <c r="M961">
        <v>1</v>
      </c>
      <c r="N961">
        <v>40</v>
      </c>
      <c r="O961" t="s">
        <v>1818</v>
      </c>
      <c r="P961" s="12" t="str">
        <f>HYPERLINK("https://b2b.kobi.pl/pl/product/13024,wentylator-podlogowy-viento-r-40w-bialy-kobi-windstar?currency=PLN")</f>
        <v>https://b2b.kobi.pl/pl/product/13024,wentylator-podlogowy-viento-r-40w-bialy-kobi-windstar?currency=PLN</v>
      </c>
      <c r="Q961" t="s">
        <v>14</v>
      </c>
      <c r="R961"/>
      <c r="S961" t="s">
        <v>2626</v>
      </c>
      <c r="T961">
        <v>0.82</v>
      </c>
      <c r="U961">
        <v>2</v>
      </c>
      <c r="V961">
        <v>2.61</v>
      </c>
      <c r="W961">
        <v>57.5</v>
      </c>
      <c r="X961">
        <v>40</v>
      </c>
      <c r="Y961">
        <v>14</v>
      </c>
    </row>
    <row r="962" spans="1:25" ht="60" customHeight="1" x14ac:dyDescent="0.25">
      <c r="A962"/>
      <c r="B962" t="s">
        <v>2131</v>
      </c>
      <c r="C962" t="s">
        <v>2132</v>
      </c>
      <c r="D962" t="s">
        <v>2133</v>
      </c>
      <c r="E962" t="s">
        <v>3624</v>
      </c>
      <c r="F962" t="s">
        <v>3625</v>
      </c>
      <c r="G962" t="s">
        <v>2136</v>
      </c>
      <c r="H962" s="11">
        <v>144.75</v>
      </c>
      <c r="I962" s="10">
        <f>H962*(1-IFERROR(VLOOKUP(G962,Rabat!$C$9:$D$43,2,0),0))</f>
        <v>144.75</v>
      </c>
      <c r="J962" t="s">
        <v>1815</v>
      </c>
      <c r="K962" t="s">
        <v>3657</v>
      </c>
      <c r="L962" t="s">
        <v>1813</v>
      </c>
      <c r="M962">
        <v>1</v>
      </c>
      <c r="N962">
        <v>40</v>
      </c>
      <c r="O962" t="s">
        <v>1818</v>
      </c>
      <c r="P962" s="12" t="str">
        <f>HYPERLINK("https://b2b.kobi.pl/pl/product/13025,wentylator-podlogowy-viento-r-40w-czarny-kobi-windstar?currency=PLN")</f>
        <v>https://b2b.kobi.pl/pl/product/13025,wentylator-podlogowy-viento-r-40w-czarny-kobi-windstar?currency=PLN</v>
      </c>
      <c r="Q962" t="s">
        <v>14</v>
      </c>
      <c r="R962"/>
      <c r="S962" t="s">
        <v>2626</v>
      </c>
      <c r="T962">
        <v>0.8</v>
      </c>
      <c r="U962">
        <v>1.96</v>
      </c>
      <c r="V962">
        <v>2.4500000000000002</v>
      </c>
      <c r="W962">
        <v>57.5</v>
      </c>
      <c r="X962">
        <v>40</v>
      </c>
      <c r="Y962">
        <v>14</v>
      </c>
    </row>
    <row r="963" spans="1:25" ht="60" customHeight="1" x14ac:dyDescent="0.25">
      <c r="A963"/>
      <c r="B963" t="s">
        <v>2131</v>
      </c>
      <c r="C963" t="s">
        <v>2132</v>
      </c>
      <c r="D963" t="s">
        <v>2133</v>
      </c>
      <c r="E963" t="s">
        <v>3626</v>
      </c>
      <c r="F963" t="s">
        <v>3627</v>
      </c>
      <c r="G963" t="s">
        <v>2136</v>
      </c>
      <c r="H963" s="11">
        <v>324.75</v>
      </c>
      <c r="I963" s="10">
        <f>H963*(1-IFERROR(VLOOKUP(G963,Rabat!$C$9:$D$43,2,0),0))</f>
        <v>324.75</v>
      </c>
      <c r="J963" t="s">
        <v>1815</v>
      </c>
      <c r="K963" t="s">
        <v>3658</v>
      </c>
      <c r="L963" t="s">
        <v>1813</v>
      </c>
      <c r="M963">
        <v>1</v>
      </c>
      <c r="N963">
        <v>25</v>
      </c>
      <c r="O963" t="s">
        <v>1818</v>
      </c>
      <c r="P963" s="12" t="str">
        <f>HYPERLINK("https://b2b.kobi.pl/pl/product/13041,klimator-ewaporacyjny-viento-cool-65w-bialy-kobi-windstar?currency=PLN")</f>
        <v>https://b2b.kobi.pl/pl/product/13041,klimator-ewaporacyjny-viento-cool-65w-bialy-kobi-windstar?currency=PLN</v>
      </c>
      <c r="Q963" t="s">
        <v>14</v>
      </c>
      <c r="R963"/>
      <c r="S963" t="s">
        <v>3653</v>
      </c>
      <c r="T963">
        <v>2.0099999999999998</v>
      </c>
      <c r="U963">
        <v>4.9000000000000004</v>
      </c>
      <c r="V963">
        <v>5.78</v>
      </c>
      <c r="W963">
        <v>32.5</v>
      </c>
      <c r="X963">
        <v>27</v>
      </c>
      <c r="Y963">
        <v>62.5</v>
      </c>
    </row>
    <row r="964" spans="1:25" ht="60" customHeight="1" x14ac:dyDescent="0.25">
      <c r="A964"/>
      <c r="B964" t="s">
        <v>621</v>
      </c>
      <c r="C964" t="s">
        <v>5</v>
      </c>
      <c r="D964" t="s">
        <v>16</v>
      </c>
      <c r="E964" t="s">
        <v>789</v>
      </c>
      <c r="F964" t="s">
        <v>790</v>
      </c>
      <c r="G964" t="s">
        <v>620</v>
      </c>
      <c r="H964" s="11">
        <v>77.56</v>
      </c>
      <c r="I964" s="10">
        <f>H964*(1-IFERROR(VLOOKUP(G964,Rabat!$C$9:$D$43,2,0),0))</f>
        <v>77.56</v>
      </c>
      <c r="J964" t="s">
        <v>1815</v>
      </c>
      <c r="K964" t="s">
        <v>463</v>
      </c>
      <c r="L964" t="s">
        <v>1813</v>
      </c>
      <c r="M964">
        <v>48</v>
      </c>
      <c r="N964"/>
      <c r="O964" t="s">
        <v>1818</v>
      </c>
      <c r="P964" s="12" t="str">
        <f>HYPERLINK("https://b2b.kobi.pl/pl/product/9767,latarka-led-x-mpr-5w-6000k-ip54-led2b?currency=PLN")</f>
        <v>https://b2b.kobi.pl/pl/product/9767,latarka-led-x-mpr-5w-6000k-ip54-led2b?currency=PLN</v>
      </c>
      <c r="Q964" t="s">
        <v>14</v>
      </c>
      <c r="R964"/>
      <c r="S964" t="s">
        <v>2607</v>
      </c>
      <c r="T964">
        <v>0.17</v>
      </c>
      <c r="U964">
        <v>0.2</v>
      </c>
      <c r="V964">
        <v>0.2</v>
      </c>
      <c r="W964">
        <v>16.600000000000001</v>
      </c>
      <c r="X964">
        <v>3.2</v>
      </c>
      <c r="Y964">
        <v>5.3</v>
      </c>
    </row>
    <row r="965" spans="1:25" ht="60" customHeight="1" x14ac:dyDescent="0.25">
      <c r="A965"/>
      <c r="B965" t="s">
        <v>621</v>
      </c>
      <c r="C965" t="s">
        <v>5</v>
      </c>
      <c r="D965" t="s">
        <v>16</v>
      </c>
      <c r="E965" t="s">
        <v>791</v>
      </c>
      <c r="F965" t="s">
        <v>792</v>
      </c>
      <c r="G965" t="s">
        <v>620</v>
      </c>
      <c r="H965" s="11">
        <v>23.33</v>
      </c>
      <c r="I965" s="10">
        <f>H965*(1-IFERROR(VLOOKUP(G965,Rabat!$C$9:$D$43,2,0),0))</f>
        <v>23.33</v>
      </c>
      <c r="J965" t="s">
        <v>1815</v>
      </c>
      <c r="K965" t="s">
        <v>464</v>
      </c>
      <c r="L965" t="s">
        <v>1813</v>
      </c>
      <c r="M965">
        <v>40</v>
      </c>
      <c r="N965">
        <v>1600</v>
      </c>
      <c r="O965" t="s">
        <v>1818</v>
      </c>
      <c r="P965" s="12" t="str">
        <f>HYPERLINK("https://b2b.kobi.pl/pl/product/9768,latarka-led-x-mpr-micro-cct-led2b?currency=PLN")</f>
        <v>https://b2b.kobi.pl/pl/product/9768,latarka-led-x-mpr-micro-cct-led2b?currency=PLN</v>
      </c>
      <c r="Q965" t="s">
        <v>14</v>
      </c>
      <c r="R965"/>
      <c r="S965" t="s">
        <v>2607</v>
      </c>
      <c r="T965">
        <v>0.03</v>
      </c>
      <c r="U965">
        <v>0.04</v>
      </c>
      <c r="V965">
        <v>0.14899999999999999</v>
      </c>
      <c r="W965">
        <v>6</v>
      </c>
      <c r="X965">
        <v>4.4000000000000004</v>
      </c>
      <c r="Y965">
        <v>2</v>
      </c>
    </row>
    <row r="966" spans="1:25" ht="60" customHeight="1" x14ac:dyDescent="0.25">
      <c r="A966"/>
      <c r="B966" t="s">
        <v>621</v>
      </c>
      <c r="C966" t="s">
        <v>5</v>
      </c>
      <c r="D966" t="s">
        <v>16</v>
      </c>
      <c r="E966" t="s">
        <v>2227</v>
      </c>
      <c r="F966" t="s">
        <v>2228</v>
      </c>
      <c r="G966" t="s">
        <v>620</v>
      </c>
      <c r="H966" s="11">
        <v>59.75</v>
      </c>
      <c r="I966" s="10">
        <f>H966*(1-IFERROR(VLOOKUP(G966,Rabat!$C$9:$D$43,2,0),0))</f>
        <v>59.75</v>
      </c>
      <c r="J966" t="s">
        <v>1815</v>
      </c>
      <c r="K966" t="s">
        <v>2258</v>
      </c>
      <c r="L966" t="s">
        <v>1813</v>
      </c>
      <c r="M966">
        <v>50</v>
      </c>
      <c r="N966">
        <v>2000</v>
      </c>
      <c r="O966" t="s">
        <v>1818</v>
      </c>
      <c r="P966" s="12" t="str">
        <f>HYPERLINK("https://b2b.kobi.pl/pl/product/12570,latarka-czolowa-led-h-mpr-6000k-led2b?currency=PLN")</f>
        <v>https://b2b.kobi.pl/pl/product/12570,latarka-czolowa-led-h-mpr-6000k-led2b?currency=PLN</v>
      </c>
      <c r="Q966" t="s">
        <v>14</v>
      </c>
      <c r="R966"/>
      <c r="S966" t="s">
        <v>2607</v>
      </c>
      <c r="T966">
        <v>0.09</v>
      </c>
      <c r="U966">
        <v>0.106</v>
      </c>
      <c r="V966">
        <v>0.13200000000000001</v>
      </c>
      <c r="W966">
        <v>9.3000000000000007</v>
      </c>
      <c r="X966">
        <v>8.3000000000000007</v>
      </c>
      <c r="Y966">
        <v>6.3</v>
      </c>
    </row>
    <row r="967" spans="1:25" ht="60" customHeight="1" x14ac:dyDescent="0.25">
      <c r="A967"/>
      <c r="B967" t="s">
        <v>621</v>
      </c>
      <c r="C967" t="s">
        <v>5</v>
      </c>
      <c r="D967" t="s">
        <v>16</v>
      </c>
      <c r="E967" t="s">
        <v>2229</v>
      </c>
      <c r="F967" t="s">
        <v>2230</v>
      </c>
      <c r="G967" t="s">
        <v>620</v>
      </c>
      <c r="H967" s="11">
        <v>23.63</v>
      </c>
      <c r="I967" s="10">
        <f>H967*(1-IFERROR(VLOOKUP(G967,Rabat!$C$9:$D$43,2,0),0))</f>
        <v>23.63</v>
      </c>
      <c r="J967" t="s">
        <v>1815</v>
      </c>
      <c r="K967" t="s">
        <v>2259</v>
      </c>
      <c r="L967" t="s">
        <v>1813</v>
      </c>
      <c r="M967">
        <v>96</v>
      </c>
      <c r="N967">
        <v>1536</v>
      </c>
      <c r="O967" t="s">
        <v>1818</v>
      </c>
      <c r="P967" s="12" t="str">
        <f>HYPERLINK("https://b2b.kobi.pl/pl/product/12571,latarka-led-x-mpr-1-6000k-led2b?currency=PLN")</f>
        <v>https://b2b.kobi.pl/pl/product/12571,latarka-led-x-mpr-1-6000k-led2b?currency=PLN</v>
      </c>
      <c r="Q967" t="s">
        <v>14</v>
      </c>
      <c r="R967"/>
      <c r="S967" t="s">
        <v>2607</v>
      </c>
      <c r="T967">
        <v>0.08</v>
      </c>
      <c r="U967">
        <v>9.5200000000000007E-2</v>
      </c>
      <c r="V967">
        <v>0.23</v>
      </c>
      <c r="W967">
        <v>26.2</v>
      </c>
      <c r="X967">
        <v>19.8</v>
      </c>
      <c r="Y967">
        <v>19.5</v>
      </c>
    </row>
    <row r="968" spans="1:25" ht="60" customHeight="1" x14ac:dyDescent="0.25">
      <c r="A968"/>
      <c r="B968" t="s">
        <v>621</v>
      </c>
      <c r="C968" t="s">
        <v>5</v>
      </c>
      <c r="D968" t="s">
        <v>16</v>
      </c>
      <c r="E968" t="s">
        <v>2231</v>
      </c>
      <c r="F968" t="s">
        <v>2232</v>
      </c>
      <c r="G968" t="s">
        <v>620</v>
      </c>
      <c r="H968" s="11">
        <v>26.13</v>
      </c>
      <c r="I968" s="10">
        <f>H968*(1-IFERROR(VLOOKUP(G968,Rabat!$C$9:$D$43,2,0),0))</f>
        <v>26.13</v>
      </c>
      <c r="J968" t="s">
        <v>1815</v>
      </c>
      <c r="K968" t="s">
        <v>2260</v>
      </c>
      <c r="L968" t="s">
        <v>1813</v>
      </c>
      <c r="M968">
        <v>96</v>
      </c>
      <c r="N968">
        <v>1920</v>
      </c>
      <c r="O968" t="s">
        <v>1818</v>
      </c>
      <c r="P968" s="12" t="str">
        <f>HYPERLINK("https://b2b.kobi.pl/pl/product/12572,latarka-led-x-mpr-2-6000k-led2b?currency=PLN")</f>
        <v>https://b2b.kobi.pl/pl/product/12572,latarka-led-x-mpr-2-6000k-led2b?currency=PLN</v>
      </c>
      <c r="Q968" t="s">
        <v>14</v>
      </c>
      <c r="R968"/>
      <c r="S968" t="s">
        <v>2607</v>
      </c>
      <c r="T968">
        <v>0.09</v>
      </c>
      <c r="U968">
        <v>0.11</v>
      </c>
      <c r="V968">
        <v>0.25</v>
      </c>
      <c r="W968">
        <v>20.2</v>
      </c>
      <c r="X968">
        <v>15.3</v>
      </c>
      <c r="Y968">
        <v>16.600000000000001</v>
      </c>
    </row>
    <row r="969" spans="1:25" ht="60" customHeight="1" x14ac:dyDescent="0.25">
      <c r="A969"/>
      <c r="B969" t="s">
        <v>621</v>
      </c>
      <c r="C969" t="s">
        <v>5</v>
      </c>
      <c r="D969" t="s">
        <v>16</v>
      </c>
      <c r="E969" t="s">
        <v>2233</v>
      </c>
      <c r="F969" t="s">
        <v>2234</v>
      </c>
      <c r="G969" t="s">
        <v>620</v>
      </c>
      <c r="H969" s="11">
        <v>41.25</v>
      </c>
      <c r="I969" s="10">
        <f>H969*(1-IFERROR(VLOOKUP(G969,Rabat!$C$9:$D$43,2,0),0))</f>
        <v>41.25</v>
      </c>
      <c r="J969" t="s">
        <v>1815</v>
      </c>
      <c r="K969" t="s">
        <v>2261</v>
      </c>
      <c r="L969" t="s">
        <v>1813</v>
      </c>
      <c r="M969">
        <v>96</v>
      </c>
      <c r="N969">
        <v>1536</v>
      </c>
      <c r="O969" t="s">
        <v>1818</v>
      </c>
      <c r="P969" s="12" t="str">
        <f>HYPERLINK("https://b2b.kobi.pl/pl/product/12573,latarka-led-x-mpr-3-6000k-led2b?currency=PLN")</f>
        <v>https://b2b.kobi.pl/pl/product/12573,latarka-led-x-mpr-3-6000k-led2b?currency=PLN</v>
      </c>
      <c r="Q969" t="s">
        <v>14</v>
      </c>
      <c r="R969"/>
      <c r="S969" t="s">
        <v>2607</v>
      </c>
      <c r="T969">
        <v>0.12</v>
      </c>
      <c r="U969">
        <v>0.14000000000000001</v>
      </c>
      <c r="V969">
        <v>0.26</v>
      </c>
      <c r="W969">
        <v>24.2</v>
      </c>
      <c r="X969">
        <v>18.3</v>
      </c>
      <c r="Y969">
        <v>18</v>
      </c>
    </row>
    <row r="970" spans="1:25" ht="60" customHeight="1" x14ac:dyDescent="0.25">
      <c r="A970"/>
      <c r="B970" t="s">
        <v>621</v>
      </c>
      <c r="C970" t="s">
        <v>5</v>
      </c>
      <c r="D970" t="s">
        <v>16</v>
      </c>
      <c r="E970" t="s">
        <v>2235</v>
      </c>
      <c r="F970" t="s">
        <v>2236</v>
      </c>
      <c r="G970" t="s">
        <v>620</v>
      </c>
      <c r="H970" s="11">
        <v>44.23</v>
      </c>
      <c r="I970" s="10">
        <f>H970*(1-IFERROR(VLOOKUP(G970,Rabat!$C$9:$D$43,2,0),0))</f>
        <v>44.23</v>
      </c>
      <c r="J970" t="s">
        <v>1815</v>
      </c>
      <c r="K970" t="s">
        <v>2262</v>
      </c>
      <c r="L970" t="s">
        <v>1813</v>
      </c>
      <c r="M970">
        <v>96</v>
      </c>
      <c r="N970">
        <v>2400</v>
      </c>
      <c r="O970" t="s">
        <v>1818</v>
      </c>
      <c r="P970" s="12" t="str">
        <f>HYPERLINK("https://b2b.kobi.pl/pl/product/12574,latarka-led-x-mpr-4-6000k-led2b?currency=PLN")</f>
        <v>https://b2b.kobi.pl/pl/product/12574,latarka-led-x-mpr-4-6000k-led2b?currency=PLN</v>
      </c>
      <c r="Q970" t="s">
        <v>14</v>
      </c>
      <c r="R970"/>
      <c r="S970" t="s">
        <v>2607</v>
      </c>
      <c r="T970">
        <v>0.09</v>
      </c>
      <c r="U970">
        <v>0.11</v>
      </c>
      <c r="V970">
        <v>0.25</v>
      </c>
      <c r="W970">
        <v>20.2</v>
      </c>
      <c r="X970">
        <v>15.3</v>
      </c>
      <c r="Y970">
        <v>16</v>
      </c>
    </row>
    <row r="971" spans="1:25" ht="60" customHeight="1" x14ac:dyDescent="0.25">
      <c r="A971"/>
      <c r="B971" t="s">
        <v>621</v>
      </c>
      <c r="C971" t="s">
        <v>5</v>
      </c>
      <c r="D971" t="s">
        <v>16</v>
      </c>
      <c r="E971" t="s">
        <v>2237</v>
      </c>
      <c r="F971" t="s">
        <v>2238</v>
      </c>
      <c r="G971" t="s">
        <v>620</v>
      </c>
      <c r="H971" s="11">
        <v>58.75</v>
      </c>
      <c r="I971" s="10">
        <f>H971*(1-IFERROR(VLOOKUP(G971,Rabat!$C$9:$D$43,2,0),0))</f>
        <v>58.75</v>
      </c>
      <c r="J971" t="s">
        <v>1815</v>
      </c>
      <c r="K971" t="s">
        <v>2263</v>
      </c>
      <c r="L971" t="s">
        <v>1813</v>
      </c>
      <c r="M971">
        <v>40</v>
      </c>
      <c r="N971">
        <v>480</v>
      </c>
      <c r="O971" t="s">
        <v>1818</v>
      </c>
      <c r="P971" s="12" t="str">
        <f>HYPERLINK("https://b2b.kobi.pl/pl/product/12575,latarka-led-x-mpr-5-6000k-led2b?currency=PLN")</f>
        <v>https://b2b.kobi.pl/pl/product/12575,latarka-led-x-mpr-5-6000k-led2b?currency=PLN</v>
      </c>
      <c r="Q971" t="s">
        <v>14</v>
      </c>
      <c r="R971"/>
      <c r="S971" t="s">
        <v>2607</v>
      </c>
      <c r="T971">
        <v>0.25</v>
      </c>
      <c r="U971">
        <v>0.29199999999999998</v>
      </c>
      <c r="V971">
        <v>0.36</v>
      </c>
      <c r="W971">
        <v>20.8</v>
      </c>
      <c r="X971">
        <v>11</v>
      </c>
      <c r="Y971">
        <v>11</v>
      </c>
    </row>
    <row r="972" spans="1:25" ht="60" customHeight="1" x14ac:dyDescent="0.25">
      <c r="A972"/>
      <c r="B972" t="s">
        <v>621</v>
      </c>
      <c r="C972" t="s">
        <v>5</v>
      </c>
      <c r="D972" t="s">
        <v>16</v>
      </c>
      <c r="E972" t="s">
        <v>2239</v>
      </c>
      <c r="F972" t="s">
        <v>2240</v>
      </c>
      <c r="G972" t="s">
        <v>620</v>
      </c>
      <c r="H972" s="11">
        <v>99.98</v>
      </c>
      <c r="I972" s="10">
        <f>H972*(1-IFERROR(VLOOKUP(G972,Rabat!$C$9:$D$43,2,0),0))</f>
        <v>99.98</v>
      </c>
      <c r="J972" t="s">
        <v>1815</v>
      </c>
      <c r="K972" t="s">
        <v>2264</v>
      </c>
      <c r="L972" t="s">
        <v>1813</v>
      </c>
      <c r="M972">
        <v>30</v>
      </c>
      <c r="N972">
        <v>180</v>
      </c>
      <c r="O972" t="s">
        <v>1818</v>
      </c>
      <c r="P972" s="12" t="str">
        <f>HYPERLINK("https://b2b.kobi.pl/pl/product/12576,latarka-led-x-mpr-6-6000k-led2b?currency=PLN")</f>
        <v>https://b2b.kobi.pl/pl/product/12576,latarka-led-x-mpr-6-6000k-led2b?currency=PLN</v>
      </c>
      <c r="Q972" t="s">
        <v>14</v>
      </c>
      <c r="R972"/>
      <c r="S972" t="s">
        <v>2607</v>
      </c>
      <c r="T972">
        <v>0.65</v>
      </c>
      <c r="U972">
        <v>0.77</v>
      </c>
      <c r="V972">
        <v>0.87</v>
      </c>
      <c r="W972">
        <v>24.5</v>
      </c>
      <c r="X972">
        <v>11.5</v>
      </c>
      <c r="Y972">
        <v>18.5</v>
      </c>
    </row>
    <row r="973" spans="1:25" ht="60" customHeight="1" x14ac:dyDescent="0.25">
      <c r="A973"/>
      <c r="B973" t="s">
        <v>621</v>
      </c>
      <c r="C973" t="s">
        <v>5</v>
      </c>
      <c r="D973" t="s">
        <v>16</v>
      </c>
      <c r="E973" t="s">
        <v>2241</v>
      </c>
      <c r="F973" t="s">
        <v>2242</v>
      </c>
      <c r="G973" t="s">
        <v>620</v>
      </c>
      <c r="H973" s="11">
        <v>15.75</v>
      </c>
      <c r="I973" s="10">
        <f>H973*(1-IFERROR(VLOOKUP(G973,Rabat!$C$9:$D$43,2,0),0))</f>
        <v>15.75</v>
      </c>
      <c r="J973" t="s">
        <v>1815</v>
      </c>
      <c r="K973" t="s">
        <v>2265</v>
      </c>
      <c r="L973" t="s">
        <v>1813</v>
      </c>
      <c r="M973">
        <v>48</v>
      </c>
      <c r="N973">
        <v>768</v>
      </c>
      <c r="O973"/>
      <c r="P973" s="12" t="str">
        <f>HYPERLINK("https://b2b.kobi.pl/pl/product/12577,latarenka-led-mpr-3000k-led2b?currency=PLN")</f>
        <v>https://b2b.kobi.pl/pl/product/12577,latarenka-led-mpr-3000k-led2b?currency=PLN</v>
      </c>
      <c r="Q973" t="s">
        <v>14</v>
      </c>
      <c r="R973"/>
      <c r="S973" t="s">
        <v>2607</v>
      </c>
      <c r="T973">
        <v>0.08</v>
      </c>
      <c r="U973">
        <v>9.2999999999999999E-2</v>
      </c>
      <c r="V973">
        <v>1.01</v>
      </c>
      <c r="W973">
        <v>38.200000000000003</v>
      </c>
      <c r="X973">
        <v>19</v>
      </c>
      <c r="Y973">
        <v>18.5</v>
      </c>
    </row>
    <row r="974" spans="1:25" ht="60" customHeight="1" x14ac:dyDescent="0.25">
      <c r="A974"/>
      <c r="B974" t="s">
        <v>621</v>
      </c>
      <c r="C974" t="s">
        <v>5</v>
      </c>
      <c r="D974" t="s">
        <v>16</v>
      </c>
      <c r="E974" t="s">
        <v>2763</v>
      </c>
      <c r="F974" t="s">
        <v>2764</v>
      </c>
      <c r="G974" t="s">
        <v>620</v>
      </c>
      <c r="H974" s="11">
        <v>44.75</v>
      </c>
      <c r="I974" s="10">
        <f>H974*(1-IFERROR(VLOOKUP(G974,Rabat!$C$9:$D$43,2,0),0))</f>
        <v>44.75</v>
      </c>
      <c r="J974" t="s">
        <v>1815</v>
      </c>
      <c r="K974" t="s">
        <v>2777</v>
      </c>
      <c r="L974" t="s">
        <v>1813</v>
      </c>
      <c r="M974">
        <v>30</v>
      </c>
      <c r="N974">
        <v>360</v>
      </c>
      <c r="O974" t="s">
        <v>1818</v>
      </c>
      <c r="P974" s="12" t="str">
        <f>HYPERLINK("https://b2b.kobi.pl/pl/product/12758,latarka-led-x-mpr-7-6000k-led2b?currency=PLN")</f>
        <v>https://b2b.kobi.pl/pl/product/12758,latarka-led-x-mpr-7-6000k-led2b?currency=PLN</v>
      </c>
      <c r="Q974" t="s">
        <v>14</v>
      </c>
      <c r="R974"/>
      <c r="S974" t="s">
        <v>2607</v>
      </c>
      <c r="T974">
        <v>0.32</v>
      </c>
      <c r="U974">
        <v>0.38</v>
      </c>
      <c r="V974">
        <v>0.44700000000000001</v>
      </c>
      <c r="W974">
        <v>21.2</v>
      </c>
      <c r="X974">
        <v>7</v>
      </c>
      <c r="Y974">
        <v>17.100000000000001</v>
      </c>
    </row>
    <row r="975" spans="1:25" ht="60" customHeight="1" x14ac:dyDescent="0.25">
      <c r="A975"/>
      <c r="B975" t="s">
        <v>621</v>
      </c>
      <c r="C975" t="s">
        <v>5</v>
      </c>
      <c r="D975" t="s">
        <v>16</v>
      </c>
      <c r="E975" t="s">
        <v>2765</v>
      </c>
      <c r="F975" t="s">
        <v>2766</v>
      </c>
      <c r="G975" t="s">
        <v>620</v>
      </c>
      <c r="H975" s="11">
        <v>23.75</v>
      </c>
      <c r="I975" s="10">
        <f>H975*(1-IFERROR(VLOOKUP(G975,Rabat!$C$9:$D$43,2,0),0))</f>
        <v>23.75</v>
      </c>
      <c r="J975" t="s">
        <v>1815</v>
      </c>
      <c r="K975" t="s">
        <v>2778</v>
      </c>
      <c r="L975" t="s">
        <v>1813</v>
      </c>
      <c r="M975">
        <v>96</v>
      </c>
      <c r="N975">
        <v>576</v>
      </c>
      <c r="O975" t="s">
        <v>1818</v>
      </c>
      <c r="P975" s="12" t="str">
        <f>HYPERLINK("https://b2b.kobi.pl/pl/product/12759,latarka-led-x-mpr-8-3000k-6000k-led2b?currency=PLN")</f>
        <v>https://b2b.kobi.pl/pl/product/12759,latarka-led-x-mpr-8-3000k-6000k-led2b?currency=PLN</v>
      </c>
      <c r="Q975" t="s">
        <v>14</v>
      </c>
      <c r="R975"/>
      <c r="S975" t="s">
        <v>2607</v>
      </c>
      <c r="T975">
        <v>0.11</v>
      </c>
      <c r="U975">
        <v>0.128</v>
      </c>
      <c r="V975">
        <v>0.34</v>
      </c>
      <c r="W975">
        <v>31</v>
      </c>
      <c r="X975">
        <v>26.5</v>
      </c>
      <c r="Y975">
        <v>24.1</v>
      </c>
    </row>
    <row r="976" spans="1:25" ht="60" customHeight="1" x14ac:dyDescent="0.25">
      <c r="A976"/>
      <c r="B976" t="s">
        <v>621</v>
      </c>
      <c r="C976" t="s">
        <v>5</v>
      </c>
      <c r="D976" t="s">
        <v>16</v>
      </c>
      <c r="E976" t="s">
        <v>2767</v>
      </c>
      <c r="F976" t="s">
        <v>2768</v>
      </c>
      <c r="G976" t="s">
        <v>620</v>
      </c>
      <c r="H976" s="11">
        <v>33.75</v>
      </c>
      <c r="I976" s="10">
        <f>H976*(1-IFERROR(VLOOKUP(G976,Rabat!$C$9:$D$43,2,0),0))</f>
        <v>33.75</v>
      </c>
      <c r="J976" t="s">
        <v>1815</v>
      </c>
      <c r="K976" t="s">
        <v>2779</v>
      </c>
      <c r="L976" t="s">
        <v>1813</v>
      </c>
      <c r="M976">
        <v>96</v>
      </c>
      <c r="N976">
        <v>576</v>
      </c>
      <c r="O976" t="s">
        <v>1818</v>
      </c>
      <c r="P976" s="12" t="str">
        <f>HYPERLINK("https://b2b.kobi.pl/pl/product/12760,latarka-led-x-mpr-9-6000k-led2b?currency=PLN")</f>
        <v>https://b2b.kobi.pl/pl/product/12760,latarka-led-x-mpr-9-6000k-led2b?currency=PLN</v>
      </c>
      <c r="Q976" t="s">
        <v>14</v>
      </c>
      <c r="R976"/>
      <c r="S976" t="s">
        <v>2607</v>
      </c>
      <c r="T976">
        <v>0.16</v>
      </c>
      <c r="U976">
        <v>0.19</v>
      </c>
      <c r="V976">
        <v>0.25</v>
      </c>
      <c r="W976">
        <v>21.5</v>
      </c>
      <c r="X976">
        <v>23.4</v>
      </c>
      <c r="Y976">
        <v>20</v>
      </c>
    </row>
    <row r="977" spans="1:25" ht="60" customHeight="1" x14ac:dyDescent="0.25">
      <c r="A977"/>
      <c r="B977" t="s">
        <v>621</v>
      </c>
      <c r="C977" t="s">
        <v>5</v>
      </c>
      <c r="D977" t="s">
        <v>16</v>
      </c>
      <c r="E977" t="s">
        <v>3996</v>
      </c>
      <c r="F977" t="s">
        <v>3997</v>
      </c>
      <c r="G977" t="s">
        <v>620</v>
      </c>
      <c r="H977" s="11">
        <v>31.23</v>
      </c>
      <c r="I977" s="10">
        <f>H977*(1-IFERROR(VLOOKUP(G977,Rabat!$C$9:$D$43,2,0),0))</f>
        <v>31.23</v>
      </c>
      <c r="J977" t="s">
        <v>1815</v>
      </c>
      <c r="K977" t="s">
        <v>4217</v>
      </c>
      <c r="L977" t="s">
        <v>1813</v>
      </c>
      <c r="M977">
        <v>30</v>
      </c>
      <c r="N977"/>
      <c r="O977" t="s">
        <v>1818</v>
      </c>
      <c r="P977" s="12" t="str">
        <f>HYPERLINK("https://b2b.kobi.pl/pl/product/13322,latarenka-led-mpr-2cct-led2b?currency=PLN")</f>
        <v>https://b2b.kobi.pl/pl/product/13322,latarenka-led-mpr-2cct-led2b?currency=PLN</v>
      </c>
      <c r="Q977" t="s">
        <v>14</v>
      </c>
      <c r="R977" t="s">
        <v>4101</v>
      </c>
      <c r="S977" t="s">
        <v>2607</v>
      </c>
      <c r="T977">
        <v>0.21</v>
      </c>
      <c r="U977">
        <v>0.254</v>
      </c>
      <c r="V977">
        <v>0.32200000000000001</v>
      </c>
      <c r="W977">
        <v>11.5</v>
      </c>
      <c r="X977">
        <v>11.3</v>
      </c>
      <c r="Y977">
        <v>20.6</v>
      </c>
    </row>
    <row r="978" spans="1:25" ht="60" customHeight="1" x14ac:dyDescent="0.25">
      <c r="A978"/>
      <c r="B978" t="s">
        <v>621</v>
      </c>
      <c r="C978" t="s">
        <v>5</v>
      </c>
      <c r="D978" t="s">
        <v>16</v>
      </c>
      <c r="E978" t="s">
        <v>3998</v>
      </c>
      <c r="F978" t="s">
        <v>3999</v>
      </c>
      <c r="G978" t="s">
        <v>620</v>
      </c>
      <c r="H978" s="11">
        <v>21.23</v>
      </c>
      <c r="I978" s="10">
        <f>H978*(1-IFERROR(VLOOKUP(G978,Rabat!$C$9:$D$43,2,0),0))</f>
        <v>21.23</v>
      </c>
      <c r="J978" t="s">
        <v>1815</v>
      </c>
      <c r="K978" t="s">
        <v>4218</v>
      </c>
      <c r="L978" t="s">
        <v>1813</v>
      </c>
      <c r="M978"/>
      <c r="N978"/>
      <c r="O978" t="s">
        <v>1818</v>
      </c>
      <c r="P978" s="12" t="str">
        <f>HYPERLINK("https://b2b.kobi.pl/pl/product/13320,latarka-led-x-mpr-10-6000k-led2b?currency=PLN")</f>
        <v>https://b2b.kobi.pl/pl/product/13320,latarka-led-x-mpr-10-6000k-led2b?currency=PLN</v>
      </c>
      <c r="Q978" t="s">
        <v>14</v>
      </c>
      <c r="R978" t="s">
        <v>4101</v>
      </c>
      <c r="S978" t="s">
        <v>2607</v>
      </c>
      <c r="T978">
        <v>0.09</v>
      </c>
      <c r="U978">
        <v>0.105</v>
      </c>
      <c r="V978">
        <v>0.115</v>
      </c>
      <c r="W978">
        <v>22</v>
      </c>
      <c r="X978">
        <v>17</v>
      </c>
      <c r="Y978">
        <v>14.5</v>
      </c>
    </row>
    <row r="979" spans="1:25" ht="60" customHeight="1" x14ac:dyDescent="0.25">
      <c r="A979"/>
      <c r="B979" t="s">
        <v>621</v>
      </c>
      <c r="C979" t="s">
        <v>5</v>
      </c>
      <c r="D979" t="s">
        <v>16</v>
      </c>
      <c r="E979" t="s">
        <v>4000</v>
      </c>
      <c r="F979" t="s">
        <v>4001</v>
      </c>
      <c r="G979" t="s">
        <v>620</v>
      </c>
      <c r="H979" s="11">
        <v>49.98</v>
      </c>
      <c r="I979" s="10">
        <f>H979*(1-IFERROR(VLOOKUP(G979,Rabat!$C$9:$D$43,2,0),0))</f>
        <v>49.98</v>
      </c>
      <c r="J979" t="s">
        <v>1815</v>
      </c>
      <c r="K979" t="s">
        <v>4219</v>
      </c>
      <c r="L979" t="s">
        <v>1813</v>
      </c>
      <c r="M979">
        <v>50</v>
      </c>
      <c r="N979"/>
      <c r="O979" t="s">
        <v>1818</v>
      </c>
      <c r="P979" s="12" t="str">
        <f>HYPERLINK("https://b2b.kobi.pl/pl/product/13321,latarka-led-x-mpr-11-6000k-led2b?currency=PLN")</f>
        <v>https://b2b.kobi.pl/pl/product/13321,latarka-led-x-mpr-11-6000k-led2b?currency=PLN</v>
      </c>
      <c r="Q979" t="s">
        <v>14</v>
      </c>
      <c r="R979" t="s">
        <v>4101</v>
      </c>
      <c r="S979" t="s">
        <v>2607</v>
      </c>
      <c r="T979">
        <v>0.28999999999999998</v>
      </c>
      <c r="U979">
        <v>0.34100000000000003</v>
      </c>
      <c r="V979">
        <v>0.40899999999999997</v>
      </c>
      <c r="W979">
        <v>9</v>
      </c>
      <c r="X979">
        <v>9</v>
      </c>
      <c r="Y979">
        <v>30</v>
      </c>
    </row>
    <row r="980" spans="1:25" ht="60" customHeight="1" x14ac:dyDescent="0.25">
      <c r="A980"/>
      <c r="B980" t="s">
        <v>4</v>
      </c>
      <c r="C980" t="s">
        <v>3736</v>
      </c>
      <c r="D980" t="s">
        <v>644</v>
      </c>
      <c r="E980" t="s">
        <v>1751</v>
      </c>
      <c r="F980" t="s">
        <v>1752</v>
      </c>
      <c r="G980" t="s">
        <v>678</v>
      </c>
      <c r="H980" s="11">
        <v>464.33</v>
      </c>
      <c r="I980" s="10">
        <f>H980*(1-IFERROR(VLOOKUP(G980,Rabat!$C$9:$D$43,2,0),0))</f>
        <v>464.33</v>
      </c>
      <c r="J980" t="s">
        <v>1815</v>
      </c>
      <c r="K980" t="s">
        <v>1906</v>
      </c>
      <c r="L980" t="s">
        <v>1813</v>
      </c>
      <c r="M980">
        <v>1</v>
      </c>
      <c r="N980">
        <v>15</v>
      </c>
      <c r="O980" t="s">
        <v>1818</v>
      </c>
      <c r="P980" s="12" t="str">
        <f>HYPERLINK("https://b2b.kobi.pl/pl/product/9803,lampa-podlogowa-boho-bonn-st-1xe27-kobi-design?currency=PLN")</f>
        <v>https://b2b.kobi.pl/pl/product/9803,lampa-podlogowa-boho-bonn-st-1xe27-kobi-design?currency=PLN</v>
      </c>
      <c r="Q980" t="s">
        <v>14</v>
      </c>
      <c r="R980" t="s">
        <v>1945</v>
      </c>
      <c r="S980" t="s">
        <v>2602</v>
      </c>
      <c r="T980">
        <v>1.1100000000000001</v>
      </c>
      <c r="U980">
        <v>2.7</v>
      </c>
      <c r="V980">
        <v>3.6</v>
      </c>
      <c r="W980">
        <v>46</v>
      </c>
      <c r="X980">
        <v>33</v>
      </c>
      <c r="Y980">
        <v>36</v>
      </c>
    </row>
    <row r="981" spans="1:25" ht="60" customHeight="1" x14ac:dyDescent="0.25">
      <c r="A981"/>
      <c r="B981" t="s">
        <v>4</v>
      </c>
      <c r="C981" t="s">
        <v>3736</v>
      </c>
      <c r="D981" t="s">
        <v>644</v>
      </c>
      <c r="E981" t="s">
        <v>1753</v>
      </c>
      <c r="F981" t="s">
        <v>1754</v>
      </c>
      <c r="G981" t="s">
        <v>784</v>
      </c>
      <c r="H981" s="11">
        <v>290.55</v>
      </c>
      <c r="I981" s="10">
        <f>H981*(1-IFERROR(VLOOKUP(G981,Rabat!$C$9:$D$43,2,0),0))</f>
        <v>290.55</v>
      </c>
      <c r="J981" t="s">
        <v>1815</v>
      </c>
      <c r="K981" t="s">
        <v>1907</v>
      </c>
      <c r="L981" t="s">
        <v>1813</v>
      </c>
      <c r="M981">
        <v>1</v>
      </c>
      <c r="N981"/>
      <c r="O981" t="s">
        <v>1818</v>
      </c>
      <c r="P981" s="12" t="str">
        <f>HYPERLINK("https://b2b.kobi.pl/pl/product/9804,lampka-biurkowa-boho-bonn-mini-1xe27-kobi-design?currency=PLN")</f>
        <v>https://b2b.kobi.pl/pl/product/9804,lampka-biurkowa-boho-bonn-mini-1xe27-kobi-design?currency=PLN</v>
      </c>
      <c r="Q981" t="s">
        <v>14</v>
      </c>
      <c r="R981" t="s">
        <v>1945</v>
      </c>
      <c r="S981" t="s">
        <v>2602</v>
      </c>
      <c r="T981">
        <v>0.16</v>
      </c>
      <c r="U981">
        <v>0.4</v>
      </c>
      <c r="V981">
        <v>0.8</v>
      </c>
      <c r="W981">
        <v>23.5</v>
      </c>
      <c r="X981">
        <v>23.5</v>
      </c>
      <c r="Y981">
        <v>18.5</v>
      </c>
    </row>
    <row r="982" spans="1:25" ht="60" customHeight="1" x14ac:dyDescent="0.25">
      <c r="A982"/>
      <c r="B982" t="s">
        <v>4</v>
      </c>
      <c r="C982" t="s">
        <v>3736</v>
      </c>
      <c r="D982" t="s">
        <v>644</v>
      </c>
      <c r="E982" t="s">
        <v>1755</v>
      </c>
      <c r="F982" t="s">
        <v>1756</v>
      </c>
      <c r="G982" t="s">
        <v>784</v>
      </c>
      <c r="H982" s="11">
        <v>349.18</v>
      </c>
      <c r="I982" s="10">
        <f>H982*(1-IFERROR(VLOOKUP(G982,Rabat!$C$9:$D$43,2,0),0))</f>
        <v>349.18</v>
      </c>
      <c r="J982" t="s">
        <v>1815</v>
      </c>
      <c r="K982" t="s">
        <v>1908</v>
      </c>
      <c r="L982" t="s">
        <v>1813</v>
      </c>
      <c r="M982">
        <v>1</v>
      </c>
      <c r="N982"/>
      <c r="O982" t="s">
        <v>1818</v>
      </c>
      <c r="P982" s="12" t="str">
        <f>HYPERLINK("https://b2b.kobi.pl/pl/product/9805,lampka-biurkowa-boho-bonn-st-mini-1xe27-kobi-design?currency=PLN")</f>
        <v>https://b2b.kobi.pl/pl/product/9805,lampka-biurkowa-boho-bonn-st-mini-1xe27-kobi-design?currency=PLN</v>
      </c>
      <c r="Q982" t="s">
        <v>14</v>
      </c>
      <c r="R982" t="s">
        <v>1945</v>
      </c>
      <c r="S982" t="s">
        <v>2602</v>
      </c>
      <c r="T982">
        <v>0.43</v>
      </c>
      <c r="U982">
        <v>1.1000000000000001</v>
      </c>
      <c r="V982">
        <v>1.6</v>
      </c>
      <c r="W982">
        <v>28</v>
      </c>
      <c r="X982">
        <v>28</v>
      </c>
      <c r="Y982">
        <v>28</v>
      </c>
    </row>
    <row r="983" spans="1:25" ht="60" customHeight="1" x14ac:dyDescent="0.25">
      <c r="A983"/>
      <c r="B983" t="s">
        <v>4</v>
      </c>
      <c r="C983" t="s">
        <v>3736</v>
      </c>
      <c r="D983" t="s">
        <v>644</v>
      </c>
      <c r="E983" t="s">
        <v>833</v>
      </c>
      <c r="F983" t="s">
        <v>834</v>
      </c>
      <c r="G983" t="s">
        <v>678</v>
      </c>
      <c r="H983" s="11">
        <v>375.18</v>
      </c>
      <c r="I983" s="10">
        <f>H983*(1-IFERROR(VLOOKUP(G983,Rabat!$C$9:$D$43,2,0),0))</f>
        <v>375.18</v>
      </c>
      <c r="J983" t="s">
        <v>1815</v>
      </c>
      <c r="K983" t="s">
        <v>1842</v>
      </c>
      <c r="L983" t="s">
        <v>1813</v>
      </c>
      <c r="M983">
        <v>1</v>
      </c>
      <c r="N983"/>
      <c r="O983" t="s">
        <v>1818</v>
      </c>
      <c r="P983" s="12" t="str">
        <f>HYPERLINK("https://b2b.kobi.pl/pl/product/9806,lampa-wiszaca-boho-bonn-rb-1xe27-kobi-design?currency=PLN")</f>
        <v>https://b2b.kobi.pl/pl/product/9806,lampa-wiszaca-boho-bonn-rb-1xe27-kobi-design?currency=PLN</v>
      </c>
      <c r="Q983" t="s">
        <v>14</v>
      </c>
      <c r="R983" t="s">
        <v>1945</v>
      </c>
      <c r="S983" t="s">
        <v>2602</v>
      </c>
      <c r="T983">
        <v>0.33</v>
      </c>
      <c r="U983">
        <v>0.8</v>
      </c>
      <c r="V983">
        <v>1.6</v>
      </c>
      <c r="W983">
        <v>42</v>
      </c>
      <c r="X983">
        <v>42</v>
      </c>
      <c r="Y983">
        <v>26.5</v>
      </c>
    </row>
    <row r="984" spans="1:25" ht="60" customHeight="1" x14ac:dyDescent="0.25">
      <c r="A984"/>
      <c r="B984" t="s">
        <v>4</v>
      </c>
      <c r="C984" t="s">
        <v>3736</v>
      </c>
      <c r="D984" t="s">
        <v>644</v>
      </c>
      <c r="E984" t="s">
        <v>837</v>
      </c>
      <c r="F984" t="s">
        <v>838</v>
      </c>
      <c r="G984" t="s">
        <v>678</v>
      </c>
      <c r="H984" s="11">
        <v>375.18</v>
      </c>
      <c r="I984" s="10">
        <f>H984*(1-IFERROR(VLOOKUP(G984,Rabat!$C$9:$D$43,2,0),0))</f>
        <v>375.18</v>
      </c>
      <c r="J984" t="s">
        <v>1815</v>
      </c>
      <c r="K984" t="s">
        <v>1843</v>
      </c>
      <c r="L984" t="s">
        <v>1813</v>
      </c>
      <c r="M984">
        <v>1</v>
      </c>
      <c r="N984"/>
      <c r="O984" t="s">
        <v>1818</v>
      </c>
      <c r="P984" s="12" t="str">
        <f>HYPERLINK("https://b2b.kobi.pl/pl/product/9807,lampa-wiszaca-boho-bonn-rw-1xe27-kobi-design?currency=PLN")</f>
        <v>https://b2b.kobi.pl/pl/product/9807,lampa-wiszaca-boho-bonn-rw-1xe27-kobi-design?currency=PLN</v>
      </c>
      <c r="Q984" t="s">
        <v>14</v>
      </c>
      <c r="R984" t="s">
        <v>1945</v>
      </c>
      <c r="S984" t="s">
        <v>2602</v>
      </c>
      <c r="T984">
        <v>0.33</v>
      </c>
      <c r="U984">
        <v>0.8</v>
      </c>
      <c r="V984">
        <v>1.6</v>
      </c>
      <c r="W984">
        <v>42</v>
      </c>
      <c r="X984">
        <v>42</v>
      </c>
      <c r="Y984">
        <v>26.5</v>
      </c>
    </row>
    <row r="985" spans="1:25" ht="60" customHeight="1" x14ac:dyDescent="0.25">
      <c r="A985"/>
      <c r="B985" t="s">
        <v>4</v>
      </c>
      <c r="C985" t="s">
        <v>3736</v>
      </c>
      <c r="D985" t="s">
        <v>644</v>
      </c>
      <c r="E985" t="s">
        <v>851</v>
      </c>
      <c r="F985" t="s">
        <v>852</v>
      </c>
      <c r="G985" t="s">
        <v>678</v>
      </c>
      <c r="H985" s="11">
        <v>341.33</v>
      </c>
      <c r="I985" s="10">
        <f>H985*(1-IFERROR(VLOOKUP(G985,Rabat!$C$9:$D$43,2,0),0))</f>
        <v>341.33</v>
      </c>
      <c r="J985" t="s">
        <v>1815</v>
      </c>
      <c r="K985" t="s">
        <v>1846</v>
      </c>
      <c r="L985" t="s">
        <v>1813</v>
      </c>
      <c r="M985">
        <v>1</v>
      </c>
      <c r="N985"/>
      <c r="O985" t="s">
        <v>1818</v>
      </c>
      <c r="P985" s="12" t="str">
        <f>HYPERLINK("https://b2b.kobi.pl/pl/product/9808,lampa-wiszaca-boho-brugia-m-rb-1xe27-kobi-design?currency=PLN")</f>
        <v>https://b2b.kobi.pl/pl/product/9808,lampa-wiszaca-boho-brugia-m-rb-1xe27-kobi-design?currency=PLN</v>
      </c>
      <c r="Q985" t="s">
        <v>14</v>
      </c>
      <c r="R985" t="s">
        <v>1945</v>
      </c>
      <c r="S985" t="s">
        <v>2602</v>
      </c>
      <c r="T985">
        <v>0.2</v>
      </c>
      <c r="U985">
        <v>0.5</v>
      </c>
      <c r="V985">
        <v>1</v>
      </c>
      <c r="W985">
        <v>52</v>
      </c>
      <c r="X985">
        <v>19</v>
      </c>
      <c r="Y985">
        <v>30</v>
      </c>
    </row>
    <row r="986" spans="1:25" ht="60" customHeight="1" x14ac:dyDescent="0.25">
      <c r="A986"/>
      <c r="B986" t="s">
        <v>4</v>
      </c>
      <c r="C986" t="s">
        <v>3736</v>
      </c>
      <c r="D986" t="s">
        <v>644</v>
      </c>
      <c r="E986" t="s">
        <v>853</v>
      </c>
      <c r="F986" t="s">
        <v>854</v>
      </c>
      <c r="G986" t="s">
        <v>678</v>
      </c>
      <c r="H986" s="11">
        <v>341.33</v>
      </c>
      <c r="I986" s="10">
        <f>H986*(1-IFERROR(VLOOKUP(G986,Rabat!$C$9:$D$43,2,0),0))</f>
        <v>341.33</v>
      </c>
      <c r="J986" t="s">
        <v>1815</v>
      </c>
      <c r="K986" t="s">
        <v>1847</v>
      </c>
      <c r="L986" t="s">
        <v>1813</v>
      </c>
      <c r="M986">
        <v>1</v>
      </c>
      <c r="N986"/>
      <c r="O986" t="s">
        <v>1818</v>
      </c>
      <c r="P986" s="12" t="str">
        <f>HYPERLINK("https://b2b.kobi.pl/pl/product/9809,lampa-wiszaca-boho-brugia-m-rw-1xe27-kobi-design?currency=PLN")</f>
        <v>https://b2b.kobi.pl/pl/product/9809,lampa-wiszaca-boho-brugia-m-rw-1xe27-kobi-design?currency=PLN</v>
      </c>
      <c r="Q986" t="s">
        <v>14</v>
      </c>
      <c r="R986" t="s">
        <v>1945</v>
      </c>
      <c r="S986" t="s">
        <v>2602</v>
      </c>
      <c r="T986">
        <v>0.2</v>
      </c>
      <c r="U986">
        <v>0.5</v>
      </c>
      <c r="V986">
        <v>1</v>
      </c>
      <c r="W986">
        <v>52</v>
      </c>
      <c r="X986">
        <v>19</v>
      </c>
      <c r="Y986">
        <v>30</v>
      </c>
    </row>
    <row r="987" spans="1:25" ht="60" customHeight="1" x14ac:dyDescent="0.25">
      <c r="A987"/>
      <c r="B987" t="s">
        <v>4</v>
      </c>
      <c r="C987" t="s">
        <v>3736</v>
      </c>
      <c r="D987" t="s">
        <v>644</v>
      </c>
      <c r="E987" t="s">
        <v>841</v>
      </c>
      <c r="F987" t="s">
        <v>842</v>
      </c>
      <c r="G987" t="s">
        <v>678</v>
      </c>
      <c r="H987" s="11">
        <v>428.96</v>
      </c>
      <c r="I987" s="10">
        <f>H987*(1-IFERROR(VLOOKUP(G987,Rabat!$C$9:$D$43,2,0),0))</f>
        <v>428.96</v>
      </c>
      <c r="J987" t="s">
        <v>1815</v>
      </c>
      <c r="K987" t="s">
        <v>1844</v>
      </c>
      <c r="L987" t="s">
        <v>1813</v>
      </c>
      <c r="M987">
        <v>1</v>
      </c>
      <c r="N987"/>
      <c r="O987" t="s">
        <v>1818</v>
      </c>
      <c r="P987" s="12" t="str">
        <f>HYPERLINK("https://b2b.kobi.pl/pl/product/9810,lampa-wiszaca-boho-brugia-l-rb-1xe27-kobi-design?currency=PLN")</f>
        <v>https://b2b.kobi.pl/pl/product/9810,lampa-wiszaca-boho-brugia-l-rb-1xe27-kobi-design?currency=PLN</v>
      </c>
      <c r="Q987" t="s">
        <v>14</v>
      </c>
      <c r="R987" t="s">
        <v>1945</v>
      </c>
      <c r="S987" t="s">
        <v>2602</v>
      </c>
      <c r="T987">
        <v>0.28999999999999998</v>
      </c>
      <c r="U987">
        <v>0.7</v>
      </c>
      <c r="V987">
        <v>1.3</v>
      </c>
      <c r="W987">
        <v>63</v>
      </c>
      <c r="X987">
        <v>21</v>
      </c>
      <c r="Y987">
        <v>35</v>
      </c>
    </row>
    <row r="988" spans="1:25" ht="60" customHeight="1" x14ac:dyDescent="0.25">
      <c r="A988"/>
      <c r="B988" t="s">
        <v>4</v>
      </c>
      <c r="C988" t="s">
        <v>3736</v>
      </c>
      <c r="D988" t="s">
        <v>644</v>
      </c>
      <c r="E988" t="s">
        <v>843</v>
      </c>
      <c r="F988" t="s">
        <v>844</v>
      </c>
      <c r="G988" t="s">
        <v>678</v>
      </c>
      <c r="H988" s="11">
        <v>428.96</v>
      </c>
      <c r="I988" s="10">
        <f>H988*(1-IFERROR(VLOOKUP(G988,Rabat!$C$9:$D$43,2,0),0))</f>
        <v>428.96</v>
      </c>
      <c r="J988" t="s">
        <v>1815</v>
      </c>
      <c r="K988" t="s">
        <v>1845</v>
      </c>
      <c r="L988" t="s">
        <v>1813</v>
      </c>
      <c r="M988">
        <v>1</v>
      </c>
      <c r="N988">
        <v>24</v>
      </c>
      <c r="O988" t="s">
        <v>1818</v>
      </c>
      <c r="P988" s="12" t="str">
        <f>HYPERLINK("https://b2b.kobi.pl/pl/product/9811,lampa-wiszaca-boho-brugia-l-rw-1xe27-kobi-design?currency=PLN")</f>
        <v>https://b2b.kobi.pl/pl/product/9811,lampa-wiszaca-boho-brugia-l-rw-1xe27-kobi-design?currency=PLN</v>
      </c>
      <c r="Q988" t="s">
        <v>14</v>
      </c>
      <c r="R988" t="s">
        <v>1945</v>
      </c>
      <c r="S988" t="s">
        <v>2602</v>
      </c>
      <c r="T988">
        <v>0.28999999999999998</v>
      </c>
      <c r="U988">
        <v>0.7</v>
      </c>
      <c r="V988">
        <v>1.3</v>
      </c>
      <c r="W988">
        <v>63</v>
      </c>
      <c r="X988">
        <v>21</v>
      </c>
      <c r="Y988">
        <v>35</v>
      </c>
    </row>
    <row r="989" spans="1:25" ht="60" customHeight="1" x14ac:dyDescent="0.25">
      <c r="A989"/>
      <c r="B989" t="s">
        <v>4</v>
      </c>
      <c r="C989" t="s">
        <v>3736</v>
      </c>
      <c r="D989" t="s">
        <v>644</v>
      </c>
      <c r="E989" t="s">
        <v>809</v>
      </c>
      <c r="F989" t="s">
        <v>810</v>
      </c>
      <c r="G989" t="s">
        <v>678</v>
      </c>
      <c r="H989" s="11">
        <v>341.11</v>
      </c>
      <c r="I989" s="10">
        <f>H989*(1-IFERROR(VLOOKUP(G989,Rabat!$C$9:$D$43,2,0),0))</f>
        <v>341.11</v>
      </c>
      <c r="J989" t="s">
        <v>1815</v>
      </c>
      <c r="K989" t="s">
        <v>1840</v>
      </c>
      <c r="L989" t="s">
        <v>1813</v>
      </c>
      <c r="M989">
        <v>1</v>
      </c>
      <c r="N989">
        <v>30</v>
      </c>
      <c r="O989" t="s">
        <v>1818</v>
      </c>
      <c r="P989" s="12" t="str">
        <f>HYPERLINK("https://b2b.kobi.pl/pl/product/9812,lampa-wiszaca-boho-baku-l-1xe27-kobi-design?currency=PLN")</f>
        <v>https://b2b.kobi.pl/pl/product/9812,lampa-wiszaca-boho-baku-l-1xe27-kobi-design?currency=PLN</v>
      </c>
      <c r="Q989" t="s">
        <v>14</v>
      </c>
      <c r="R989" t="s">
        <v>1945</v>
      </c>
      <c r="S989" t="s">
        <v>2602</v>
      </c>
      <c r="T989">
        <v>0.28999999999999998</v>
      </c>
      <c r="U989">
        <v>0.7</v>
      </c>
      <c r="V989">
        <v>1.4</v>
      </c>
      <c r="W989">
        <v>46</v>
      </c>
      <c r="X989">
        <v>24</v>
      </c>
      <c r="Y989">
        <v>47</v>
      </c>
    </row>
    <row r="990" spans="1:25" ht="60" customHeight="1" x14ac:dyDescent="0.25">
      <c r="A990"/>
      <c r="B990" t="s">
        <v>4</v>
      </c>
      <c r="C990" t="s">
        <v>3736</v>
      </c>
      <c r="D990" t="s">
        <v>644</v>
      </c>
      <c r="E990" t="s">
        <v>1757</v>
      </c>
      <c r="F990" t="s">
        <v>1758</v>
      </c>
      <c r="G990" t="s">
        <v>678</v>
      </c>
      <c r="H990" s="11">
        <v>432.33</v>
      </c>
      <c r="I990" s="10">
        <f>H990*(1-IFERROR(VLOOKUP(G990,Rabat!$C$9:$D$43,2,0),0))</f>
        <v>432.33</v>
      </c>
      <c r="J990" t="s">
        <v>1815</v>
      </c>
      <c r="K990" t="s">
        <v>1909</v>
      </c>
      <c r="L990" t="s">
        <v>1813</v>
      </c>
      <c r="M990">
        <v>1</v>
      </c>
      <c r="N990"/>
      <c r="O990" t="s">
        <v>1818</v>
      </c>
      <c r="P990" s="12" t="str">
        <f>HYPERLINK("https://b2b.kobi.pl/pl/product/9813,lampa-wiszaca-boho-bern-m-1xe27-kobi-design?currency=PLN")</f>
        <v>https://b2b.kobi.pl/pl/product/9813,lampa-wiszaca-boho-bern-m-1xe27-kobi-design?currency=PLN</v>
      </c>
      <c r="Q990" t="s">
        <v>14</v>
      </c>
      <c r="R990" t="s">
        <v>1945</v>
      </c>
      <c r="S990" t="s">
        <v>2602</v>
      </c>
      <c r="T990">
        <v>0.33</v>
      </c>
      <c r="U990">
        <v>0.8</v>
      </c>
      <c r="V990">
        <v>1.6</v>
      </c>
      <c r="W990">
        <v>36</v>
      </c>
      <c r="X990">
        <v>36</v>
      </c>
      <c r="Y990">
        <v>42</v>
      </c>
    </row>
    <row r="991" spans="1:25" ht="60" customHeight="1" x14ac:dyDescent="0.25">
      <c r="A991"/>
      <c r="B991" t="s">
        <v>4</v>
      </c>
      <c r="C991" t="s">
        <v>3736</v>
      </c>
      <c r="D991" t="s">
        <v>644</v>
      </c>
      <c r="E991" t="s">
        <v>1791</v>
      </c>
      <c r="F991" t="s">
        <v>1792</v>
      </c>
      <c r="G991" t="s">
        <v>784</v>
      </c>
      <c r="H991" s="11">
        <v>302.08</v>
      </c>
      <c r="I991" s="10">
        <f>H991*(1-IFERROR(VLOOKUP(G991,Rabat!$C$9:$D$43,2,0),0))</f>
        <v>302.08</v>
      </c>
      <c r="J991" t="s">
        <v>1815</v>
      </c>
      <c r="K991" t="s">
        <v>1927</v>
      </c>
      <c r="L991" t="s">
        <v>1813</v>
      </c>
      <c r="M991">
        <v>1</v>
      </c>
      <c r="N991"/>
      <c r="O991" t="s">
        <v>1818</v>
      </c>
      <c r="P991" s="12" t="str">
        <f>HYPERLINK("https://b2b.kobi.pl/pl/product/9816,lampka-biurkowa-boho-bitavia-mini-1xe27-kobi-design?currency=PLN")</f>
        <v>https://b2b.kobi.pl/pl/product/9816,lampka-biurkowa-boho-bitavia-mini-1xe27-kobi-design?currency=PLN</v>
      </c>
      <c r="Q991" t="s">
        <v>14</v>
      </c>
      <c r="R991" t="s">
        <v>1945</v>
      </c>
      <c r="S991" t="s">
        <v>2602</v>
      </c>
      <c r="T991">
        <v>0.27</v>
      </c>
      <c r="U991">
        <v>0.7</v>
      </c>
      <c r="V991">
        <v>1.4</v>
      </c>
      <c r="W991">
        <v>35</v>
      </c>
      <c r="X991">
        <v>35</v>
      </c>
      <c r="Y991">
        <v>31</v>
      </c>
    </row>
    <row r="992" spans="1:25" ht="60" customHeight="1" x14ac:dyDescent="0.25">
      <c r="A992"/>
      <c r="B992" t="s">
        <v>4</v>
      </c>
      <c r="C992" t="s">
        <v>3736</v>
      </c>
      <c r="D992" t="s">
        <v>644</v>
      </c>
      <c r="E992" t="s">
        <v>825</v>
      </c>
      <c r="F992" t="s">
        <v>826</v>
      </c>
      <c r="G992" t="s">
        <v>678</v>
      </c>
      <c r="H992" s="11">
        <v>303.38</v>
      </c>
      <c r="I992" s="10">
        <f>H992*(1-IFERROR(VLOOKUP(G992,Rabat!$C$9:$D$43,2,0),0))</f>
        <v>303.38</v>
      </c>
      <c r="J992" t="s">
        <v>1815</v>
      </c>
      <c r="K992" t="s">
        <v>1841</v>
      </c>
      <c r="L992" t="s">
        <v>1813</v>
      </c>
      <c r="M992">
        <v>1</v>
      </c>
      <c r="N992"/>
      <c r="O992" t="s">
        <v>1818</v>
      </c>
      <c r="P992" s="12" t="str">
        <f>HYPERLINK("https://b2b.kobi.pl/pl/product/9817,lampa-wiszaca-boho-belmo-1xe27-kobi-design?currency=PLN")</f>
        <v>https://b2b.kobi.pl/pl/product/9817,lampa-wiszaca-boho-belmo-1xe27-kobi-design?currency=PLN</v>
      </c>
      <c r="Q992" t="s">
        <v>14</v>
      </c>
      <c r="R992" t="s">
        <v>1945</v>
      </c>
      <c r="S992" t="s">
        <v>2602</v>
      </c>
      <c r="T992">
        <v>0.2</v>
      </c>
      <c r="U992">
        <v>0.5</v>
      </c>
      <c r="V992">
        <v>1.2</v>
      </c>
      <c r="W992">
        <v>40</v>
      </c>
      <c r="X992">
        <v>40</v>
      </c>
      <c r="Y992">
        <v>22</v>
      </c>
    </row>
    <row r="993" spans="1:25" ht="60" customHeight="1" x14ac:dyDescent="0.25">
      <c r="A993"/>
      <c r="B993" t="s">
        <v>4</v>
      </c>
      <c r="C993" t="s">
        <v>3736</v>
      </c>
      <c r="D993" t="s">
        <v>644</v>
      </c>
      <c r="E993" t="s">
        <v>1759</v>
      </c>
      <c r="F993" t="s">
        <v>1760</v>
      </c>
      <c r="G993" t="s">
        <v>678</v>
      </c>
      <c r="H993" s="11">
        <v>337.08</v>
      </c>
      <c r="I993" s="10">
        <f>H993*(1-IFERROR(VLOOKUP(G993,Rabat!$C$9:$D$43,2,0),0))</f>
        <v>337.08</v>
      </c>
      <c r="J993" t="s">
        <v>1815</v>
      </c>
      <c r="K993" t="s">
        <v>1910</v>
      </c>
      <c r="L993" t="s">
        <v>1813</v>
      </c>
      <c r="M993">
        <v>1</v>
      </c>
      <c r="N993"/>
      <c r="O993" t="s">
        <v>1818</v>
      </c>
      <c r="P993" s="12" t="str">
        <f>HYPERLINK("https://b2b.kobi.pl/pl/product/9818,lampa-wiszaca-boho-bosu-1xe27-kobi-design?currency=PLN")</f>
        <v>https://b2b.kobi.pl/pl/product/9818,lampa-wiszaca-boho-bosu-1xe27-kobi-design?currency=PLN</v>
      </c>
      <c r="Q993" t="s">
        <v>14</v>
      </c>
      <c r="R993" t="s">
        <v>1945</v>
      </c>
      <c r="S993" t="s">
        <v>2602</v>
      </c>
      <c r="T993">
        <v>0.2</v>
      </c>
      <c r="U993">
        <v>0.5</v>
      </c>
      <c r="V993">
        <v>1.2</v>
      </c>
      <c r="W993">
        <v>40</v>
      </c>
      <c r="X993">
        <v>40</v>
      </c>
      <c r="Y993">
        <v>28</v>
      </c>
    </row>
    <row r="994" spans="1:25" ht="60" customHeight="1" x14ac:dyDescent="0.25">
      <c r="A994"/>
      <c r="B994" t="s">
        <v>4</v>
      </c>
      <c r="C994" t="s">
        <v>3736</v>
      </c>
      <c r="D994" t="s">
        <v>644</v>
      </c>
      <c r="E994" t="s">
        <v>1793</v>
      </c>
      <c r="F994" t="s">
        <v>1794</v>
      </c>
      <c r="G994" t="s">
        <v>678</v>
      </c>
      <c r="H994" s="11">
        <v>342.6</v>
      </c>
      <c r="I994" s="10">
        <f>H994*(1-IFERROR(VLOOKUP(G994,Rabat!$C$9:$D$43,2,0),0))</f>
        <v>342.6</v>
      </c>
      <c r="J994" t="s">
        <v>1815</v>
      </c>
      <c r="K994" t="s">
        <v>1928</v>
      </c>
      <c r="L994" t="s">
        <v>1813</v>
      </c>
      <c r="M994">
        <v>1</v>
      </c>
      <c r="N994"/>
      <c r="O994" t="s">
        <v>1818</v>
      </c>
      <c r="P994" s="12" t="str">
        <f>HYPERLINK("https://b2b.kobi.pl/pl/product/9819,lampa-wiszaca-boho-bonti-1xe27-kobi-design?currency=PLN")</f>
        <v>https://b2b.kobi.pl/pl/product/9819,lampa-wiszaca-boho-bonti-1xe27-kobi-design?currency=PLN</v>
      </c>
      <c r="Q994" t="s">
        <v>14</v>
      </c>
      <c r="R994" t="s">
        <v>1945</v>
      </c>
      <c r="S994" t="s">
        <v>2602</v>
      </c>
      <c r="T994">
        <v>0.49</v>
      </c>
      <c r="U994">
        <v>1.2</v>
      </c>
      <c r="V994">
        <v>1.9</v>
      </c>
      <c r="W994">
        <v>41</v>
      </c>
      <c r="X994">
        <v>41</v>
      </c>
      <c r="Y994">
        <v>24</v>
      </c>
    </row>
    <row r="995" spans="1:25" ht="60" customHeight="1" x14ac:dyDescent="0.25">
      <c r="A995"/>
      <c r="B995" t="s">
        <v>4</v>
      </c>
      <c r="C995" t="s">
        <v>3736</v>
      </c>
      <c r="D995" t="s">
        <v>644</v>
      </c>
      <c r="E995" t="s">
        <v>1795</v>
      </c>
      <c r="F995" t="s">
        <v>1796</v>
      </c>
      <c r="G995" t="s">
        <v>678</v>
      </c>
      <c r="H995" s="11">
        <v>502.73</v>
      </c>
      <c r="I995" s="10">
        <f>H995*(1-IFERROR(VLOOKUP(G995,Rabat!$C$9:$D$43,2,0),0))</f>
        <v>502.73</v>
      </c>
      <c r="J995" t="s">
        <v>1815</v>
      </c>
      <c r="K995" t="s">
        <v>1929</v>
      </c>
      <c r="L995" t="s">
        <v>1813</v>
      </c>
      <c r="M995">
        <v>1</v>
      </c>
      <c r="N995"/>
      <c r="O995" t="s">
        <v>1818</v>
      </c>
      <c r="P995" s="12" t="str">
        <f>HYPERLINK("https://b2b.kobi.pl/pl/product/9820,lampa-wiszaca-boho-bindum-1xe27-kobi-design?currency=PLN")</f>
        <v>https://b2b.kobi.pl/pl/product/9820,lampa-wiszaca-boho-bindum-1xe27-kobi-design?currency=PLN</v>
      </c>
      <c r="Q995" t="s">
        <v>14</v>
      </c>
      <c r="R995" t="s">
        <v>1945</v>
      </c>
      <c r="S995" t="s">
        <v>2602</v>
      </c>
      <c r="T995">
        <v>0.25</v>
      </c>
      <c r="U995">
        <v>0.6</v>
      </c>
      <c r="V995">
        <v>1.6</v>
      </c>
      <c r="W995">
        <v>51</v>
      </c>
      <c r="X995">
        <v>51</v>
      </c>
      <c r="Y995">
        <v>23</v>
      </c>
    </row>
    <row r="996" spans="1:25" ht="60" customHeight="1" x14ac:dyDescent="0.25">
      <c r="A996"/>
      <c r="B996" t="s">
        <v>4</v>
      </c>
      <c r="C996" t="s">
        <v>3736</v>
      </c>
      <c r="D996" t="s">
        <v>644</v>
      </c>
      <c r="E996" t="s">
        <v>1761</v>
      </c>
      <c r="F996" t="s">
        <v>1762</v>
      </c>
      <c r="G996" t="s">
        <v>678</v>
      </c>
      <c r="H996" s="11">
        <v>380.95</v>
      </c>
      <c r="I996" s="10">
        <f>H996*(1-IFERROR(VLOOKUP(G996,Rabat!$C$9:$D$43,2,0),0))</f>
        <v>380.95</v>
      </c>
      <c r="J996" t="s">
        <v>1815</v>
      </c>
      <c r="K996" t="s">
        <v>1911</v>
      </c>
      <c r="L996" t="s">
        <v>1813</v>
      </c>
      <c r="M996">
        <v>1</v>
      </c>
      <c r="N996"/>
      <c r="O996" t="s">
        <v>1818</v>
      </c>
      <c r="P996" s="12" t="str">
        <f>HYPERLINK("https://b2b.kobi.pl/pl/product/9821,lampa-wiszaca-boho-renni-n-1xe27-kobi-design?currency=PLN")</f>
        <v>https://b2b.kobi.pl/pl/product/9821,lampa-wiszaca-boho-renni-n-1xe27-kobi-design?currency=PLN</v>
      </c>
      <c r="Q996" t="s">
        <v>14</v>
      </c>
      <c r="R996" t="s">
        <v>1945</v>
      </c>
      <c r="S996" t="s">
        <v>2602</v>
      </c>
      <c r="T996">
        <v>0.25</v>
      </c>
      <c r="U996">
        <v>0.6</v>
      </c>
      <c r="V996">
        <v>1.4</v>
      </c>
      <c r="W996">
        <v>41.5</v>
      </c>
      <c r="X996">
        <v>41.5</v>
      </c>
      <c r="Y996">
        <v>22.5</v>
      </c>
    </row>
    <row r="997" spans="1:25" ht="60" customHeight="1" x14ac:dyDescent="0.25">
      <c r="A997"/>
      <c r="B997" t="s">
        <v>4</v>
      </c>
      <c r="C997" t="s">
        <v>3736</v>
      </c>
      <c r="D997" t="s">
        <v>644</v>
      </c>
      <c r="E997" t="s">
        <v>1763</v>
      </c>
      <c r="F997" t="s">
        <v>1764</v>
      </c>
      <c r="G997" t="s">
        <v>678</v>
      </c>
      <c r="H997" s="11">
        <v>353.7</v>
      </c>
      <c r="I997" s="10">
        <f>H997*(1-IFERROR(VLOOKUP(G997,Rabat!$C$9:$D$43,2,0),0))</f>
        <v>353.7</v>
      </c>
      <c r="J997" t="s">
        <v>1815</v>
      </c>
      <c r="K997" t="s">
        <v>1912</v>
      </c>
      <c r="L997" t="s">
        <v>1813</v>
      </c>
      <c r="M997">
        <v>1</v>
      </c>
      <c r="N997"/>
      <c r="O997" t="s">
        <v>1818</v>
      </c>
      <c r="P997" s="12" t="str">
        <f>HYPERLINK("https://b2b.kobi.pl/pl/product/9822,lampa-wiszaca-boho-bayos-1xe27-kobi-design?currency=PLN")</f>
        <v>https://b2b.kobi.pl/pl/product/9822,lampa-wiszaca-boho-bayos-1xe27-kobi-design?currency=PLN</v>
      </c>
      <c r="Q997" t="s">
        <v>14</v>
      </c>
      <c r="R997" t="s">
        <v>1945</v>
      </c>
      <c r="S997" t="s">
        <v>2602</v>
      </c>
      <c r="T997">
        <v>0.16</v>
      </c>
      <c r="U997">
        <v>0.4</v>
      </c>
      <c r="V997">
        <v>1.2</v>
      </c>
      <c r="W997">
        <v>42</v>
      </c>
      <c r="X997">
        <v>42</v>
      </c>
      <c r="Y997">
        <v>29</v>
      </c>
    </row>
    <row r="998" spans="1:25" ht="60" customHeight="1" x14ac:dyDescent="0.25">
      <c r="A998"/>
      <c r="B998" t="s">
        <v>4</v>
      </c>
      <c r="C998" t="s">
        <v>3736</v>
      </c>
      <c r="D998" t="s">
        <v>644</v>
      </c>
      <c r="E998" t="s">
        <v>1797</v>
      </c>
      <c r="F998" t="s">
        <v>1798</v>
      </c>
      <c r="G998" t="s">
        <v>678</v>
      </c>
      <c r="H998" s="11">
        <v>276.93</v>
      </c>
      <c r="I998" s="10">
        <f>H998*(1-IFERROR(VLOOKUP(G998,Rabat!$C$9:$D$43,2,0),0))</f>
        <v>276.93</v>
      </c>
      <c r="J998" t="s">
        <v>1815</v>
      </c>
      <c r="K998" t="s">
        <v>1930</v>
      </c>
      <c r="L998" t="s">
        <v>1813</v>
      </c>
      <c r="M998">
        <v>1</v>
      </c>
      <c r="N998"/>
      <c r="O998" t="s">
        <v>1818</v>
      </c>
      <c r="P998" s="12" t="str">
        <f>HYPERLINK("https://b2b.kobi.pl/pl/product/9823,lampa-wiszaca-boho-bandigo-1xe27-kobi-design?currency=PLN")</f>
        <v>https://b2b.kobi.pl/pl/product/9823,lampa-wiszaca-boho-bandigo-1xe27-kobi-design?currency=PLN</v>
      </c>
      <c r="Q998" t="s">
        <v>14</v>
      </c>
      <c r="R998" t="s">
        <v>1945</v>
      </c>
      <c r="S998" t="s">
        <v>2602</v>
      </c>
      <c r="T998">
        <v>0.25</v>
      </c>
      <c r="U998">
        <v>0.6</v>
      </c>
      <c r="V998">
        <v>1</v>
      </c>
      <c r="W998">
        <v>32</v>
      </c>
      <c r="X998">
        <v>32</v>
      </c>
      <c r="Y998">
        <v>22</v>
      </c>
    </row>
    <row r="999" spans="1:25" ht="60" customHeight="1" x14ac:dyDescent="0.25">
      <c r="A999"/>
      <c r="B999" t="s">
        <v>4</v>
      </c>
      <c r="C999" t="s">
        <v>3736</v>
      </c>
      <c r="D999" t="s">
        <v>644</v>
      </c>
      <c r="E999" t="s">
        <v>1765</v>
      </c>
      <c r="F999" t="s">
        <v>1766</v>
      </c>
      <c r="G999" t="s">
        <v>678</v>
      </c>
      <c r="H999" s="11">
        <v>410.6</v>
      </c>
      <c r="I999" s="10">
        <f>H999*(1-IFERROR(VLOOKUP(G999,Rabat!$C$9:$D$43,2,0),0))</f>
        <v>410.6</v>
      </c>
      <c r="J999" t="s">
        <v>1815</v>
      </c>
      <c r="K999" t="s">
        <v>1913</v>
      </c>
      <c r="L999" t="s">
        <v>1813</v>
      </c>
      <c r="M999">
        <v>1</v>
      </c>
      <c r="N999"/>
      <c r="O999" t="s">
        <v>1818</v>
      </c>
      <c r="P999" s="12" t="str">
        <f>HYPERLINK("https://b2b.kobi.pl/pl/product/9824,lampa-wiszaca-boho-barso-1xe27-kobi-design?currency=PLN")</f>
        <v>https://b2b.kobi.pl/pl/product/9824,lampa-wiszaca-boho-barso-1xe27-kobi-design?currency=PLN</v>
      </c>
      <c r="Q999" t="s">
        <v>14</v>
      </c>
      <c r="R999" t="s">
        <v>1945</v>
      </c>
      <c r="S999" t="s">
        <v>2602</v>
      </c>
      <c r="T999">
        <v>0.16</v>
      </c>
      <c r="U999">
        <v>0.4</v>
      </c>
      <c r="V999">
        <v>1.4</v>
      </c>
      <c r="W999">
        <v>41</v>
      </c>
      <c r="X999">
        <v>41</v>
      </c>
      <c r="Y999">
        <v>43</v>
      </c>
    </row>
    <row r="1000" spans="1:25" ht="60" customHeight="1" x14ac:dyDescent="0.25">
      <c r="A1000"/>
      <c r="B1000" t="s">
        <v>4</v>
      </c>
      <c r="C1000" t="s">
        <v>3736</v>
      </c>
      <c r="D1000" t="s">
        <v>644</v>
      </c>
      <c r="E1000" t="s">
        <v>3199</v>
      </c>
      <c r="F1000" t="s">
        <v>793</v>
      </c>
      <c r="G1000" t="s">
        <v>678</v>
      </c>
      <c r="H1000" s="11">
        <v>300.02</v>
      </c>
      <c r="I1000" s="10">
        <f>H1000*(1-IFERROR(VLOOKUP(G1000,Rabat!$C$9:$D$43,2,0),0))</f>
        <v>300.02</v>
      </c>
      <c r="J1000" t="s">
        <v>1815</v>
      </c>
      <c r="K1000" t="s">
        <v>1836</v>
      </c>
      <c r="L1000" t="s">
        <v>1813</v>
      </c>
      <c r="M1000">
        <v>1</v>
      </c>
      <c r="N1000">
        <v>30</v>
      </c>
      <c r="O1000" t="s">
        <v>1818</v>
      </c>
      <c r="P1000" s="12" t="str">
        <f>HYPERLINK("https://b2b.kobi.pl/pl/product/9825,lampa-sufitowa-boho-buli-s-1xe27-kobi-design?currency=PLN")</f>
        <v>https://b2b.kobi.pl/pl/product/9825,lampa-sufitowa-boho-buli-s-1xe27-kobi-design?currency=PLN</v>
      </c>
      <c r="Q1000" t="s">
        <v>14</v>
      </c>
      <c r="R1000" t="s">
        <v>1945</v>
      </c>
      <c r="S1000" t="s">
        <v>2602</v>
      </c>
      <c r="T1000">
        <v>0.27</v>
      </c>
      <c r="U1000">
        <v>0.7</v>
      </c>
      <c r="V1000">
        <v>1.4</v>
      </c>
      <c r="W1000">
        <v>41</v>
      </c>
      <c r="X1000">
        <v>41</v>
      </c>
      <c r="Y1000">
        <v>23</v>
      </c>
    </row>
    <row r="1001" spans="1:25" ht="60" customHeight="1" x14ac:dyDescent="0.25">
      <c r="A1001"/>
      <c r="B1001" t="s">
        <v>4</v>
      </c>
      <c r="C1001" t="s">
        <v>3736</v>
      </c>
      <c r="D1001" t="s">
        <v>644</v>
      </c>
      <c r="E1001" t="s">
        <v>4002</v>
      </c>
      <c r="F1001" t="s">
        <v>1767</v>
      </c>
      <c r="G1001" t="s">
        <v>678</v>
      </c>
      <c r="H1001" s="11">
        <v>418.93</v>
      </c>
      <c r="I1001" s="10">
        <f>H1001*(1-IFERROR(VLOOKUP(G1001,Rabat!$C$9:$D$43,2,0),0))</f>
        <v>418.93</v>
      </c>
      <c r="J1001" t="s">
        <v>1815</v>
      </c>
      <c r="K1001" t="s">
        <v>1914</v>
      </c>
      <c r="L1001" t="s">
        <v>1813</v>
      </c>
      <c r="M1001">
        <v>1</v>
      </c>
      <c r="N1001">
        <v>18</v>
      </c>
      <c r="O1001" t="s">
        <v>1818</v>
      </c>
      <c r="P1001" s="12" t="str">
        <f>HYPERLINK("https://b2b.kobi.pl/pl/product/9826,lampa-sufitowa-boho-buli-m-1xe27-kobi-design?currency=PLN")</f>
        <v>https://b2b.kobi.pl/pl/product/9826,lampa-sufitowa-boho-buli-m-1xe27-kobi-design?currency=PLN</v>
      </c>
      <c r="Q1001" t="s">
        <v>14</v>
      </c>
      <c r="R1001" t="s">
        <v>1945</v>
      </c>
      <c r="S1001" t="s">
        <v>2602</v>
      </c>
      <c r="T1001">
        <v>0.35</v>
      </c>
      <c r="U1001">
        <v>0.9</v>
      </c>
      <c r="V1001">
        <v>1.8</v>
      </c>
      <c r="W1001">
        <v>51</v>
      </c>
      <c r="X1001">
        <v>51</v>
      </c>
      <c r="Y1001">
        <v>24.5</v>
      </c>
    </row>
    <row r="1002" spans="1:25" ht="60" customHeight="1" x14ac:dyDescent="0.25">
      <c r="A1002"/>
      <c r="B1002" t="s">
        <v>4</v>
      </c>
      <c r="C1002" t="s">
        <v>3736</v>
      </c>
      <c r="D1002" t="s">
        <v>644</v>
      </c>
      <c r="E1002" t="s">
        <v>1799</v>
      </c>
      <c r="F1002" t="s">
        <v>1800</v>
      </c>
      <c r="G1002" t="s">
        <v>678</v>
      </c>
      <c r="H1002" s="11">
        <v>383.33</v>
      </c>
      <c r="I1002" s="10">
        <f>H1002*(1-IFERROR(VLOOKUP(G1002,Rabat!$C$9:$D$43,2,0),0))</f>
        <v>383.33</v>
      </c>
      <c r="J1002" t="s">
        <v>1815</v>
      </c>
      <c r="K1002" t="s">
        <v>1931</v>
      </c>
      <c r="L1002" t="s">
        <v>1813</v>
      </c>
      <c r="M1002">
        <v>1</v>
      </c>
      <c r="N1002"/>
      <c r="O1002" t="s">
        <v>1818</v>
      </c>
      <c r="P1002" s="12" t="str">
        <f>HYPERLINK("https://b2b.kobi.pl/pl/product/9828,lampa-wiszaca-boho-bemidi-m-1xe27-kobi-design?currency=PLN")</f>
        <v>https://b2b.kobi.pl/pl/product/9828,lampa-wiszaca-boho-bemidi-m-1xe27-kobi-design?currency=PLN</v>
      </c>
      <c r="Q1002" t="s">
        <v>14</v>
      </c>
      <c r="R1002" t="s">
        <v>1945</v>
      </c>
      <c r="S1002" t="s">
        <v>2602</v>
      </c>
      <c r="T1002">
        <v>0.2</v>
      </c>
      <c r="U1002">
        <v>0.5</v>
      </c>
      <c r="V1002">
        <v>1.5</v>
      </c>
      <c r="W1002">
        <v>52</v>
      </c>
      <c r="X1002">
        <v>22</v>
      </c>
      <c r="Y1002">
        <v>43</v>
      </c>
    </row>
    <row r="1003" spans="1:25" ht="60" customHeight="1" x14ac:dyDescent="0.25">
      <c r="A1003"/>
      <c r="B1003" t="s">
        <v>4</v>
      </c>
      <c r="C1003" t="s">
        <v>3736</v>
      </c>
      <c r="D1003" t="s">
        <v>644</v>
      </c>
      <c r="E1003" t="s">
        <v>2651</v>
      </c>
      <c r="F1003" t="s">
        <v>796</v>
      </c>
      <c r="G1003" t="s">
        <v>678</v>
      </c>
      <c r="H1003" s="11">
        <v>278.18</v>
      </c>
      <c r="I1003" s="10">
        <f>H1003*(1-IFERROR(VLOOKUP(G1003,Rabat!$C$9:$D$43,2,0),0))</f>
        <v>278.18</v>
      </c>
      <c r="J1003" t="s">
        <v>1815</v>
      </c>
      <c r="K1003" t="s">
        <v>1839</v>
      </c>
      <c r="L1003" t="s">
        <v>1813</v>
      </c>
      <c r="M1003">
        <v>1</v>
      </c>
      <c r="N1003"/>
      <c r="O1003" t="s">
        <v>1818</v>
      </c>
      <c r="P1003" s="12" t="str">
        <f>HYPERLINK("https://b2b.kobi.pl/pl/product/9829,lampa-sufitowa-boho-rovno-1xe27-kobi-design?currency=PLN")</f>
        <v>https://b2b.kobi.pl/pl/product/9829,lampa-sufitowa-boho-rovno-1xe27-kobi-design?currency=PLN</v>
      </c>
      <c r="Q1003" t="s">
        <v>14</v>
      </c>
      <c r="R1003" t="s">
        <v>1945</v>
      </c>
      <c r="S1003" t="s">
        <v>2602</v>
      </c>
      <c r="T1003">
        <v>0.25</v>
      </c>
      <c r="U1003">
        <v>0.6</v>
      </c>
      <c r="V1003">
        <v>1.5</v>
      </c>
      <c r="W1003">
        <v>41</v>
      </c>
      <c r="X1003">
        <v>41</v>
      </c>
      <c r="Y1003">
        <v>42</v>
      </c>
    </row>
    <row r="1004" spans="1:25" ht="60" customHeight="1" x14ac:dyDescent="0.25">
      <c r="A1004"/>
      <c r="B1004" t="s">
        <v>4</v>
      </c>
      <c r="C1004" t="s">
        <v>3736</v>
      </c>
      <c r="D1004" t="s">
        <v>644</v>
      </c>
      <c r="E1004" t="s">
        <v>3200</v>
      </c>
      <c r="F1004" t="s">
        <v>1768</v>
      </c>
      <c r="G1004" t="s">
        <v>678</v>
      </c>
      <c r="H1004" s="11">
        <v>380.95</v>
      </c>
      <c r="I1004" s="10">
        <f>H1004*(1-IFERROR(VLOOKUP(G1004,Rabat!$C$9:$D$43,2,0),0))</f>
        <v>380.95</v>
      </c>
      <c r="J1004" t="s">
        <v>1815</v>
      </c>
      <c r="K1004" t="s">
        <v>1915</v>
      </c>
      <c r="L1004" t="s">
        <v>1813</v>
      </c>
      <c r="M1004">
        <v>1</v>
      </c>
      <c r="N1004"/>
      <c r="O1004" t="s">
        <v>1818</v>
      </c>
      <c r="P1004" s="12" t="str">
        <f>HYPERLINK("https://b2b.kobi.pl/pl/product/9830,lampa-sufitowa-boho-renni-b-1xe27-kobi-design?currency=PLN")</f>
        <v>https://b2b.kobi.pl/pl/product/9830,lampa-sufitowa-boho-renni-b-1xe27-kobi-design?currency=PLN</v>
      </c>
      <c r="Q1004" t="s">
        <v>14</v>
      </c>
      <c r="R1004" t="s">
        <v>1945</v>
      </c>
      <c r="S1004" t="s">
        <v>2602</v>
      </c>
      <c r="T1004">
        <v>0.28999999999999998</v>
      </c>
      <c r="U1004">
        <v>0.7</v>
      </c>
      <c r="V1004">
        <v>1.5</v>
      </c>
      <c r="W1004">
        <v>40</v>
      </c>
      <c r="X1004">
        <v>40</v>
      </c>
      <c r="Y1004">
        <v>25</v>
      </c>
    </row>
    <row r="1005" spans="1:25" ht="60" customHeight="1" x14ac:dyDescent="0.25">
      <c r="A1005"/>
      <c r="B1005" t="s">
        <v>4</v>
      </c>
      <c r="C1005" t="s">
        <v>3736</v>
      </c>
      <c r="D1005" t="s">
        <v>644</v>
      </c>
      <c r="E1005" t="s">
        <v>3201</v>
      </c>
      <c r="F1005" t="s">
        <v>1801</v>
      </c>
      <c r="G1005" t="s">
        <v>678</v>
      </c>
      <c r="H1005" s="11">
        <v>335.1</v>
      </c>
      <c r="I1005" s="10">
        <f>H1005*(1-IFERROR(VLOOKUP(G1005,Rabat!$C$9:$D$43,2,0),0))</f>
        <v>335.1</v>
      </c>
      <c r="J1005" t="s">
        <v>1815</v>
      </c>
      <c r="K1005" t="s">
        <v>1932</v>
      </c>
      <c r="L1005" t="s">
        <v>1813</v>
      </c>
      <c r="M1005">
        <v>1</v>
      </c>
      <c r="N1005"/>
      <c r="O1005" t="s">
        <v>1818</v>
      </c>
      <c r="P1005" s="12" t="str">
        <f>HYPERLINK("https://b2b.kobi.pl/pl/product/9831,lampa-sufitowa-boho-reddi-1xe27-kobi-design?currency=PLN")</f>
        <v>https://b2b.kobi.pl/pl/product/9831,lampa-sufitowa-boho-reddi-1xe27-kobi-design?currency=PLN</v>
      </c>
      <c r="Q1005" t="s">
        <v>14</v>
      </c>
      <c r="R1005" t="s">
        <v>1945</v>
      </c>
      <c r="S1005" t="s">
        <v>2602</v>
      </c>
      <c r="T1005">
        <v>0.41</v>
      </c>
      <c r="U1005">
        <v>1</v>
      </c>
      <c r="V1005">
        <v>1.7</v>
      </c>
      <c r="W1005">
        <v>36</v>
      </c>
      <c r="X1005">
        <v>36</v>
      </c>
      <c r="Y1005">
        <v>41</v>
      </c>
    </row>
    <row r="1006" spans="1:25" ht="60" customHeight="1" x14ac:dyDescent="0.25">
      <c r="A1006"/>
      <c r="B1006" t="s">
        <v>4</v>
      </c>
      <c r="C1006" t="s">
        <v>3736</v>
      </c>
      <c r="D1006" t="s">
        <v>644</v>
      </c>
      <c r="E1006" t="s">
        <v>3202</v>
      </c>
      <c r="F1006" t="s">
        <v>1769</v>
      </c>
      <c r="G1006" t="s">
        <v>678</v>
      </c>
      <c r="H1006" s="11">
        <v>246.68</v>
      </c>
      <c r="I1006" s="10">
        <f>H1006*(1-IFERROR(VLOOKUP(G1006,Rabat!$C$9:$D$43,2,0),0))</f>
        <v>246.68</v>
      </c>
      <c r="J1006" t="s">
        <v>1815</v>
      </c>
      <c r="K1006" t="s">
        <v>1916</v>
      </c>
      <c r="L1006" t="s">
        <v>1813</v>
      </c>
      <c r="M1006">
        <v>1</v>
      </c>
      <c r="N1006"/>
      <c r="O1006" t="s">
        <v>1818</v>
      </c>
      <c r="P1006" s="12" t="str">
        <f>HYPERLINK("https://b2b.kobi.pl/pl/product/9832,lampa-sufitowa-boho-sibu-long-1xe27-kobi-design?currency=PLN")</f>
        <v>https://b2b.kobi.pl/pl/product/9832,lampa-sufitowa-boho-sibu-long-1xe27-kobi-design?currency=PLN</v>
      </c>
      <c r="Q1006" t="s">
        <v>14</v>
      </c>
      <c r="R1006" t="s">
        <v>1945</v>
      </c>
      <c r="S1006" t="s">
        <v>2602</v>
      </c>
      <c r="T1006">
        <v>0.33</v>
      </c>
      <c r="U1006">
        <v>0.8</v>
      </c>
      <c r="V1006">
        <v>1.4</v>
      </c>
      <c r="W1006">
        <v>31.5</v>
      </c>
      <c r="X1006">
        <v>31.5</v>
      </c>
      <c r="Y1006">
        <v>43</v>
      </c>
    </row>
    <row r="1007" spans="1:25" ht="60" customHeight="1" x14ac:dyDescent="0.25">
      <c r="A1007"/>
      <c r="B1007" t="s">
        <v>4</v>
      </c>
      <c r="C1007" t="s">
        <v>3736</v>
      </c>
      <c r="D1007" t="s">
        <v>644</v>
      </c>
      <c r="E1007" t="s">
        <v>1770</v>
      </c>
      <c r="F1007" t="s">
        <v>1771</v>
      </c>
      <c r="G1007" t="s">
        <v>678</v>
      </c>
      <c r="H1007" s="11">
        <v>265.85000000000002</v>
      </c>
      <c r="I1007" s="10">
        <f>H1007*(1-IFERROR(VLOOKUP(G1007,Rabat!$C$9:$D$43,2,0),0))</f>
        <v>265.85000000000002</v>
      </c>
      <c r="J1007" t="s">
        <v>1815</v>
      </c>
      <c r="K1007" t="s">
        <v>1917</v>
      </c>
      <c r="L1007" t="s">
        <v>1813</v>
      </c>
      <c r="M1007">
        <v>1</v>
      </c>
      <c r="N1007"/>
      <c r="O1007" t="s">
        <v>1818</v>
      </c>
      <c r="P1007" s="12" t="str">
        <f>HYPERLINK("https://b2b.kobi.pl/pl/product/9833,kinkiet-boho-sibu-wall-1xe27-kobi-design?currency=PLN")</f>
        <v>https://b2b.kobi.pl/pl/product/9833,kinkiet-boho-sibu-wall-1xe27-kobi-design?currency=PLN</v>
      </c>
      <c r="Q1007" t="s">
        <v>14</v>
      </c>
      <c r="R1007" t="s">
        <v>1945</v>
      </c>
      <c r="S1007" t="s">
        <v>2602</v>
      </c>
      <c r="T1007">
        <v>0.31</v>
      </c>
      <c r="U1007">
        <v>0.8</v>
      </c>
      <c r="V1007">
        <v>1.2</v>
      </c>
      <c r="W1007">
        <v>27</v>
      </c>
      <c r="X1007">
        <v>22</v>
      </c>
      <c r="Y1007">
        <v>20</v>
      </c>
    </row>
    <row r="1008" spans="1:25" ht="60" customHeight="1" x14ac:dyDescent="0.25">
      <c r="A1008"/>
      <c r="B1008" t="s">
        <v>4</v>
      </c>
      <c r="C1008" t="s">
        <v>3736</v>
      </c>
      <c r="D1008" t="s">
        <v>644</v>
      </c>
      <c r="E1008" t="s">
        <v>1802</v>
      </c>
      <c r="F1008" t="s">
        <v>1803</v>
      </c>
      <c r="G1008" t="s">
        <v>784</v>
      </c>
      <c r="H1008" s="11">
        <v>337.08</v>
      </c>
      <c r="I1008" s="10">
        <f>H1008*(1-IFERROR(VLOOKUP(G1008,Rabat!$C$9:$D$43,2,0),0))</f>
        <v>337.08</v>
      </c>
      <c r="J1008" t="s">
        <v>1815</v>
      </c>
      <c r="K1008" t="s">
        <v>1933</v>
      </c>
      <c r="L1008" t="s">
        <v>1813</v>
      </c>
      <c r="M1008">
        <v>1</v>
      </c>
      <c r="N1008"/>
      <c r="O1008" t="s">
        <v>1818</v>
      </c>
      <c r="P1008" s="12" t="str">
        <f>HYPERLINK("https://b2b.kobi.pl/pl/product/9834,lampka-biurkowa-boho-simbu-hs-1xe27-kobi-design?currency=PLN")</f>
        <v>https://b2b.kobi.pl/pl/product/9834,lampka-biurkowa-boho-simbu-hs-1xe27-kobi-design?currency=PLN</v>
      </c>
      <c r="Q1008" t="s">
        <v>14</v>
      </c>
      <c r="R1008" t="s">
        <v>1945</v>
      </c>
      <c r="S1008" t="s">
        <v>2602</v>
      </c>
      <c r="T1008">
        <v>0.31</v>
      </c>
      <c r="U1008">
        <v>0.8</v>
      </c>
      <c r="V1008">
        <v>1.5</v>
      </c>
      <c r="W1008">
        <v>29.5</v>
      </c>
      <c r="X1008">
        <v>29.5</v>
      </c>
      <c r="Y1008">
        <v>31</v>
      </c>
    </row>
    <row r="1009" spans="1:25" ht="60" customHeight="1" x14ac:dyDescent="0.25">
      <c r="A1009"/>
      <c r="B1009" t="s">
        <v>4</v>
      </c>
      <c r="C1009" t="s">
        <v>3736</v>
      </c>
      <c r="D1009" t="s">
        <v>644</v>
      </c>
      <c r="E1009" t="s">
        <v>1772</v>
      </c>
      <c r="F1009" t="s">
        <v>1773</v>
      </c>
      <c r="G1009" t="s">
        <v>784</v>
      </c>
      <c r="H1009" s="11">
        <v>341.33</v>
      </c>
      <c r="I1009" s="10">
        <f>H1009*(1-IFERROR(VLOOKUP(G1009,Rabat!$C$9:$D$43,2,0),0))</f>
        <v>341.33</v>
      </c>
      <c r="J1009" t="s">
        <v>1815</v>
      </c>
      <c r="K1009" t="s">
        <v>1918</v>
      </c>
      <c r="L1009" t="s">
        <v>1813</v>
      </c>
      <c r="M1009">
        <v>1</v>
      </c>
      <c r="N1009"/>
      <c r="O1009" t="s">
        <v>1818</v>
      </c>
      <c r="P1009" s="12" t="str">
        <f>HYPERLINK("https://b2b.kobi.pl/pl/product/9835,lampka-biurkowa-boho-simbu-ls-1xe27-kobi-design?currency=PLN")</f>
        <v>https://b2b.kobi.pl/pl/product/9835,lampka-biurkowa-boho-simbu-ls-1xe27-kobi-design?currency=PLN</v>
      </c>
      <c r="Q1009" t="s">
        <v>14</v>
      </c>
      <c r="R1009" t="s">
        <v>1945</v>
      </c>
      <c r="S1009" t="s">
        <v>2602</v>
      </c>
      <c r="T1009">
        <v>0.31</v>
      </c>
      <c r="U1009">
        <v>0.8</v>
      </c>
      <c r="V1009">
        <v>1.4</v>
      </c>
      <c r="W1009">
        <v>32.5</v>
      </c>
      <c r="X1009">
        <v>32.5</v>
      </c>
      <c r="Y1009">
        <v>24.5</v>
      </c>
    </row>
    <row r="1010" spans="1:25" ht="60" customHeight="1" x14ac:dyDescent="0.25">
      <c r="A1010"/>
      <c r="B1010" t="s">
        <v>4</v>
      </c>
      <c r="C1010" t="s">
        <v>3736</v>
      </c>
      <c r="D1010" t="s">
        <v>644</v>
      </c>
      <c r="E1010" t="s">
        <v>1804</v>
      </c>
      <c r="F1010" t="s">
        <v>1805</v>
      </c>
      <c r="G1010" t="s">
        <v>678</v>
      </c>
      <c r="H1010" s="11">
        <v>241.1</v>
      </c>
      <c r="I1010" s="10">
        <f>H1010*(1-IFERROR(VLOOKUP(G1010,Rabat!$C$9:$D$43,2,0),0))</f>
        <v>241.1</v>
      </c>
      <c r="J1010" t="s">
        <v>1815</v>
      </c>
      <c r="K1010" t="s">
        <v>1934</v>
      </c>
      <c r="L1010" t="s">
        <v>1813</v>
      </c>
      <c r="M1010">
        <v>1</v>
      </c>
      <c r="N1010"/>
      <c r="O1010" t="s">
        <v>1818</v>
      </c>
      <c r="P1010" s="12" t="str">
        <f>HYPERLINK("https://b2b.kobi.pl/pl/product/9836,lampa-wiszaca-boho-silvon-1xe27-kobi-design?currency=PLN")</f>
        <v>https://b2b.kobi.pl/pl/product/9836,lampa-wiszaca-boho-silvon-1xe27-kobi-design?currency=PLN</v>
      </c>
      <c r="Q1010" t="s">
        <v>14</v>
      </c>
      <c r="R1010" t="s">
        <v>1945</v>
      </c>
      <c r="S1010" t="s">
        <v>2602</v>
      </c>
      <c r="T1010">
        <v>0.33</v>
      </c>
      <c r="U1010">
        <v>0.8</v>
      </c>
      <c r="V1010">
        <v>1.6</v>
      </c>
      <c r="W1010">
        <v>31.5</v>
      </c>
      <c r="X1010">
        <v>31.5</v>
      </c>
      <c r="Y1010">
        <v>35</v>
      </c>
    </row>
    <row r="1011" spans="1:25" ht="60" customHeight="1" x14ac:dyDescent="0.25">
      <c r="A1011"/>
      <c r="B1011" t="s">
        <v>4</v>
      </c>
      <c r="C1011" t="s">
        <v>3736</v>
      </c>
      <c r="D1011" t="s">
        <v>644</v>
      </c>
      <c r="E1011" t="s">
        <v>1774</v>
      </c>
      <c r="F1011" t="s">
        <v>1775</v>
      </c>
      <c r="G1011" t="s">
        <v>784</v>
      </c>
      <c r="H1011" s="11">
        <v>290.55</v>
      </c>
      <c r="I1011" s="10">
        <f>H1011*(1-IFERROR(VLOOKUP(G1011,Rabat!$C$9:$D$43,2,0),0))</f>
        <v>290.55</v>
      </c>
      <c r="J1011" t="s">
        <v>1815</v>
      </c>
      <c r="K1011" t="s">
        <v>1919</v>
      </c>
      <c r="L1011" t="s">
        <v>1813</v>
      </c>
      <c r="M1011">
        <v>1</v>
      </c>
      <c r="N1011"/>
      <c r="O1011" t="s">
        <v>1818</v>
      </c>
      <c r="P1011" s="12" t="str">
        <f>HYPERLINK("https://b2b.kobi.pl/pl/product/9837,lampka-biurkowa-boho-sibu-st-1xe27-kobi-design?currency=PLN")</f>
        <v>https://b2b.kobi.pl/pl/product/9837,lampka-biurkowa-boho-sibu-st-1xe27-kobi-design?currency=PLN</v>
      </c>
      <c r="Q1011" t="s">
        <v>14</v>
      </c>
      <c r="R1011" t="s">
        <v>1945</v>
      </c>
      <c r="S1011" t="s">
        <v>2602</v>
      </c>
      <c r="T1011">
        <v>0.27</v>
      </c>
      <c r="U1011">
        <v>0.7</v>
      </c>
      <c r="V1011">
        <v>1.3</v>
      </c>
      <c r="W1011">
        <v>32</v>
      </c>
      <c r="X1011">
        <v>32</v>
      </c>
      <c r="Y1011">
        <v>38</v>
      </c>
    </row>
    <row r="1012" spans="1:25" ht="60" customHeight="1" x14ac:dyDescent="0.25">
      <c r="A1012"/>
      <c r="B1012" t="s">
        <v>4</v>
      </c>
      <c r="C1012" t="s">
        <v>3736</v>
      </c>
      <c r="D1012" t="s">
        <v>644</v>
      </c>
      <c r="E1012" t="s">
        <v>2652</v>
      </c>
      <c r="F1012" t="s">
        <v>794</v>
      </c>
      <c r="G1012" t="s">
        <v>678</v>
      </c>
      <c r="H1012" s="11">
        <v>346.62</v>
      </c>
      <c r="I1012" s="10">
        <f>H1012*(1-IFERROR(VLOOKUP(G1012,Rabat!$C$9:$D$43,2,0),0))</f>
        <v>346.62</v>
      </c>
      <c r="J1012" t="s">
        <v>1815</v>
      </c>
      <c r="K1012" t="s">
        <v>1837</v>
      </c>
      <c r="L1012" t="s">
        <v>1813</v>
      </c>
      <c r="M1012">
        <v>1</v>
      </c>
      <c r="N1012"/>
      <c r="O1012" t="s">
        <v>1818</v>
      </c>
      <c r="P1012" s="12" t="str">
        <f>HYPERLINK("https://b2b.kobi.pl/pl/product/9838,lampa-sufitowa-boho-floxen-round-1xe27-kobi-design?currency=PLN")</f>
        <v>https://b2b.kobi.pl/pl/product/9838,lampa-sufitowa-boho-floxen-round-1xe27-kobi-design?currency=PLN</v>
      </c>
      <c r="Q1012" t="s">
        <v>14</v>
      </c>
      <c r="R1012" t="s">
        <v>1945</v>
      </c>
      <c r="S1012" t="s">
        <v>2602</v>
      </c>
      <c r="T1012">
        <v>0.41</v>
      </c>
      <c r="U1012">
        <v>1</v>
      </c>
      <c r="V1012">
        <v>1.9</v>
      </c>
      <c r="W1012">
        <v>46.5</v>
      </c>
      <c r="X1012">
        <v>46.5</v>
      </c>
      <c r="Y1012">
        <v>26</v>
      </c>
    </row>
    <row r="1013" spans="1:25" ht="60" customHeight="1" x14ac:dyDescent="0.25">
      <c r="A1013"/>
      <c r="B1013" t="s">
        <v>4</v>
      </c>
      <c r="C1013" t="s">
        <v>3736</v>
      </c>
      <c r="D1013" t="s">
        <v>644</v>
      </c>
      <c r="E1013" t="s">
        <v>2653</v>
      </c>
      <c r="F1013" t="s">
        <v>795</v>
      </c>
      <c r="G1013" t="s">
        <v>678</v>
      </c>
      <c r="H1013" s="11">
        <v>352.18</v>
      </c>
      <c r="I1013" s="10">
        <f>H1013*(1-IFERROR(VLOOKUP(G1013,Rabat!$C$9:$D$43,2,0),0))</f>
        <v>352.18</v>
      </c>
      <c r="J1013" t="s">
        <v>1815</v>
      </c>
      <c r="K1013" t="s">
        <v>1838</v>
      </c>
      <c r="L1013" t="s">
        <v>1813</v>
      </c>
      <c r="M1013">
        <v>1</v>
      </c>
      <c r="N1013"/>
      <c r="O1013" t="s">
        <v>1818</v>
      </c>
      <c r="P1013" s="12" t="str">
        <f>HYPERLINK("https://b2b.kobi.pl/pl/product/9839,lampa-sufitowa-boho-floxen-slant-1xe27-kobi-design?currency=PLN")</f>
        <v>https://b2b.kobi.pl/pl/product/9839,lampa-sufitowa-boho-floxen-slant-1xe27-kobi-design?currency=PLN</v>
      </c>
      <c r="Q1013" t="s">
        <v>14</v>
      </c>
      <c r="R1013" t="s">
        <v>1945</v>
      </c>
      <c r="S1013" t="s">
        <v>2602</v>
      </c>
      <c r="T1013">
        <v>0.41</v>
      </c>
      <c r="U1013">
        <v>1</v>
      </c>
      <c r="V1013">
        <v>1.8</v>
      </c>
      <c r="W1013">
        <v>46.5</v>
      </c>
      <c r="X1013">
        <v>46.5</v>
      </c>
      <c r="Y1013">
        <v>28</v>
      </c>
    </row>
    <row r="1014" spans="1:25" ht="60" customHeight="1" x14ac:dyDescent="0.25">
      <c r="A1014"/>
      <c r="B1014" t="s">
        <v>4</v>
      </c>
      <c r="C1014" t="s">
        <v>3736</v>
      </c>
      <c r="D1014" t="s">
        <v>644</v>
      </c>
      <c r="E1014" t="s">
        <v>3203</v>
      </c>
      <c r="F1014" t="s">
        <v>1776</v>
      </c>
      <c r="G1014" t="s">
        <v>678</v>
      </c>
      <c r="H1014" s="11">
        <v>313.18</v>
      </c>
      <c r="I1014" s="10">
        <f>H1014*(1-IFERROR(VLOOKUP(G1014,Rabat!$C$9:$D$43,2,0),0))</f>
        <v>313.18</v>
      </c>
      <c r="J1014" t="s">
        <v>1815</v>
      </c>
      <c r="K1014" t="s">
        <v>1920</v>
      </c>
      <c r="L1014" t="s">
        <v>1813</v>
      </c>
      <c r="M1014">
        <v>1</v>
      </c>
      <c r="N1014">
        <v>34</v>
      </c>
      <c r="O1014" t="s">
        <v>1818</v>
      </c>
      <c r="P1014" s="12" t="str">
        <f>HYPERLINK("https://b2b.kobi.pl/pl/product/9840,lampa-sufitowa-boho-sonti-1xe27-kobi-design?currency=PLN")</f>
        <v>https://b2b.kobi.pl/pl/product/9840,lampa-sufitowa-boho-sonti-1xe27-kobi-design?currency=PLN</v>
      </c>
      <c r="Q1014" t="s">
        <v>14</v>
      </c>
      <c r="R1014" t="s">
        <v>1945</v>
      </c>
      <c r="S1014" t="s">
        <v>2602</v>
      </c>
      <c r="T1014">
        <v>0.66</v>
      </c>
      <c r="U1014">
        <v>1.6</v>
      </c>
      <c r="V1014">
        <v>2.2999999999999998</v>
      </c>
      <c r="W1014">
        <v>51.5</v>
      </c>
      <c r="X1014">
        <v>51.5</v>
      </c>
      <c r="Y1014">
        <v>13</v>
      </c>
    </row>
    <row r="1015" spans="1:25" ht="60" customHeight="1" x14ac:dyDescent="0.25">
      <c r="A1015"/>
      <c r="B1015" t="s">
        <v>3</v>
      </c>
      <c r="C1015" t="s">
        <v>3958</v>
      </c>
      <c r="D1015" t="s">
        <v>575</v>
      </c>
      <c r="E1015" t="s">
        <v>1331</v>
      </c>
      <c r="F1015" t="s">
        <v>1332</v>
      </c>
      <c r="G1015" t="s">
        <v>1328</v>
      </c>
      <c r="H1015" s="11">
        <v>129.33000000000001</v>
      </c>
      <c r="I1015" s="10">
        <f>H1015*(1-IFERROR(VLOOKUP(G1015,Rabat!$C$9:$D$43,2,0),0))</f>
        <v>129.33000000000001</v>
      </c>
      <c r="J1015" t="s">
        <v>1815</v>
      </c>
      <c r="K1015" t="s">
        <v>1873</v>
      </c>
      <c r="L1015" t="s">
        <v>1813</v>
      </c>
      <c r="M1015">
        <v>20</v>
      </c>
      <c r="N1015">
        <v>500</v>
      </c>
      <c r="O1015" t="s">
        <v>1814</v>
      </c>
      <c r="P1015" s="12" t="str">
        <f>HYPERLINK("https://b2b.kobi.pl/pl/product/10057,reflektor-szynowy-led-nextrack-core-10w-3cct-36-bialy-kobi-pro?currency=PLN")</f>
        <v>https://b2b.kobi.pl/pl/product/10057,reflektor-szynowy-led-nextrack-core-10w-3cct-36-bialy-kobi-pro?currency=PLN</v>
      </c>
      <c r="Q1015" s="12" t="str">
        <f>HYPERLINK("https://eprel.ec.europa.eu/qr/2173141")</f>
        <v>https://eprel.ec.europa.eu/qr/2173141</v>
      </c>
      <c r="R1015"/>
      <c r="S1015" t="s">
        <v>2610</v>
      </c>
      <c r="T1015">
        <v>0.21</v>
      </c>
      <c r="U1015">
        <v>0.248</v>
      </c>
      <c r="V1015">
        <v>0.30659999999999998</v>
      </c>
      <c r="W1015">
        <v>14.7</v>
      </c>
      <c r="X1015">
        <v>5.8</v>
      </c>
      <c r="Y1015">
        <v>16</v>
      </c>
    </row>
    <row r="1016" spans="1:25" ht="60" customHeight="1" x14ac:dyDescent="0.25">
      <c r="A1016"/>
      <c r="B1016" t="s">
        <v>3</v>
      </c>
      <c r="C1016" t="s">
        <v>3958</v>
      </c>
      <c r="D1016" t="s">
        <v>575</v>
      </c>
      <c r="E1016" t="s">
        <v>1333</v>
      </c>
      <c r="F1016" t="s">
        <v>1334</v>
      </c>
      <c r="G1016" t="s">
        <v>1328</v>
      </c>
      <c r="H1016" s="11">
        <v>129.33000000000001</v>
      </c>
      <c r="I1016" s="10">
        <f>H1016*(1-IFERROR(VLOOKUP(G1016,Rabat!$C$9:$D$43,2,0),0))</f>
        <v>129.33000000000001</v>
      </c>
      <c r="J1016" t="s">
        <v>1815</v>
      </c>
      <c r="K1016" t="s">
        <v>1874</v>
      </c>
      <c r="L1016" t="s">
        <v>1813</v>
      </c>
      <c r="M1016">
        <v>20</v>
      </c>
      <c r="N1016">
        <v>500</v>
      </c>
      <c r="O1016" t="s">
        <v>1814</v>
      </c>
      <c r="P1016" s="12" t="str">
        <f>HYPERLINK("https://b2b.kobi.pl/pl/product/10058,reflektor-szynowy-led-nextrack-core-10w-3cct-36-czarny-kobi-pro?currency=PLN")</f>
        <v>https://b2b.kobi.pl/pl/product/10058,reflektor-szynowy-led-nextrack-core-10w-3cct-36-czarny-kobi-pro?currency=PLN</v>
      </c>
      <c r="Q1016" s="12" t="str">
        <f>HYPERLINK("https://eprel.ec.europa.eu/qr/2173141")</f>
        <v>https://eprel.ec.europa.eu/qr/2173141</v>
      </c>
      <c r="R1016"/>
      <c r="S1016" t="s">
        <v>2610</v>
      </c>
      <c r="T1016">
        <v>0.21</v>
      </c>
      <c r="U1016">
        <v>0.248</v>
      </c>
      <c r="V1016">
        <v>0.30659999999999998</v>
      </c>
      <c r="W1016">
        <v>14.7</v>
      </c>
      <c r="X1016">
        <v>5.8</v>
      </c>
      <c r="Y1016">
        <v>16</v>
      </c>
    </row>
    <row r="1017" spans="1:25" ht="60" customHeight="1" x14ac:dyDescent="0.25">
      <c r="A1017"/>
      <c r="B1017" t="s">
        <v>3</v>
      </c>
      <c r="C1017" t="s">
        <v>3958</v>
      </c>
      <c r="D1017" t="s">
        <v>575</v>
      </c>
      <c r="E1017" t="s">
        <v>1335</v>
      </c>
      <c r="F1017" t="s">
        <v>1336</v>
      </c>
      <c r="G1017" t="s">
        <v>1328</v>
      </c>
      <c r="H1017" s="11">
        <v>141.91</v>
      </c>
      <c r="I1017" s="10">
        <f>H1017*(1-IFERROR(VLOOKUP(G1017,Rabat!$C$9:$D$43,2,0),0))</f>
        <v>141.91</v>
      </c>
      <c r="J1017" t="s">
        <v>1815</v>
      </c>
      <c r="K1017" t="s">
        <v>1875</v>
      </c>
      <c r="L1017" t="s">
        <v>1813</v>
      </c>
      <c r="M1017">
        <v>20</v>
      </c>
      <c r="N1017">
        <v>500</v>
      </c>
      <c r="O1017" t="s">
        <v>1814</v>
      </c>
      <c r="P1017" s="12" t="str">
        <f>HYPERLINK("https://b2b.kobi.pl/pl/product/10059,reflektor-szynowy-led-nextrack-core-20w-3cct-36-bialy-kobi-pro?currency=PLN")</f>
        <v>https://b2b.kobi.pl/pl/product/10059,reflektor-szynowy-led-nextrack-core-20w-3cct-36-bialy-kobi-pro?currency=PLN</v>
      </c>
      <c r="Q1017" s="12" t="str">
        <f>HYPERLINK("https://eprel.ec.europa.eu/qr/2178298")</f>
        <v>https://eprel.ec.europa.eu/qr/2178298</v>
      </c>
      <c r="R1017"/>
      <c r="S1017" t="s">
        <v>2610</v>
      </c>
      <c r="T1017">
        <v>0.24</v>
      </c>
      <c r="U1017">
        <v>0.28899999999999998</v>
      </c>
      <c r="V1017">
        <v>0.3538</v>
      </c>
      <c r="W1017">
        <v>14.7</v>
      </c>
      <c r="X1017">
        <v>6.5</v>
      </c>
      <c r="Y1017">
        <v>17.2</v>
      </c>
    </row>
    <row r="1018" spans="1:25" ht="60" customHeight="1" x14ac:dyDescent="0.25">
      <c r="A1018"/>
      <c r="B1018" t="s">
        <v>3</v>
      </c>
      <c r="C1018" t="s">
        <v>3958</v>
      </c>
      <c r="D1018" t="s">
        <v>575</v>
      </c>
      <c r="E1018" t="s">
        <v>1337</v>
      </c>
      <c r="F1018" t="s">
        <v>1338</v>
      </c>
      <c r="G1018" t="s">
        <v>1328</v>
      </c>
      <c r="H1018" s="11">
        <v>141.91</v>
      </c>
      <c r="I1018" s="10">
        <f>H1018*(1-IFERROR(VLOOKUP(G1018,Rabat!$C$9:$D$43,2,0),0))</f>
        <v>141.91</v>
      </c>
      <c r="J1018" t="s">
        <v>1815</v>
      </c>
      <c r="K1018" t="s">
        <v>1876</v>
      </c>
      <c r="L1018" t="s">
        <v>1813</v>
      </c>
      <c r="M1018">
        <v>20</v>
      </c>
      <c r="N1018">
        <v>500</v>
      </c>
      <c r="O1018" t="s">
        <v>1814</v>
      </c>
      <c r="P1018" s="12" t="str">
        <f>HYPERLINK("https://b2b.kobi.pl/pl/product/10060,reflektor-szynowy-led-nextrack-core-20w-3cct-36-czarny-kobi-pro?currency=PLN")</f>
        <v>https://b2b.kobi.pl/pl/product/10060,reflektor-szynowy-led-nextrack-core-20w-3cct-36-czarny-kobi-pro?currency=PLN</v>
      </c>
      <c r="Q1018" s="12" t="str">
        <f>HYPERLINK("https://eprel.ec.europa.eu/qr/2178298")</f>
        <v>https://eprel.ec.europa.eu/qr/2178298</v>
      </c>
      <c r="R1018"/>
      <c r="S1018" t="s">
        <v>2610</v>
      </c>
      <c r="T1018">
        <v>0.24</v>
      </c>
      <c r="U1018">
        <v>0.28899999999999998</v>
      </c>
      <c r="V1018">
        <v>0.3538</v>
      </c>
      <c r="W1018">
        <v>14.7</v>
      </c>
      <c r="X1018">
        <v>6.5</v>
      </c>
      <c r="Y1018">
        <v>17.2</v>
      </c>
    </row>
    <row r="1019" spans="1:25" ht="60" customHeight="1" x14ac:dyDescent="0.25">
      <c r="A1019"/>
      <c r="B1019" t="s">
        <v>3</v>
      </c>
      <c r="C1019" t="s">
        <v>3958</v>
      </c>
      <c r="D1019" t="s">
        <v>575</v>
      </c>
      <c r="E1019" t="s">
        <v>1339</v>
      </c>
      <c r="F1019" t="s">
        <v>1340</v>
      </c>
      <c r="G1019" t="s">
        <v>1328</v>
      </c>
      <c r="H1019" s="11">
        <v>182.89</v>
      </c>
      <c r="I1019" s="10">
        <f>H1019*(1-IFERROR(VLOOKUP(G1019,Rabat!$C$9:$D$43,2,0),0))</f>
        <v>182.89</v>
      </c>
      <c r="J1019" t="s">
        <v>1815</v>
      </c>
      <c r="K1019" t="s">
        <v>1877</v>
      </c>
      <c r="L1019" t="s">
        <v>1813</v>
      </c>
      <c r="M1019">
        <v>20</v>
      </c>
      <c r="N1019">
        <v>240</v>
      </c>
      <c r="O1019" t="s">
        <v>1814</v>
      </c>
      <c r="P1019" s="12" t="str">
        <f>HYPERLINK("https://b2b.kobi.pl/pl/product/10061,reflektor-szynowy-led-nextrack-core-35w-3cct-36-bialy-kobi-pro?currency=PLN")</f>
        <v>https://b2b.kobi.pl/pl/product/10061,reflektor-szynowy-led-nextrack-core-35w-3cct-36-bialy-kobi-pro?currency=PLN</v>
      </c>
      <c r="Q1019" s="12" t="str">
        <f>HYPERLINK("https://eprel.ec.europa.eu/qr/2190368")</f>
        <v>https://eprel.ec.europa.eu/qr/2190368</v>
      </c>
      <c r="R1019"/>
      <c r="S1019" t="s">
        <v>2610</v>
      </c>
      <c r="T1019">
        <v>0.52</v>
      </c>
      <c r="U1019">
        <v>0.61399999999999999</v>
      </c>
      <c r="V1019">
        <v>0.71599999999999997</v>
      </c>
      <c r="W1019">
        <v>20.7</v>
      </c>
      <c r="X1019">
        <v>9</v>
      </c>
      <c r="Y1019">
        <v>20.7</v>
      </c>
    </row>
    <row r="1020" spans="1:25" ht="60" customHeight="1" x14ac:dyDescent="0.25">
      <c r="A1020"/>
      <c r="B1020" t="s">
        <v>3</v>
      </c>
      <c r="C1020" t="s">
        <v>3958</v>
      </c>
      <c r="D1020" t="s">
        <v>575</v>
      </c>
      <c r="E1020" t="s">
        <v>1341</v>
      </c>
      <c r="F1020" t="s">
        <v>1342</v>
      </c>
      <c r="G1020" t="s">
        <v>1328</v>
      </c>
      <c r="H1020" s="11">
        <v>182.89</v>
      </c>
      <c r="I1020" s="10">
        <f>H1020*(1-IFERROR(VLOOKUP(G1020,Rabat!$C$9:$D$43,2,0),0))</f>
        <v>182.89</v>
      </c>
      <c r="J1020" t="s">
        <v>1815</v>
      </c>
      <c r="K1020" t="s">
        <v>1878</v>
      </c>
      <c r="L1020" t="s">
        <v>1813</v>
      </c>
      <c r="M1020">
        <v>20</v>
      </c>
      <c r="N1020">
        <v>240</v>
      </c>
      <c r="O1020" t="s">
        <v>1814</v>
      </c>
      <c r="P1020" s="12" t="str">
        <f>HYPERLINK("https://b2b.kobi.pl/pl/product/10062,reflektor-szynowy-led-nextrack-core-35w-3cct-36-czarny-kobi-pro?currency=PLN")</f>
        <v>https://b2b.kobi.pl/pl/product/10062,reflektor-szynowy-led-nextrack-core-35w-3cct-36-czarny-kobi-pro?currency=PLN</v>
      </c>
      <c r="Q1020" s="12" t="str">
        <f>HYPERLINK("https://eprel.ec.europa.eu/qr/2190368")</f>
        <v>https://eprel.ec.europa.eu/qr/2190368</v>
      </c>
      <c r="R1020"/>
      <c r="S1020" t="s">
        <v>2610</v>
      </c>
      <c r="T1020">
        <v>0.52</v>
      </c>
      <c r="U1020">
        <v>0.61399999999999999</v>
      </c>
      <c r="V1020">
        <v>0.71599999999999997</v>
      </c>
      <c r="W1020">
        <v>20.7</v>
      </c>
      <c r="X1020">
        <v>9</v>
      </c>
      <c r="Y1020">
        <v>20.7</v>
      </c>
    </row>
    <row r="1021" spans="1:25" ht="60" customHeight="1" x14ac:dyDescent="0.25">
      <c r="A1021"/>
      <c r="B1021" t="s">
        <v>3</v>
      </c>
      <c r="C1021" t="s">
        <v>3958</v>
      </c>
      <c r="D1021" t="s">
        <v>575</v>
      </c>
      <c r="E1021" t="s">
        <v>3325</v>
      </c>
      <c r="F1021" t="s">
        <v>1343</v>
      </c>
      <c r="G1021" t="s">
        <v>1328</v>
      </c>
      <c r="H1021" s="11">
        <v>216.3</v>
      </c>
      <c r="I1021" s="10">
        <f>H1021*(1-IFERROR(VLOOKUP(G1021,Rabat!$C$9:$D$43,2,0),0))</f>
        <v>216.3</v>
      </c>
      <c r="J1021" t="s">
        <v>1815</v>
      </c>
      <c r="K1021" t="s">
        <v>1879</v>
      </c>
      <c r="L1021" t="s">
        <v>1813</v>
      </c>
      <c r="M1021">
        <v>20</v>
      </c>
      <c r="N1021">
        <v>460</v>
      </c>
      <c r="O1021" t="s">
        <v>1814</v>
      </c>
      <c r="P1021" s="12" t="str">
        <f>HYPERLINK("https://b2b.kobi.pl/pl/product/10161,reflektor-szynowy-led-nextrack-vision-10w-3cct-10-60-bialy-kobi-pro?currency=PLN")</f>
        <v>https://b2b.kobi.pl/pl/product/10161,reflektor-szynowy-led-nextrack-vision-10w-3cct-10-60-bialy-kobi-pro?currency=PLN</v>
      </c>
      <c r="Q1021" s="12" t="str">
        <f>HYPERLINK("https://eprel.ec.europa.eu/qr/2190375")</f>
        <v>https://eprel.ec.europa.eu/qr/2190375</v>
      </c>
      <c r="R1021"/>
      <c r="S1021" t="s">
        <v>2610</v>
      </c>
      <c r="T1021">
        <v>0.27</v>
      </c>
      <c r="U1021">
        <v>0.3155</v>
      </c>
      <c r="V1021">
        <v>0.497</v>
      </c>
      <c r="W1021">
        <v>14.7</v>
      </c>
      <c r="X1021">
        <v>5.8</v>
      </c>
      <c r="Y1021">
        <v>16</v>
      </c>
    </row>
    <row r="1022" spans="1:25" ht="60" customHeight="1" x14ac:dyDescent="0.25">
      <c r="A1022"/>
      <c r="B1022" t="s">
        <v>3</v>
      </c>
      <c r="C1022" t="s">
        <v>3958</v>
      </c>
      <c r="D1022" t="s">
        <v>575</v>
      </c>
      <c r="E1022" t="s">
        <v>3326</v>
      </c>
      <c r="F1022" t="s">
        <v>1344</v>
      </c>
      <c r="G1022" t="s">
        <v>1328</v>
      </c>
      <c r="H1022" s="11">
        <v>216.3</v>
      </c>
      <c r="I1022" s="10">
        <f>H1022*(1-IFERROR(VLOOKUP(G1022,Rabat!$C$9:$D$43,2,0),0))</f>
        <v>216.3</v>
      </c>
      <c r="J1022" t="s">
        <v>1815</v>
      </c>
      <c r="K1022" t="s">
        <v>1880</v>
      </c>
      <c r="L1022" t="s">
        <v>1813</v>
      </c>
      <c r="M1022">
        <v>20</v>
      </c>
      <c r="N1022">
        <v>460</v>
      </c>
      <c r="O1022" t="s">
        <v>1814</v>
      </c>
      <c r="P1022" s="12" t="str">
        <f>HYPERLINK("https://b2b.kobi.pl/pl/product/10162,reflektor-szynowy-led-nextrack-vision-10w-3cct-10-60-czarny-kobi-pro?currency=PLN")</f>
        <v>https://b2b.kobi.pl/pl/product/10162,reflektor-szynowy-led-nextrack-vision-10w-3cct-10-60-czarny-kobi-pro?currency=PLN</v>
      </c>
      <c r="Q1022" s="12" t="str">
        <f>HYPERLINK("https://eprel.ec.europa.eu/qr/2190375")</f>
        <v>https://eprel.ec.europa.eu/qr/2190375</v>
      </c>
      <c r="R1022"/>
      <c r="S1022" t="s">
        <v>2610</v>
      </c>
      <c r="T1022">
        <v>0.27</v>
      </c>
      <c r="U1022">
        <v>0.3155</v>
      </c>
      <c r="V1022">
        <v>0.497</v>
      </c>
      <c r="W1022">
        <v>14.7</v>
      </c>
      <c r="X1022">
        <v>5.8</v>
      </c>
      <c r="Y1022">
        <v>16</v>
      </c>
    </row>
    <row r="1023" spans="1:25" ht="60" customHeight="1" x14ac:dyDescent="0.25">
      <c r="A1023"/>
      <c r="B1023" t="s">
        <v>3</v>
      </c>
      <c r="C1023" t="s">
        <v>3958</v>
      </c>
      <c r="D1023" t="s">
        <v>575</v>
      </c>
      <c r="E1023" t="s">
        <v>3327</v>
      </c>
      <c r="F1023" t="s">
        <v>1345</v>
      </c>
      <c r="G1023" t="s">
        <v>1328</v>
      </c>
      <c r="H1023" s="11">
        <v>256.47000000000003</v>
      </c>
      <c r="I1023" s="10">
        <f>H1023*(1-IFERROR(VLOOKUP(G1023,Rabat!$C$9:$D$43,2,0),0))</f>
        <v>256.47000000000003</v>
      </c>
      <c r="J1023" t="s">
        <v>1815</v>
      </c>
      <c r="K1023" t="s">
        <v>1881</v>
      </c>
      <c r="L1023" t="s">
        <v>1813</v>
      </c>
      <c r="M1023">
        <v>20</v>
      </c>
      <c r="N1023">
        <v>320</v>
      </c>
      <c r="O1023" t="s">
        <v>1814</v>
      </c>
      <c r="P1023" s="12" t="str">
        <f>HYPERLINK("https://b2b.kobi.pl/pl/product/10163,reflektor-szynowy-led-nextrack-vision-20w-3cct-10-60-bialy-kobi-pro?currency=PLN")</f>
        <v>https://b2b.kobi.pl/pl/product/10163,reflektor-szynowy-led-nextrack-vision-20w-3cct-10-60-bialy-kobi-pro?currency=PLN</v>
      </c>
      <c r="Q1023" s="12" t="str">
        <f>HYPERLINK("https://eprel.ec.europa.eu/qr/2190387")</f>
        <v>https://eprel.ec.europa.eu/qr/2190387</v>
      </c>
      <c r="R1023"/>
      <c r="S1023" t="s">
        <v>2610</v>
      </c>
      <c r="T1023">
        <v>0.46</v>
      </c>
      <c r="U1023">
        <v>0.54049999999999998</v>
      </c>
      <c r="V1023">
        <v>0.65300000000000002</v>
      </c>
      <c r="W1023">
        <v>20.8</v>
      </c>
      <c r="X1023">
        <v>6.7</v>
      </c>
      <c r="Y1023">
        <v>16.5</v>
      </c>
    </row>
    <row r="1024" spans="1:25" ht="60" customHeight="1" x14ac:dyDescent="0.25">
      <c r="A1024"/>
      <c r="B1024" t="s">
        <v>3</v>
      </c>
      <c r="C1024" t="s">
        <v>3958</v>
      </c>
      <c r="D1024" t="s">
        <v>575</v>
      </c>
      <c r="E1024" t="s">
        <v>3328</v>
      </c>
      <c r="F1024" t="s">
        <v>1346</v>
      </c>
      <c r="G1024" t="s">
        <v>1328</v>
      </c>
      <c r="H1024" s="11">
        <v>256.47000000000003</v>
      </c>
      <c r="I1024" s="10">
        <f>H1024*(1-IFERROR(VLOOKUP(G1024,Rabat!$C$9:$D$43,2,0),0))</f>
        <v>256.47000000000003</v>
      </c>
      <c r="J1024" t="s">
        <v>1815</v>
      </c>
      <c r="K1024" t="s">
        <v>1882</v>
      </c>
      <c r="L1024" t="s">
        <v>1813</v>
      </c>
      <c r="M1024">
        <v>20</v>
      </c>
      <c r="N1024">
        <v>320</v>
      </c>
      <c r="O1024" t="s">
        <v>1814</v>
      </c>
      <c r="P1024" s="12" t="str">
        <f>HYPERLINK("https://b2b.kobi.pl/pl/product/10164,reflektor-szynowy-led-nextrack-vision-20w-3cct-10-60-czarny-kobi-pro?currency=PLN")</f>
        <v>https://b2b.kobi.pl/pl/product/10164,reflektor-szynowy-led-nextrack-vision-20w-3cct-10-60-czarny-kobi-pro?currency=PLN</v>
      </c>
      <c r="Q1024" s="12" t="str">
        <f>HYPERLINK("https://eprel.ec.europa.eu/qr/2190387")</f>
        <v>https://eprel.ec.europa.eu/qr/2190387</v>
      </c>
      <c r="R1024"/>
      <c r="S1024" t="s">
        <v>2610</v>
      </c>
      <c r="T1024">
        <v>0.46</v>
      </c>
      <c r="U1024">
        <v>0.54049999999999998</v>
      </c>
      <c r="V1024">
        <v>0.65300000000000002</v>
      </c>
      <c r="W1024">
        <v>20.8</v>
      </c>
      <c r="X1024">
        <v>6.7</v>
      </c>
      <c r="Y1024">
        <v>16.5</v>
      </c>
    </row>
    <row r="1025" spans="1:25" ht="60" customHeight="1" x14ac:dyDescent="0.25">
      <c r="A1025"/>
      <c r="B1025" t="s">
        <v>3</v>
      </c>
      <c r="C1025" t="s">
        <v>3958</v>
      </c>
      <c r="D1025" t="s">
        <v>575</v>
      </c>
      <c r="E1025" t="s">
        <v>3244</v>
      </c>
      <c r="F1025" t="s">
        <v>1347</v>
      </c>
      <c r="G1025" t="s">
        <v>1328</v>
      </c>
      <c r="H1025" s="11">
        <v>283.83</v>
      </c>
      <c r="I1025" s="10">
        <f>H1025*(1-IFERROR(VLOOKUP(G1025,Rabat!$C$9:$D$43,2,0),0))</f>
        <v>283.83</v>
      </c>
      <c r="J1025" t="s">
        <v>1815</v>
      </c>
      <c r="K1025" t="s">
        <v>1883</v>
      </c>
      <c r="L1025" t="s">
        <v>1813</v>
      </c>
      <c r="M1025">
        <v>20</v>
      </c>
      <c r="N1025">
        <v>320</v>
      </c>
      <c r="O1025" t="s">
        <v>1814</v>
      </c>
      <c r="P1025" s="12" t="str">
        <f>HYPERLINK("https://b2b.kobi.pl/pl/product/10165,reflektor-szynowy-led-nextrack-vision-30w-3cct-10-60-bialy-kobi-pro?currency=PLN")</f>
        <v>https://b2b.kobi.pl/pl/product/10165,reflektor-szynowy-led-nextrack-vision-30w-3cct-10-60-bialy-kobi-pro?currency=PLN</v>
      </c>
      <c r="Q1025" s="12" t="str">
        <f>HYPERLINK("https://eprel.ec.europa.eu/qr/2190390")</f>
        <v>https://eprel.ec.europa.eu/qr/2190390</v>
      </c>
      <c r="R1025"/>
      <c r="S1025" t="s">
        <v>2610</v>
      </c>
      <c r="T1025">
        <v>0.56000000000000005</v>
      </c>
      <c r="U1025">
        <v>0.66200000000000003</v>
      </c>
      <c r="V1025">
        <v>0.77</v>
      </c>
      <c r="W1025">
        <v>21</v>
      </c>
      <c r="X1025">
        <v>7.7</v>
      </c>
      <c r="Y1025">
        <v>17</v>
      </c>
    </row>
    <row r="1026" spans="1:25" ht="60" customHeight="1" x14ac:dyDescent="0.25">
      <c r="A1026"/>
      <c r="B1026" t="s">
        <v>3</v>
      </c>
      <c r="C1026" t="s">
        <v>3958</v>
      </c>
      <c r="D1026" t="s">
        <v>575</v>
      </c>
      <c r="E1026" t="s">
        <v>3329</v>
      </c>
      <c r="F1026" t="s">
        <v>1348</v>
      </c>
      <c r="G1026" t="s">
        <v>1328</v>
      </c>
      <c r="H1026" s="11">
        <v>283.83</v>
      </c>
      <c r="I1026" s="10">
        <f>H1026*(1-IFERROR(VLOOKUP(G1026,Rabat!$C$9:$D$43,2,0),0))</f>
        <v>283.83</v>
      </c>
      <c r="J1026" t="s">
        <v>1815</v>
      </c>
      <c r="K1026" t="s">
        <v>1884</v>
      </c>
      <c r="L1026" t="s">
        <v>1813</v>
      </c>
      <c r="M1026">
        <v>20</v>
      </c>
      <c r="N1026">
        <v>320</v>
      </c>
      <c r="O1026" t="s">
        <v>1814</v>
      </c>
      <c r="P1026" s="12" t="str">
        <f>HYPERLINK("https://b2b.kobi.pl/pl/product/10166,reflektor-szynowy-led-nextrack-vision-30w-3cct-10-60-czarny-kobi-pro?currency=PLN")</f>
        <v>https://b2b.kobi.pl/pl/product/10166,reflektor-szynowy-led-nextrack-vision-30w-3cct-10-60-czarny-kobi-pro?currency=PLN</v>
      </c>
      <c r="Q1026" s="12" t="str">
        <f>HYPERLINK("https://eprel.ec.europa.eu/qr/2190390")</f>
        <v>https://eprel.ec.europa.eu/qr/2190390</v>
      </c>
      <c r="R1026"/>
      <c r="S1026" t="s">
        <v>2610</v>
      </c>
      <c r="T1026">
        <v>0.56000000000000005</v>
      </c>
      <c r="U1026">
        <v>0.66200000000000003</v>
      </c>
      <c r="V1026">
        <v>0.77</v>
      </c>
      <c r="W1026">
        <v>21</v>
      </c>
      <c r="X1026">
        <v>7.7</v>
      </c>
      <c r="Y1026">
        <v>17</v>
      </c>
    </row>
    <row r="1027" spans="1:25" ht="60" customHeight="1" x14ac:dyDescent="0.25">
      <c r="A1027"/>
      <c r="B1027" t="s">
        <v>3</v>
      </c>
      <c r="C1027" t="s">
        <v>3958</v>
      </c>
      <c r="D1027" t="s">
        <v>618</v>
      </c>
      <c r="E1027" t="s">
        <v>1326</v>
      </c>
      <c r="F1027" t="s">
        <v>1327</v>
      </c>
      <c r="G1027" t="s">
        <v>1328</v>
      </c>
      <c r="H1027" s="11">
        <v>64.14</v>
      </c>
      <c r="I1027" s="10">
        <f>H1027*(1-IFERROR(VLOOKUP(G1027,Rabat!$C$9:$D$43,2,0),0))</f>
        <v>64.14</v>
      </c>
      <c r="J1027" t="s">
        <v>1815</v>
      </c>
      <c r="K1027" t="s">
        <v>153</v>
      </c>
      <c r="L1027" t="s">
        <v>1813</v>
      </c>
      <c r="M1027">
        <v>50</v>
      </c>
      <c r="N1027">
        <v>700</v>
      </c>
      <c r="O1027" t="s">
        <v>1818</v>
      </c>
      <c r="P1027" s="12" t="str">
        <f>HYPERLINK("https://b2b.kobi.pl/pl/product/10066,reflektor-szynowy-3-obwodowy-nextrack-s-line-1xgu10-bialy-kobi?currency=PLN")</f>
        <v>https://b2b.kobi.pl/pl/product/10066,reflektor-szynowy-3-obwodowy-nextrack-s-line-1xgu10-bialy-kobi?currency=PLN</v>
      </c>
      <c r="Q1027" t="s">
        <v>14</v>
      </c>
      <c r="R1027"/>
      <c r="S1027" t="s">
        <v>2610</v>
      </c>
      <c r="T1027">
        <v>0.1</v>
      </c>
      <c r="U1027">
        <v>0.25</v>
      </c>
      <c r="V1027">
        <v>0.28739999999999999</v>
      </c>
      <c r="W1027">
        <v>21.5</v>
      </c>
      <c r="X1027">
        <v>9.5</v>
      </c>
      <c r="Y1027">
        <v>7</v>
      </c>
    </row>
    <row r="1028" spans="1:25" ht="60" customHeight="1" x14ac:dyDescent="0.25">
      <c r="A1028"/>
      <c r="B1028" t="s">
        <v>621</v>
      </c>
      <c r="C1028" t="s">
        <v>5</v>
      </c>
      <c r="D1028" t="s">
        <v>618</v>
      </c>
      <c r="E1028" t="s">
        <v>1006</v>
      </c>
      <c r="F1028" t="s">
        <v>1007</v>
      </c>
      <c r="G1028" t="s">
        <v>620</v>
      </c>
      <c r="H1028" s="11">
        <v>63.75</v>
      </c>
      <c r="I1028" s="10">
        <f>H1028*(1-IFERROR(VLOOKUP(G1028,Rabat!$C$9:$D$43,2,0),0))</f>
        <v>63.75</v>
      </c>
      <c r="J1028" t="s">
        <v>1815</v>
      </c>
      <c r="K1028" t="s">
        <v>521</v>
      </c>
      <c r="L1028" t="s">
        <v>1813</v>
      </c>
      <c r="M1028">
        <v>50</v>
      </c>
      <c r="N1028"/>
      <c r="O1028" t="s">
        <v>1818</v>
      </c>
      <c r="P1028" s="12" t="str">
        <f>HYPERLINK("https://b2b.kobi.pl/pl/product/10690,miernik-poboru-energii-kobi-pmm-2-czarny-kobi?currency=PLN")</f>
        <v>https://b2b.kobi.pl/pl/product/10690,miernik-poboru-energii-kobi-pmm-2-czarny-kobi?currency=PLN</v>
      </c>
      <c r="Q1028" t="s">
        <v>14</v>
      </c>
      <c r="R1028" t="s">
        <v>1945</v>
      </c>
      <c r="S1028" t="s">
        <v>2625</v>
      </c>
      <c r="T1028">
        <v>0.09</v>
      </c>
      <c r="U1028">
        <v>0.23</v>
      </c>
      <c r="V1028">
        <v>0.245</v>
      </c>
      <c r="W1028">
        <v>8</v>
      </c>
      <c r="X1028">
        <v>8</v>
      </c>
      <c r="Y1028">
        <v>15.5</v>
      </c>
    </row>
    <row r="1029" spans="1:25" ht="60" customHeight="1" x14ac:dyDescent="0.25">
      <c r="A1029"/>
      <c r="B1029" t="s">
        <v>3</v>
      </c>
      <c r="C1029" t="s">
        <v>3958</v>
      </c>
      <c r="D1029" t="s">
        <v>618</v>
      </c>
      <c r="E1029" t="s">
        <v>1329</v>
      </c>
      <c r="F1029" t="s">
        <v>1330</v>
      </c>
      <c r="G1029" t="s">
        <v>1328</v>
      </c>
      <c r="H1029" s="11">
        <v>64.14</v>
      </c>
      <c r="I1029" s="10">
        <f>H1029*(1-IFERROR(VLOOKUP(G1029,Rabat!$C$9:$D$43,2,0),0))</f>
        <v>64.14</v>
      </c>
      <c r="J1029" t="s">
        <v>1815</v>
      </c>
      <c r="K1029" t="s">
        <v>154</v>
      </c>
      <c r="L1029" t="s">
        <v>1813</v>
      </c>
      <c r="M1029">
        <v>50</v>
      </c>
      <c r="N1029">
        <v>700</v>
      </c>
      <c r="O1029" t="s">
        <v>1818</v>
      </c>
      <c r="P1029" s="12" t="str">
        <f>HYPERLINK("https://b2b.kobi.pl/pl/product/10067,reflektor-szynowy-3-obwodowy-nextrack-s-line-1xgu10-czarny-kobi?currency=PLN")</f>
        <v>https://b2b.kobi.pl/pl/product/10067,reflektor-szynowy-3-obwodowy-nextrack-s-line-1xgu10-czarny-kobi?currency=PLN</v>
      </c>
      <c r="Q1029" t="s">
        <v>14</v>
      </c>
      <c r="R1029"/>
      <c r="S1029" t="s">
        <v>2610</v>
      </c>
      <c r="T1029">
        <v>0.1</v>
      </c>
      <c r="U1029">
        <v>0.25</v>
      </c>
      <c r="V1029">
        <v>0.28739999999999999</v>
      </c>
      <c r="W1029">
        <v>21.5</v>
      </c>
      <c r="X1029">
        <v>9.5</v>
      </c>
      <c r="Y1029">
        <v>7</v>
      </c>
    </row>
    <row r="1030" spans="1:25" ht="60" customHeight="1" x14ac:dyDescent="0.25">
      <c r="A1030"/>
      <c r="B1030" t="s">
        <v>3</v>
      </c>
      <c r="C1030" t="s">
        <v>3958</v>
      </c>
      <c r="D1030" t="s">
        <v>618</v>
      </c>
      <c r="E1030" t="s">
        <v>4003</v>
      </c>
      <c r="F1030" t="s">
        <v>4004</v>
      </c>
      <c r="G1030" t="s">
        <v>1328</v>
      </c>
      <c r="H1030" s="11">
        <v>95.33</v>
      </c>
      <c r="I1030" s="10">
        <f>H1030*(1-IFERROR(VLOOKUP(G1030,Rabat!$C$9:$D$43,2,0),0))</f>
        <v>95.33</v>
      </c>
      <c r="J1030" t="s">
        <v>1815</v>
      </c>
      <c r="K1030" t="s">
        <v>4220</v>
      </c>
      <c r="L1030" t="s">
        <v>1813</v>
      </c>
      <c r="M1030">
        <v>50</v>
      </c>
      <c r="N1030">
        <v>1250</v>
      </c>
      <c r="O1030" t="s">
        <v>1818</v>
      </c>
      <c r="P1030" s="12" t="str">
        <f>HYPERLINK("https://b2b.kobi.pl/pl/product/13325,reflektor-szynowy-led-nextrack-line-12w-4000k-czarny-kobi?currency=PLN")</f>
        <v>https://b2b.kobi.pl/pl/product/13325,reflektor-szynowy-led-nextrack-line-12w-4000k-czarny-kobi?currency=PLN</v>
      </c>
      <c r="Q1030" s="12" t="str">
        <f>HYPERLINK("https://eprel.ec.europa.eu/qr/2092338")</f>
        <v>https://eprel.ec.europa.eu/qr/2092338</v>
      </c>
      <c r="R1030" t="s">
        <v>4101</v>
      </c>
      <c r="S1030" t="s">
        <v>2610</v>
      </c>
      <c r="T1030">
        <v>0.21</v>
      </c>
      <c r="U1030">
        <v>0.25</v>
      </c>
      <c r="V1030">
        <v>0.29699999999999999</v>
      </c>
      <c r="W1030">
        <v>13.8</v>
      </c>
      <c r="X1030">
        <v>3.8</v>
      </c>
      <c r="Y1030">
        <v>15.5</v>
      </c>
    </row>
    <row r="1031" spans="1:25" ht="60" customHeight="1" x14ac:dyDescent="0.25">
      <c r="A1031"/>
      <c r="B1031" t="s">
        <v>3</v>
      </c>
      <c r="C1031" t="s">
        <v>3958</v>
      </c>
      <c r="D1031" t="s">
        <v>618</v>
      </c>
      <c r="E1031" t="s">
        <v>4005</v>
      </c>
      <c r="F1031" t="s">
        <v>4006</v>
      </c>
      <c r="G1031" t="s">
        <v>1328</v>
      </c>
      <c r="H1031" s="11">
        <v>146.66999999999999</v>
      </c>
      <c r="I1031" s="10">
        <f>H1031*(1-IFERROR(VLOOKUP(G1031,Rabat!$C$9:$D$43,2,0),0))</f>
        <v>146.66999999999999</v>
      </c>
      <c r="J1031" t="s">
        <v>1815</v>
      </c>
      <c r="K1031" t="s">
        <v>4221</v>
      </c>
      <c r="L1031" t="s">
        <v>1813</v>
      </c>
      <c r="M1031">
        <v>30</v>
      </c>
      <c r="N1031">
        <v>360</v>
      </c>
      <c r="O1031" t="s">
        <v>1818</v>
      </c>
      <c r="P1031" s="12" t="str">
        <f>HYPERLINK("https://b2b.kobi.pl/pl/product/13326,reflektor-szynowy-led-nextrack-line-36w-4000k-czarny-kobi?currency=PLN")</f>
        <v>https://b2b.kobi.pl/pl/product/13326,reflektor-szynowy-led-nextrack-line-36w-4000k-czarny-kobi?currency=PLN</v>
      </c>
      <c r="Q1031" s="12" t="str">
        <f>HYPERLINK("https://eprel.ec.europa.eu/qr/2094687")</f>
        <v>https://eprel.ec.europa.eu/qr/2094687</v>
      </c>
      <c r="R1031" t="s">
        <v>4101</v>
      </c>
      <c r="S1031" t="s">
        <v>2610</v>
      </c>
      <c r="T1031">
        <v>0.46</v>
      </c>
      <c r="U1031">
        <v>0.54890000000000005</v>
      </c>
      <c r="V1031">
        <v>0.64100000000000001</v>
      </c>
      <c r="W1031">
        <v>13.8</v>
      </c>
      <c r="X1031">
        <v>3.8</v>
      </c>
      <c r="Y1031">
        <v>42</v>
      </c>
    </row>
    <row r="1032" spans="1:25" ht="60" customHeight="1" x14ac:dyDescent="0.25">
      <c r="A1032"/>
      <c r="B1032" t="s">
        <v>3</v>
      </c>
      <c r="C1032" t="s">
        <v>3958</v>
      </c>
      <c r="D1032" t="s">
        <v>618</v>
      </c>
      <c r="E1032" t="s">
        <v>4007</v>
      </c>
      <c r="F1032" t="s">
        <v>4008</v>
      </c>
      <c r="G1032" t="s">
        <v>1328</v>
      </c>
      <c r="H1032" s="11">
        <v>95.33</v>
      </c>
      <c r="I1032" s="10">
        <f>H1032*(1-IFERROR(VLOOKUP(G1032,Rabat!$C$9:$D$43,2,0),0))</f>
        <v>95.33</v>
      </c>
      <c r="J1032" t="s">
        <v>1815</v>
      </c>
      <c r="K1032" t="s">
        <v>4222</v>
      </c>
      <c r="L1032" t="s">
        <v>1813</v>
      </c>
      <c r="M1032">
        <v>50</v>
      </c>
      <c r="N1032">
        <v>1250</v>
      </c>
      <c r="O1032" t="s">
        <v>1818</v>
      </c>
      <c r="P1032" s="12" t="str">
        <f>HYPERLINK("https://b2b.kobi.pl/pl/product/13354,reflektor-szynowy-led-nextrack-line-12w-4000k-bialy-kobi?currency=PLN")</f>
        <v>https://b2b.kobi.pl/pl/product/13354,reflektor-szynowy-led-nextrack-line-12w-4000k-bialy-kobi?currency=PLN</v>
      </c>
      <c r="Q1032" s="12" t="str">
        <f>HYPERLINK("https://eprel.ec.europa.eu/qr/2092338")</f>
        <v>https://eprel.ec.europa.eu/qr/2092338</v>
      </c>
      <c r="R1032" t="s">
        <v>4101</v>
      </c>
      <c r="S1032" t="s">
        <v>2610</v>
      </c>
      <c r="T1032">
        <v>0.21</v>
      </c>
      <c r="U1032">
        <v>0.25</v>
      </c>
      <c r="V1032">
        <v>0.29699999999999999</v>
      </c>
      <c r="W1032">
        <v>13.8</v>
      </c>
      <c r="X1032">
        <v>3.8</v>
      </c>
      <c r="Y1032">
        <v>15.5</v>
      </c>
    </row>
    <row r="1033" spans="1:25" ht="60" customHeight="1" x14ac:dyDescent="0.25">
      <c r="A1033"/>
      <c r="B1033" t="s">
        <v>3</v>
      </c>
      <c r="C1033" t="s">
        <v>3958</v>
      </c>
      <c r="D1033" t="s">
        <v>618</v>
      </c>
      <c r="E1033" t="s">
        <v>4009</v>
      </c>
      <c r="F1033" t="s">
        <v>4010</v>
      </c>
      <c r="G1033" t="s">
        <v>1328</v>
      </c>
      <c r="H1033" s="11">
        <v>146.66999999999999</v>
      </c>
      <c r="I1033" s="10">
        <f>H1033*(1-IFERROR(VLOOKUP(G1033,Rabat!$C$9:$D$43,2,0),0))</f>
        <v>146.66999999999999</v>
      </c>
      <c r="J1033" t="s">
        <v>1815</v>
      </c>
      <c r="K1033" t="s">
        <v>4223</v>
      </c>
      <c r="L1033" t="s">
        <v>1813</v>
      </c>
      <c r="M1033">
        <v>30</v>
      </c>
      <c r="N1033">
        <v>360</v>
      </c>
      <c r="O1033" t="s">
        <v>1818</v>
      </c>
      <c r="P1033" s="12" t="str">
        <f>HYPERLINK("https://b2b.kobi.pl/pl/product/13355,reflektor-szynowy-led-nextrack-line-36w-4000k-bialy-kobi?currency=PLN")</f>
        <v>https://b2b.kobi.pl/pl/product/13355,reflektor-szynowy-led-nextrack-line-36w-4000k-bialy-kobi?currency=PLN</v>
      </c>
      <c r="Q1033" s="12" t="str">
        <f>HYPERLINK("https://eprel.ec.europa.eu/qr/2094687")</f>
        <v>https://eprel.ec.europa.eu/qr/2094687</v>
      </c>
      <c r="R1033" t="s">
        <v>4101</v>
      </c>
      <c r="S1033" t="s">
        <v>2610</v>
      </c>
      <c r="T1033">
        <v>0.46</v>
      </c>
      <c r="U1033">
        <v>0.54890000000000005</v>
      </c>
      <c r="V1033">
        <v>0.64100000000000001</v>
      </c>
      <c r="W1033">
        <v>13.8</v>
      </c>
      <c r="X1033">
        <v>3.8</v>
      </c>
      <c r="Y1033">
        <v>42</v>
      </c>
    </row>
    <row r="1034" spans="1:25" ht="60" customHeight="1" x14ac:dyDescent="0.25">
      <c r="A1034"/>
      <c r="B1034" t="s">
        <v>621</v>
      </c>
      <c r="C1034" t="s">
        <v>5</v>
      </c>
      <c r="D1034" t="s">
        <v>618</v>
      </c>
      <c r="E1034" t="s">
        <v>1010</v>
      </c>
      <c r="F1034" t="s">
        <v>1011</v>
      </c>
      <c r="G1034" t="s">
        <v>620</v>
      </c>
      <c r="H1034" s="11">
        <v>63.75</v>
      </c>
      <c r="I1034" s="10">
        <f>H1034*(1-IFERROR(VLOOKUP(G1034,Rabat!$C$9:$D$43,2,0),0))</f>
        <v>63.75</v>
      </c>
      <c r="J1034" t="s">
        <v>1815</v>
      </c>
      <c r="K1034" t="s">
        <v>522</v>
      </c>
      <c r="L1034" t="s">
        <v>1813</v>
      </c>
      <c r="M1034">
        <v>50</v>
      </c>
      <c r="N1034"/>
      <c r="O1034" t="s">
        <v>1818</v>
      </c>
      <c r="P1034" s="12" t="str">
        <f>HYPERLINK("https://b2b.kobi.pl/pl/product/10691,miernik-poboru-energii-kobi-pmm-3-bialy-kobi?currency=PLN")</f>
        <v>https://b2b.kobi.pl/pl/product/10691,miernik-poboru-energii-kobi-pmm-3-bialy-kobi?currency=PLN</v>
      </c>
      <c r="Q1034" t="s">
        <v>14</v>
      </c>
      <c r="R1034" t="s">
        <v>1945</v>
      </c>
      <c r="S1034" t="s">
        <v>2625</v>
      </c>
      <c r="T1034">
        <v>0.08</v>
      </c>
      <c r="U1034">
        <v>0.21</v>
      </c>
      <c r="V1034">
        <v>0.215</v>
      </c>
      <c r="W1034">
        <v>8.1999999999999993</v>
      </c>
      <c r="X1034">
        <v>6.2</v>
      </c>
      <c r="Y1034">
        <v>14.5</v>
      </c>
    </row>
    <row r="1035" spans="1:25" ht="60" customHeight="1" x14ac:dyDescent="0.25">
      <c r="A1035"/>
      <c r="B1035" t="s">
        <v>3</v>
      </c>
      <c r="C1035" t="s">
        <v>3958</v>
      </c>
      <c r="D1035" t="s">
        <v>618</v>
      </c>
      <c r="E1035" t="s">
        <v>1375</v>
      </c>
      <c r="F1035" t="s">
        <v>1376</v>
      </c>
      <c r="G1035" t="s">
        <v>957</v>
      </c>
      <c r="H1035" s="11">
        <v>91</v>
      </c>
      <c r="I1035" s="10">
        <f>H1035*(1-IFERROR(VLOOKUP(G1035,Rabat!$C$9:$D$43,2,0),0))</f>
        <v>91</v>
      </c>
      <c r="J1035" t="s">
        <v>1815</v>
      </c>
      <c r="K1035" t="s">
        <v>1888</v>
      </c>
      <c r="L1035" t="s">
        <v>1813</v>
      </c>
      <c r="M1035">
        <v>10</v>
      </c>
      <c r="N1035"/>
      <c r="O1035" t="s">
        <v>1818</v>
      </c>
      <c r="P1035" s="12" t="str">
        <f>HYPERLINK("https://b2b.kobi.pl/pl/product/12094,szynoprzewod-3-obwodowy-1m-bialy-kobi?currency=PLN")</f>
        <v>https://b2b.kobi.pl/pl/product/12094,szynoprzewod-3-obwodowy-1m-bialy-kobi?currency=PLN</v>
      </c>
      <c r="Q1035" t="s">
        <v>14</v>
      </c>
      <c r="R1035"/>
      <c r="S1035" t="s">
        <v>2617</v>
      </c>
      <c r="T1035">
        <v>0.32</v>
      </c>
      <c r="U1035">
        <v>0.77</v>
      </c>
      <c r="V1035">
        <v>0.88</v>
      </c>
      <c r="W1035">
        <v>100</v>
      </c>
      <c r="X1035">
        <v>3.2</v>
      </c>
      <c r="Y1035">
        <v>3.6</v>
      </c>
    </row>
    <row r="1036" spans="1:25" ht="60" customHeight="1" x14ac:dyDescent="0.25">
      <c r="A1036"/>
      <c r="B1036" t="s">
        <v>3</v>
      </c>
      <c r="C1036" t="s">
        <v>3958</v>
      </c>
      <c r="D1036" t="s">
        <v>618</v>
      </c>
      <c r="E1036" t="s">
        <v>1377</v>
      </c>
      <c r="F1036" t="s">
        <v>1378</v>
      </c>
      <c r="G1036" t="s">
        <v>1328</v>
      </c>
      <c r="H1036" s="11">
        <v>91</v>
      </c>
      <c r="I1036" s="10">
        <f>H1036*(1-IFERROR(VLOOKUP(G1036,Rabat!$C$9:$D$43,2,0),0))</f>
        <v>91</v>
      </c>
      <c r="J1036" t="s">
        <v>1815</v>
      </c>
      <c r="K1036" t="s">
        <v>1889</v>
      </c>
      <c r="L1036" t="s">
        <v>1813</v>
      </c>
      <c r="M1036">
        <v>10</v>
      </c>
      <c r="N1036"/>
      <c r="O1036" t="s">
        <v>1818</v>
      </c>
      <c r="P1036" s="12" t="str">
        <f>HYPERLINK("https://b2b.kobi.pl/pl/product/12095,szynoprzewod-3-obwodowy-1m-czarny-kobi?currency=PLN")</f>
        <v>https://b2b.kobi.pl/pl/product/12095,szynoprzewod-3-obwodowy-1m-czarny-kobi?currency=PLN</v>
      </c>
      <c r="Q1036" t="s">
        <v>14</v>
      </c>
      <c r="R1036"/>
      <c r="S1036" t="s">
        <v>2617</v>
      </c>
      <c r="T1036">
        <v>0.32</v>
      </c>
      <c r="U1036">
        <v>0.77</v>
      </c>
      <c r="V1036">
        <v>0.88</v>
      </c>
      <c r="W1036">
        <v>100</v>
      </c>
      <c r="X1036">
        <v>3.2</v>
      </c>
      <c r="Y1036">
        <v>3.6</v>
      </c>
    </row>
    <row r="1037" spans="1:25" ht="60" customHeight="1" x14ac:dyDescent="0.25">
      <c r="A1037"/>
      <c r="B1037" t="s">
        <v>3743</v>
      </c>
      <c r="C1037" t="s">
        <v>5</v>
      </c>
      <c r="D1037" t="s">
        <v>618</v>
      </c>
      <c r="E1037" t="s">
        <v>1383</v>
      </c>
      <c r="F1037" t="s">
        <v>1384</v>
      </c>
      <c r="G1037" t="s">
        <v>620</v>
      </c>
      <c r="H1037" s="11">
        <v>26.67</v>
      </c>
      <c r="I1037" s="10">
        <f>H1037*(1-IFERROR(VLOOKUP(G1037,Rabat!$C$9:$D$43,2,0),0))</f>
        <v>26.67</v>
      </c>
      <c r="J1037" t="s">
        <v>1815</v>
      </c>
      <c r="K1037" t="s">
        <v>413</v>
      </c>
      <c r="L1037" t="s">
        <v>1813</v>
      </c>
      <c r="M1037">
        <v>10</v>
      </c>
      <c r="N1037"/>
      <c r="O1037" t="s">
        <v>1818</v>
      </c>
      <c r="P1037" s="12" t="str">
        <f>HYPERLINK("https://b2b.kobi.pl/pl/product/10724,sciemniacz-led-sc02dp-5-24v-6a-z-pilotem-kobi?currency=PLN")</f>
        <v>https://b2b.kobi.pl/pl/product/10724,sciemniacz-led-sc02dp-5-24v-6a-z-pilotem-kobi?currency=PLN</v>
      </c>
      <c r="Q1037" t="s">
        <v>14</v>
      </c>
      <c r="R1037"/>
      <c r="S1037" t="s">
        <v>2622</v>
      </c>
      <c r="T1037">
        <v>0.01</v>
      </c>
      <c r="U1037">
        <v>2.7E-2</v>
      </c>
      <c r="V1037">
        <v>0.34</v>
      </c>
      <c r="W1037">
        <v>12.6</v>
      </c>
      <c r="X1037">
        <v>8.6</v>
      </c>
      <c r="Y1037">
        <v>0.6</v>
      </c>
    </row>
    <row r="1038" spans="1:25" ht="60" customHeight="1" x14ac:dyDescent="0.25">
      <c r="A1038"/>
      <c r="B1038" t="s">
        <v>3</v>
      </c>
      <c r="C1038" t="s">
        <v>3958</v>
      </c>
      <c r="D1038" t="s">
        <v>618</v>
      </c>
      <c r="E1038" t="s">
        <v>2123</v>
      </c>
      <c r="F1038" t="s">
        <v>2124</v>
      </c>
      <c r="G1038" t="s">
        <v>1328</v>
      </c>
      <c r="H1038" s="11">
        <v>144.22</v>
      </c>
      <c r="I1038" s="10">
        <f>H1038*(1-IFERROR(VLOOKUP(G1038,Rabat!$C$9:$D$43,2,0),0))</f>
        <v>144.22</v>
      </c>
      <c r="J1038" t="s">
        <v>1815</v>
      </c>
      <c r="K1038" t="s">
        <v>2160</v>
      </c>
      <c r="L1038" t="s">
        <v>1813</v>
      </c>
      <c r="M1038">
        <v>10</v>
      </c>
      <c r="N1038">
        <v>100</v>
      </c>
      <c r="O1038" t="s">
        <v>1818</v>
      </c>
      <c r="P1038" s="12" t="str">
        <f>HYPERLINK("https://b2b.kobi.pl/pl/product/12161,zestaw-szynoprzewod-1-obwodowy-nextrack-go-4xgu10-1m-bialy-kobi?currency=PLN")</f>
        <v>https://b2b.kobi.pl/pl/product/12161,zestaw-szynoprzewod-1-obwodowy-nextrack-go-4xgu10-1m-bialy-kobi?currency=PLN</v>
      </c>
      <c r="Q1038" t="s">
        <v>14</v>
      </c>
      <c r="R1038"/>
      <c r="S1038" t="s">
        <v>2602</v>
      </c>
      <c r="T1038">
        <v>0.38</v>
      </c>
      <c r="U1038">
        <v>0.92</v>
      </c>
      <c r="V1038">
        <v>1.1299999999999999</v>
      </c>
      <c r="W1038">
        <v>101</v>
      </c>
      <c r="X1038">
        <v>15</v>
      </c>
      <c r="Y1038">
        <v>6</v>
      </c>
    </row>
    <row r="1039" spans="1:25" ht="60" customHeight="1" x14ac:dyDescent="0.25">
      <c r="A1039"/>
      <c r="B1039" t="s">
        <v>3</v>
      </c>
      <c r="C1039" t="s">
        <v>582</v>
      </c>
      <c r="D1039" t="s">
        <v>618</v>
      </c>
      <c r="E1039" t="s">
        <v>992</v>
      </c>
      <c r="F1039" t="s">
        <v>993</v>
      </c>
      <c r="G1039" t="s">
        <v>620</v>
      </c>
      <c r="H1039" s="11">
        <v>19.47</v>
      </c>
      <c r="I1039" s="10">
        <f>H1039*(1-IFERROR(VLOOKUP(G1039,Rabat!$C$9:$D$43,2,0),0))</f>
        <v>19.47</v>
      </c>
      <c r="J1039" t="s">
        <v>1815</v>
      </c>
      <c r="K1039" t="s">
        <v>1851</v>
      </c>
      <c r="L1039" t="s">
        <v>1813</v>
      </c>
      <c r="M1039">
        <v>500</v>
      </c>
      <c r="N1039"/>
      <c r="O1039" t="s">
        <v>1818</v>
      </c>
      <c r="P1039" s="12" t="str">
        <f>HYPERLINK("https://b2b.kobi.pl/pl/product/12158,lacznik-prosty-do-led-koline-k2-kobi?currency=PLN")</f>
        <v>https://b2b.kobi.pl/pl/product/12158,lacznik-prosty-do-led-koline-k2-kobi?currency=PLN</v>
      </c>
      <c r="Q1039" t="s">
        <v>14</v>
      </c>
      <c r="R1039"/>
      <c r="S1039" t="s">
        <v>2574</v>
      </c>
      <c r="T1039">
        <v>0</v>
      </c>
      <c r="U1039">
        <v>2.4400000000000002E-2</v>
      </c>
      <c r="V1039">
        <v>3.04E-2</v>
      </c>
      <c r="W1039">
        <v>0</v>
      </c>
      <c r="X1039">
        <v>0</v>
      </c>
      <c r="Y1039">
        <v>0</v>
      </c>
    </row>
    <row r="1040" spans="1:25" ht="60" customHeight="1" x14ac:dyDescent="0.25">
      <c r="A1040"/>
      <c r="B1040" t="s">
        <v>621</v>
      </c>
      <c r="C1040" t="s">
        <v>5</v>
      </c>
      <c r="D1040" t="s">
        <v>618</v>
      </c>
      <c r="E1040" t="s">
        <v>1373</v>
      </c>
      <c r="F1040" t="s">
        <v>1374</v>
      </c>
      <c r="G1040" t="s">
        <v>620</v>
      </c>
      <c r="H1040" s="11">
        <v>66.2</v>
      </c>
      <c r="I1040" s="10">
        <f>H1040*(1-IFERROR(VLOOKUP(G1040,Rabat!$C$9:$D$43,2,0),0))</f>
        <v>66.2</v>
      </c>
      <c r="J1040" t="s">
        <v>1815</v>
      </c>
      <c r="K1040" t="s">
        <v>411</v>
      </c>
      <c r="L1040" t="s">
        <v>1813</v>
      </c>
      <c r="M1040">
        <v>10</v>
      </c>
      <c r="N1040"/>
      <c r="O1040" t="s">
        <v>1818</v>
      </c>
      <c r="P1040" s="12" t="str">
        <f>HYPERLINK("https://b2b.kobi.pl/pl/product/10740,sterownik-led-st06fp-5-24v-6a-z-pilotem-kobi?currency=PLN")</f>
        <v>https://b2b.kobi.pl/pl/product/10740,sterownik-led-st06fp-5-24v-6a-z-pilotem-kobi?currency=PLN</v>
      </c>
      <c r="Q1040" t="s">
        <v>14</v>
      </c>
      <c r="R1040" t="s">
        <v>1945</v>
      </c>
      <c r="S1040" t="s">
        <v>2627</v>
      </c>
      <c r="T1040">
        <v>0.01</v>
      </c>
      <c r="U1040">
        <v>2.7E-2</v>
      </c>
      <c r="V1040">
        <v>3.4000000000000002E-2</v>
      </c>
      <c r="W1040">
        <v>1</v>
      </c>
      <c r="X1040">
        <v>13</v>
      </c>
      <c r="Y1040">
        <v>1</v>
      </c>
    </row>
    <row r="1041" spans="1:25" ht="60" customHeight="1" x14ac:dyDescent="0.25">
      <c r="A1041"/>
      <c r="B1041" t="s">
        <v>3</v>
      </c>
      <c r="C1041" t="s">
        <v>3958</v>
      </c>
      <c r="D1041" t="s">
        <v>618</v>
      </c>
      <c r="E1041" t="s">
        <v>2125</v>
      </c>
      <c r="F1041" t="s">
        <v>2126</v>
      </c>
      <c r="G1041" t="s">
        <v>1328</v>
      </c>
      <c r="H1041" s="11">
        <v>144.22</v>
      </c>
      <c r="I1041" s="10">
        <f>H1041*(1-IFERROR(VLOOKUP(G1041,Rabat!$C$9:$D$43,2,0),0))</f>
        <v>144.22</v>
      </c>
      <c r="J1041" t="s">
        <v>1815</v>
      </c>
      <c r="K1041" t="s">
        <v>2161</v>
      </c>
      <c r="L1041" t="s">
        <v>1813</v>
      </c>
      <c r="M1041">
        <v>10</v>
      </c>
      <c r="N1041">
        <v>100</v>
      </c>
      <c r="O1041" t="s">
        <v>1818</v>
      </c>
      <c r="P1041" s="12" t="str">
        <f>HYPERLINK("https://b2b.kobi.pl/pl/product/12162,zestaw-szynoprzewod-1-obwodowy-nextrack-go-4xgu10-1m-czarny-kobi?currency=PLN")</f>
        <v>https://b2b.kobi.pl/pl/product/12162,zestaw-szynoprzewod-1-obwodowy-nextrack-go-4xgu10-1m-czarny-kobi?currency=PLN</v>
      </c>
      <c r="Q1041" t="s">
        <v>14</v>
      </c>
      <c r="R1041"/>
      <c r="S1041" t="s">
        <v>2602</v>
      </c>
      <c r="T1041">
        <v>0.38</v>
      </c>
      <c r="U1041">
        <v>0.92</v>
      </c>
      <c r="V1041">
        <v>1.1299999999999999</v>
      </c>
      <c r="W1041">
        <v>101</v>
      </c>
      <c r="X1041">
        <v>15</v>
      </c>
      <c r="Y1041">
        <v>6</v>
      </c>
    </row>
    <row r="1042" spans="1:25" ht="60" customHeight="1" x14ac:dyDescent="0.25">
      <c r="A1042"/>
      <c r="B1042" t="s">
        <v>3</v>
      </c>
      <c r="C1042" t="s">
        <v>3958</v>
      </c>
      <c r="D1042" t="s">
        <v>618</v>
      </c>
      <c r="E1042" t="s">
        <v>2184</v>
      </c>
      <c r="F1042" t="s">
        <v>2185</v>
      </c>
      <c r="G1042" t="s">
        <v>1328</v>
      </c>
      <c r="H1042" s="11">
        <v>48.67</v>
      </c>
      <c r="I1042" s="10">
        <f>H1042*(1-IFERROR(VLOOKUP(G1042,Rabat!$C$9:$D$43,2,0),0))</f>
        <v>48.67</v>
      </c>
      <c r="J1042" t="s">
        <v>1815</v>
      </c>
      <c r="K1042" t="s">
        <v>2194</v>
      </c>
      <c r="L1042" t="s">
        <v>1813</v>
      </c>
      <c r="M1042">
        <v>50</v>
      </c>
      <c r="N1042">
        <v>1000</v>
      </c>
      <c r="O1042" t="s">
        <v>1818</v>
      </c>
      <c r="P1042" s="12" t="str">
        <f>HYPERLINK("https://b2b.kobi.pl/pl/product/12445,reflektor-szynowy-3-obwodowy-nextrack-s-line-n1-1xgu10-bialy-kobi?currency=PLN")</f>
        <v>https://b2b.kobi.pl/pl/product/12445,reflektor-szynowy-3-obwodowy-nextrack-s-line-n1-1xgu10-bialy-kobi?currency=PLN</v>
      </c>
      <c r="Q1042" t="s">
        <v>14</v>
      </c>
      <c r="R1042"/>
      <c r="S1042" t="s">
        <v>2610</v>
      </c>
      <c r="T1042">
        <v>0.06</v>
      </c>
      <c r="U1042">
        <v>0.15</v>
      </c>
      <c r="V1042">
        <v>0.21</v>
      </c>
      <c r="W1042">
        <v>9</v>
      </c>
      <c r="X1042">
        <v>6.5</v>
      </c>
      <c r="Y1042">
        <v>19</v>
      </c>
    </row>
    <row r="1043" spans="1:25" ht="60" customHeight="1" x14ac:dyDescent="0.25">
      <c r="A1043"/>
      <c r="B1043" t="s">
        <v>621</v>
      </c>
      <c r="C1043" t="s">
        <v>5</v>
      </c>
      <c r="D1043" t="s">
        <v>618</v>
      </c>
      <c r="E1043" t="s">
        <v>1445</v>
      </c>
      <c r="F1043" t="s">
        <v>1446</v>
      </c>
      <c r="G1043" t="s">
        <v>620</v>
      </c>
      <c r="H1043" s="11">
        <v>44.5</v>
      </c>
      <c r="I1043" s="10">
        <f>H1043*(1-IFERROR(VLOOKUP(G1043,Rabat!$C$9:$D$43,2,0),0))</f>
        <v>44.5</v>
      </c>
      <c r="J1043" t="s">
        <v>1815</v>
      </c>
      <c r="K1043" t="s">
        <v>412</v>
      </c>
      <c r="L1043" t="s">
        <v>1813</v>
      </c>
      <c r="M1043">
        <v>12</v>
      </c>
      <c r="N1043"/>
      <c r="O1043" t="s">
        <v>1818</v>
      </c>
      <c r="P1043" s="12" t="str">
        <f>HYPERLINK("https://b2b.kobi.pl/pl/product/10741,wzmacniacz-led-st07f-5-24v-12a-z-pilotem-kobi?currency=PLN")</f>
        <v>https://b2b.kobi.pl/pl/product/10741,wzmacniacz-led-st07f-5-24v-12a-z-pilotem-kobi?currency=PLN</v>
      </c>
      <c r="Q1043" t="s">
        <v>14</v>
      </c>
      <c r="R1043" t="s">
        <v>1945</v>
      </c>
      <c r="S1043" t="s">
        <v>2627</v>
      </c>
      <c r="T1043">
        <v>0</v>
      </c>
      <c r="U1043">
        <v>7.0000000000000001E-3</v>
      </c>
      <c r="V1043">
        <v>1.4999999999999999E-2</v>
      </c>
      <c r="W1043">
        <v>12.5</v>
      </c>
      <c r="X1043">
        <v>9.6</v>
      </c>
      <c r="Y1043">
        <v>0.6</v>
      </c>
    </row>
    <row r="1044" spans="1:25" ht="60" customHeight="1" x14ac:dyDescent="0.25">
      <c r="A1044"/>
      <c r="B1044" t="s">
        <v>3</v>
      </c>
      <c r="C1044" t="s">
        <v>3958</v>
      </c>
      <c r="D1044" t="s">
        <v>618</v>
      </c>
      <c r="E1044" t="s">
        <v>2186</v>
      </c>
      <c r="F1044" t="s">
        <v>2187</v>
      </c>
      <c r="G1044" t="s">
        <v>1328</v>
      </c>
      <c r="H1044" s="11">
        <v>48.67</v>
      </c>
      <c r="I1044" s="10">
        <f>H1044*(1-IFERROR(VLOOKUP(G1044,Rabat!$C$9:$D$43,2,0),0))</f>
        <v>48.67</v>
      </c>
      <c r="J1044" t="s">
        <v>1815</v>
      </c>
      <c r="K1044" t="s">
        <v>2195</v>
      </c>
      <c r="L1044" t="s">
        <v>1813</v>
      </c>
      <c r="M1044">
        <v>50</v>
      </c>
      <c r="N1044">
        <v>1000</v>
      </c>
      <c r="O1044" t="s">
        <v>1818</v>
      </c>
      <c r="P1044" s="12" t="str">
        <f>HYPERLINK("https://b2b.kobi.pl/pl/product/12444,reflektor-szynowy-3-obwodowy-nextrack-s-line-n1-1xgu10-czarny-kobi?currency=PLN")</f>
        <v>https://b2b.kobi.pl/pl/product/12444,reflektor-szynowy-3-obwodowy-nextrack-s-line-n1-1xgu10-czarny-kobi?currency=PLN</v>
      </c>
      <c r="Q1044" t="s">
        <v>14</v>
      </c>
      <c r="R1044"/>
      <c r="S1044" t="s">
        <v>2610</v>
      </c>
      <c r="T1044">
        <v>0.06</v>
      </c>
      <c r="U1044">
        <v>0.15</v>
      </c>
      <c r="V1044">
        <v>0.21</v>
      </c>
      <c r="W1044">
        <v>9</v>
      </c>
      <c r="X1044">
        <v>6.5</v>
      </c>
      <c r="Y1044">
        <v>19</v>
      </c>
    </row>
    <row r="1045" spans="1:25" ht="60" customHeight="1" x14ac:dyDescent="0.25">
      <c r="A1045"/>
      <c r="B1045" t="s">
        <v>3</v>
      </c>
      <c r="C1045" t="s">
        <v>3958</v>
      </c>
      <c r="D1045" t="s">
        <v>618</v>
      </c>
      <c r="E1045" t="s">
        <v>3166</v>
      </c>
      <c r="F1045" t="s">
        <v>3167</v>
      </c>
      <c r="G1045" t="s">
        <v>1328</v>
      </c>
      <c r="H1045" s="11">
        <v>82.17</v>
      </c>
      <c r="I1045" s="10">
        <f>H1045*(1-IFERROR(VLOOKUP(G1045,Rabat!$C$9:$D$43,2,0),0))</f>
        <v>82.17</v>
      </c>
      <c r="J1045" t="s">
        <v>1815</v>
      </c>
      <c r="K1045" t="s">
        <v>3173</v>
      </c>
      <c r="L1045" t="s">
        <v>1813</v>
      </c>
      <c r="M1045">
        <v>30</v>
      </c>
      <c r="N1045"/>
      <c r="O1045" t="s">
        <v>1818</v>
      </c>
      <c r="P1045" s="12" t="str">
        <f>HYPERLINK("https://b2b.kobi.pl/pl/product/12831,reflektor-szynowy-zwieszany-3-obwodowy-nextrack-s-line-p-1xgu10-czarny-kobi?currency=PLN")</f>
        <v>https://b2b.kobi.pl/pl/product/12831,reflektor-szynowy-zwieszany-3-obwodowy-nextrack-s-line-p-1xgu10-czarny-kobi?currency=PLN</v>
      </c>
      <c r="Q1045" t="s">
        <v>14</v>
      </c>
      <c r="R1045"/>
      <c r="S1045" t="s">
        <v>2602</v>
      </c>
      <c r="T1045">
        <v>0.16</v>
      </c>
      <c r="U1045">
        <v>0.40899999999999997</v>
      </c>
      <c r="V1045">
        <v>0.49</v>
      </c>
      <c r="W1045">
        <v>9.8000000000000007</v>
      </c>
      <c r="X1045">
        <v>6.5</v>
      </c>
      <c r="Y1045">
        <v>35</v>
      </c>
    </row>
    <row r="1046" spans="1:25" ht="60" customHeight="1" x14ac:dyDescent="0.25">
      <c r="A1046"/>
      <c r="B1046" t="s">
        <v>3</v>
      </c>
      <c r="C1046" t="s">
        <v>3958</v>
      </c>
      <c r="D1046" t="s">
        <v>618</v>
      </c>
      <c r="E1046" t="s">
        <v>3168</v>
      </c>
      <c r="F1046" t="s">
        <v>3169</v>
      </c>
      <c r="G1046" t="s">
        <v>1328</v>
      </c>
      <c r="H1046" s="11">
        <v>82.17</v>
      </c>
      <c r="I1046" s="10">
        <f>H1046*(1-IFERROR(VLOOKUP(G1046,Rabat!$C$9:$D$43,2,0),0))</f>
        <v>82.17</v>
      </c>
      <c r="J1046" t="s">
        <v>1815</v>
      </c>
      <c r="K1046" t="s">
        <v>3174</v>
      </c>
      <c r="L1046" t="s">
        <v>1813</v>
      </c>
      <c r="M1046">
        <v>30</v>
      </c>
      <c r="N1046"/>
      <c r="O1046" t="s">
        <v>1818</v>
      </c>
      <c r="P1046" s="12" t="str">
        <f>HYPERLINK("https://b2b.kobi.pl/pl/product/12832,reflektor-szynowy-zwieszany-3-obwodowy-nextrack-s-line-p-1xgu10-bialy-kobi?currency=PLN")</f>
        <v>https://b2b.kobi.pl/pl/product/12832,reflektor-szynowy-zwieszany-3-obwodowy-nextrack-s-line-p-1xgu10-bialy-kobi?currency=PLN</v>
      </c>
      <c r="Q1046" t="s">
        <v>14</v>
      </c>
      <c r="R1046"/>
      <c r="S1046" t="s">
        <v>2602</v>
      </c>
      <c r="T1046">
        <v>0.16</v>
      </c>
      <c r="U1046">
        <v>0.40400000000000003</v>
      </c>
      <c r="V1046">
        <v>0.49</v>
      </c>
      <c r="W1046">
        <v>9.8000000000000007</v>
      </c>
      <c r="X1046">
        <v>6.5</v>
      </c>
      <c r="Y1046">
        <v>35</v>
      </c>
    </row>
    <row r="1047" spans="1:25" ht="60" customHeight="1" x14ac:dyDescent="0.25">
      <c r="A1047"/>
      <c r="B1047" t="s">
        <v>3</v>
      </c>
      <c r="C1047" t="s">
        <v>3958</v>
      </c>
      <c r="D1047" t="s">
        <v>618</v>
      </c>
      <c r="E1047" t="s">
        <v>4011</v>
      </c>
      <c r="F1047" t="s">
        <v>4012</v>
      </c>
      <c r="G1047" t="s">
        <v>1328</v>
      </c>
      <c r="H1047" s="11">
        <v>62.22</v>
      </c>
      <c r="I1047" s="10">
        <f>H1047*(1-IFERROR(VLOOKUP(G1047,Rabat!$C$9:$D$43,2,0),0))</f>
        <v>62.22</v>
      </c>
      <c r="J1047" t="s">
        <v>1815</v>
      </c>
      <c r="K1047" t="s">
        <v>4224</v>
      </c>
      <c r="L1047" t="s">
        <v>1813</v>
      </c>
      <c r="M1047">
        <v>50</v>
      </c>
      <c r="N1047">
        <v>750</v>
      </c>
      <c r="O1047" t="s">
        <v>1818</v>
      </c>
      <c r="P1047" s="12" t="str">
        <f>HYPERLINK("https://b2b.kobi.pl/pl/product/13473,reflektor-szynowy-nextrack-s-line-ring-1xgu10-czarny-kobi?currency=PLN")</f>
        <v>https://b2b.kobi.pl/pl/product/13473,reflektor-szynowy-nextrack-s-line-ring-1xgu10-czarny-kobi?currency=PLN</v>
      </c>
      <c r="Q1047" t="s">
        <v>14</v>
      </c>
      <c r="R1047" t="s">
        <v>4101</v>
      </c>
      <c r="S1047" t="s">
        <v>2610</v>
      </c>
      <c r="T1047">
        <v>0.06</v>
      </c>
      <c r="U1047">
        <v>0.16</v>
      </c>
      <c r="V1047">
        <v>0.216</v>
      </c>
      <c r="W1047">
        <v>9</v>
      </c>
      <c r="X1047">
        <v>6.5</v>
      </c>
      <c r="Y1047">
        <v>21</v>
      </c>
    </row>
    <row r="1048" spans="1:25" ht="60" customHeight="1" x14ac:dyDescent="0.25">
      <c r="A1048"/>
      <c r="B1048" t="s">
        <v>3743</v>
      </c>
      <c r="C1048" t="s">
        <v>3744</v>
      </c>
      <c r="D1048" t="s">
        <v>618</v>
      </c>
      <c r="E1048" t="s">
        <v>1371</v>
      </c>
      <c r="F1048" t="s">
        <v>1372</v>
      </c>
      <c r="G1048" t="s">
        <v>620</v>
      </c>
      <c r="H1048" s="11">
        <v>2.2200000000000002</v>
      </c>
      <c r="I1048" s="10">
        <f>H1048*(1-IFERROR(VLOOKUP(G1048,Rabat!$C$9:$D$43,2,0),0))</f>
        <v>2.2200000000000002</v>
      </c>
      <c r="J1048" t="s">
        <v>1815</v>
      </c>
      <c r="K1048" t="s">
        <v>430</v>
      </c>
      <c r="L1048" t="s">
        <v>1813</v>
      </c>
      <c r="M1048">
        <v>1000</v>
      </c>
      <c r="N1048"/>
      <c r="O1048" t="s">
        <v>1818</v>
      </c>
      <c r="P1048" s="12" t="str">
        <f>HYPERLINK("https://b2b.kobi.pl/pl/product/10738,starter-do-led-t8-kobi?currency=PLN")</f>
        <v>https://b2b.kobi.pl/pl/product/10738,starter-do-led-t8-kobi?currency=PLN</v>
      </c>
      <c r="Q1048" t="s">
        <v>14</v>
      </c>
      <c r="R1048"/>
      <c r="S1048" t="s">
        <v>2628</v>
      </c>
      <c r="T1048">
        <v>0</v>
      </c>
      <c r="U1048">
        <v>3.0000000000000001E-3</v>
      </c>
      <c r="V1048">
        <v>3.0000000000000001E-3</v>
      </c>
      <c r="W1048">
        <v>2</v>
      </c>
      <c r="X1048">
        <v>2</v>
      </c>
      <c r="Y1048">
        <v>4</v>
      </c>
    </row>
    <row r="1049" spans="1:25" ht="60" customHeight="1" x14ac:dyDescent="0.25">
      <c r="A1049"/>
      <c r="B1049" t="s">
        <v>3743</v>
      </c>
      <c r="C1049" t="s">
        <v>3745</v>
      </c>
      <c r="D1049" t="s">
        <v>618</v>
      </c>
      <c r="E1049" t="s">
        <v>1434</v>
      </c>
      <c r="F1049" t="s">
        <v>1435</v>
      </c>
      <c r="G1049" t="s">
        <v>1436</v>
      </c>
      <c r="H1049" s="11">
        <v>16.29</v>
      </c>
      <c r="I1049" s="10">
        <f>H1049*(1-IFERROR(VLOOKUP(G1049,Rabat!$C$9:$D$43,2,0),0))</f>
        <v>16.29</v>
      </c>
      <c r="J1049" t="s">
        <v>1816</v>
      </c>
      <c r="K1049" t="s">
        <v>142</v>
      </c>
      <c r="L1049" t="s">
        <v>1813</v>
      </c>
      <c r="M1049">
        <v>100</v>
      </c>
      <c r="N1049">
        <v>7200</v>
      </c>
      <c r="O1049" t="s">
        <v>1818</v>
      </c>
      <c r="P1049" s="12" t="str">
        <f>HYPERLINK("https://b2b.kobi.pl/pl/product/9576,wklad-led-insert-5w-3000k-mleczny-kobi?currency=PLN")</f>
        <v>https://b2b.kobi.pl/pl/product/9576,wklad-led-insert-5w-3000k-mleczny-kobi?currency=PLN</v>
      </c>
      <c r="Q1049" s="12" t="str">
        <f>HYPERLINK("https://eprel.ec.europa.eu/qr/660155")</f>
        <v>https://eprel.ec.europa.eu/qr/660155</v>
      </c>
      <c r="R1049"/>
      <c r="S1049" t="s">
        <v>2569</v>
      </c>
      <c r="T1049">
        <v>0.04</v>
      </c>
      <c r="U1049">
        <v>5.1999999999999998E-2</v>
      </c>
      <c r="V1049">
        <v>5.8999999999999997E-2</v>
      </c>
      <c r="W1049">
        <v>5.2</v>
      </c>
      <c r="X1049">
        <v>5.0999999999999996</v>
      </c>
      <c r="Y1049">
        <v>5.7</v>
      </c>
    </row>
    <row r="1050" spans="1:25" ht="60" customHeight="1" x14ac:dyDescent="0.25">
      <c r="A1050"/>
      <c r="B1050" t="s">
        <v>3743</v>
      </c>
      <c r="C1050" t="s">
        <v>3745</v>
      </c>
      <c r="D1050" t="s">
        <v>618</v>
      </c>
      <c r="E1050" t="s">
        <v>1437</v>
      </c>
      <c r="F1050" t="s">
        <v>1438</v>
      </c>
      <c r="G1050" t="s">
        <v>1436</v>
      </c>
      <c r="H1050" s="11">
        <v>16.29</v>
      </c>
      <c r="I1050" s="10">
        <f>H1050*(1-IFERROR(VLOOKUP(G1050,Rabat!$C$9:$D$43,2,0),0))</f>
        <v>16.29</v>
      </c>
      <c r="J1050" t="s">
        <v>1816</v>
      </c>
      <c r="K1050" t="s">
        <v>143</v>
      </c>
      <c r="L1050" t="s">
        <v>1813</v>
      </c>
      <c r="M1050">
        <v>100</v>
      </c>
      <c r="N1050">
        <v>7200</v>
      </c>
      <c r="O1050" t="s">
        <v>1818</v>
      </c>
      <c r="P1050" s="12" t="str">
        <f>HYPERLINK("https://b2b.kobi.pl/pl/product/9577,wklad-led-insert-5w-4000k-mleczny-kobi?currency=PLN")</f>
        <v>https://b2b.kobi.pl/pl/product/9577,wklad-led-insert-5w-4000k-mleczny-kobi?currency=PLN</v>
      </c>
      <c r="Q1050" s="12" t="str">
        <f>HYPERLINK("https://eprel.ec.europa.eu/qr/660157")</f>
        <v>https://eprel.ec.europa.eu/qr/660157</v>
      </c>
      <c r="R1050"/>
      <c r="S1050" t="s">
        <v>2569</v>
      </c>
      <c r="T1050">
        <v>0.04</v>
      </c>
      <c r="U1050">
        <v>5.1999999999999998E-2</v>
      </c>
      <c r="V1050">
        <v>5.8999999999999997E-2</v>
      </c>
      <c r="W1050">
        <v>5</v>
      </c>
      <c r="X1050">
        <v>6.5</v>
      </c>
      <c r="Y1050">
        <v>5</v>
      </c>
    </row>
    <row r="1051" spans="1:25" ht="60" customHeight="1" x14ac:dyDescent="0.25">
      <c r="A1051"/>
      <c r="B1051" t="s">
        <v>3743</v>
      </c>
      <c r="C1051" t="s">
        <v>3745</v>
      </c>
      <c r="D1051" t="s">
        <v>618</v>
      </c>
      <c r="E1051" t="s">
        <v>1439</v>
      </c>
      <c r="F1051" t="s">
        <v>1440</v>
      </c>
      <c r="G1051" t="s">
        <v>1436</v>
      </c>
      <c r="H1051" s="11">
        <v>16.29</v>
      </c>
      <c r="I1051" s="10">
        <f>H1051*(1-IFERROR(VLOOKUP(G1051,Rabat!$C$9:$D$43,2,0),0))</f>
        <v>16.29</v>
      </c>
      <c r="J1051" t="s">
        <v>1816</v>
      </c>
      <c r="K1051" t="s">
        <v>144</v>
      </c>
      <c r="L1051" t="s">
        <v>1813</v>
      </c>
      <c r="M1051">
        <v>100</v>
      </c>
      <c r="N1051">
        <v>7200</v>
      </c>
      <c r="O1051" t="s">
        <v>1818</v>
      </c>
      <c r="P1051" s="12" t="str">
        <f>HYPERLINK("https://b2b.kobi.pl/pl/product/9578,wklad-led-insert-5w-6000k-mleczny-kobi?currency=PLN")</f>
        <v>https://b2b.kobi.pl/pl/product/9578,wklad-led-insert-5w-6000k-mleczny-kobi?currency=PLN</v>
      </c>
      <c r="Q1051" s="12" t="str">
        <f>HYPERLINK("https://eprel.ec.europa.eu/qr/660159")</f>
        <v>https://eprel.ec.europa.eu/qr/660159</v>
      </c>
      <c r="R1051"/>
      <c r="S1051" t="s">
        <v>2569</v>
      </c>
      <c r="T1051">
        <v>0.04</v>
      </c>
      <c r="U1051">
        <v>5.1999999999999998E-2</v>
      </c>
      <c r="V1051">
        <v>5.8999999999999997E-2</v>
      </c>
      <c r="W1051">
        <v>5</v>
      </c>
      <c r="X1051">
        <v>6.5</v>
      </c>
      <c r="Y1051">
        <v>5</v>
      </c>
    </row>
    <row r="1052" spans="1:25" ht="60" customHeight="1" x14ac:dyDescent="0.25">
      <c r="A1052"/>
      <c r="B1052" t="s">
        <v>3743</v>
      </c>
      <c r="C1052" t="s">
        <v>3745</v>
      </c>
      <c r="D1052" t="s">
        <v>618</v>
      </c>
      <c r="E1052" t="s">
        <v>3245</v>
      </c>
      <c r="F1052" t="s">
        <v>3246</v>
      </c>
      <c r="G1052" t="s">
        <v>1436</v>
      </c>
      <c r="H1052" s="11">
        <v>17.100000000000001</v>
      </c>
      <c r="I1052" s="10">
        <f>H1052*(1-IFERROR(VLOOKUP(G1052,Rabat!$C$9:$D$43,2,0),0))</f>
        <v>17.100000000000001</v>
      </c>
      <c r="J1052" t="s">
        <v>1820</v>
      </c>
      <c r="K1052" t="s">
        <v>3261</v>
      </c>
      <c r="L1052" t="s">
        <v>1813</v>
      </c>
      <c r="M1052">
        <v>100</v>
      </c>
      <c r="N1052"/>
      <c r="O1052" t="s">
        <v>1818</v>
      </c>
      <c r="P1052" s="12" t="str">
        <f>HYPERLINK("https://b2b.kobi.pl/pl/product/12901,wklad-led-insert-5w-3cct-dim-kobi?currency=PLN")</f>
        <v>https://b2b.kobi.pl/pl/product/12901,wklad-led-insert-5w-3cct-dim-kobi?currency=PLN</v>
      </c>
      <c r="Q1052" s="12" t="str">
        <f>HYPERLINK("https://eprel.ec.europa.eu/qr/2407141")</f>
        <v>https://eprel.ec.europa.eu/qr/2407141</v>
      </c>
      <c r="R1052"/>
      <c r="S1052" t="s">
        <v>2569</v>
      </c>
      <c r="T1052">
        <v>0.03</v>
      </c>
      <c r="U1052">
        <v>0.03</v>
      </c>
      <c r="V1052">
        <v>3.6999999999999998E-2</v>
      </c>
      <c r="W1052">
        <v>5.0999999999999996</v>
      </c>
      <c r="X1052">
        <v>5.0999999999999996</v>
      </c>
      <c r="Y1052">
        <v>6.5</v>
      </c>
    </row>
    <row r="1053" spans="1:25" ht="60" customHeight="1" x14ac:dyDescent="0.25">
      <c r="A1053"/>
      <c r="B1053" t="s">
        <v>3743</v>
      </c>
      <c r="C1053" t="s">
        <v>3745</v>
      </c>
      <c r="D1053" t="s">
        <v>618</v>
      </c>
      <c r="E1053" t="s">
        <v>1441</v>
      </c>
      <c r="F1053" t="s">
        <v>1442</v>
      </c>
      <c r="G1053" t="s">
        <v>1436</v>
      </c>
      <c r="H1053" s="11">
        <v>19.760000000000002</v>
      </c>
      <c r="I1053" s="10">
        <f>H1053*(1-IFERROR(VLOOKUP(G1053,Rabat!$C$9:$D$43,2,0),0))</f>
        <v>19.760000000000002</v>
      </c>
      <c r="J1053" t="s">
        <v>1816</v>
      </c>
      <c r="K1053" t="s">
        <v>145</v>
      </c>
      <c r="L1053" t="s">
        <v>1813</v>
      </c>
      <c r="M1053">
        <v>100</v>
      </c>
      <c r="N1053">
        <v>7200</v>
      </c>
      <c r="O1053" t="s">
        <v>1818</v>
      </c>
      <c r="P1053" s="12" t="str">
        <f>HYPERLINK("https://b2b.kobi.pl/pl/product/9579,wklad-led-insert-6-5w-3000k-mleczny-kobi?currency=PLN")</f>
        <v>https://b2b.kobi.pl/pl/product/9579,wklad-led-insert-6-5w-3000k-mleczny-kobi?currency=PLN</v>
      </c>
      <c r="Q1053" s="12" t="str">
        <f>HYPERLINK("https://eprel.ec.europa.eu/qr/660163")</f>
        <v>https://eprel.ec.europa.eu/qr/660163</v>
      </c>
      <c r="R1053"/>
      <c r="S1053" t="s">
        <v>2569</v>
      </c>
      <c r="T1053">
        <v>0.04</v>
      </c>
      <c r="U1053">
        <v>5.1999999999999998E-2</v>
      </c>
      <c r="V1053">
        <v>5.8999999999999997E-2</v>
      </c>
      <c r="W1053">
        <v>5</v>
      </c>
      <c r="X1053">
        <v>6.5</v>
      </c>
      <c r="Y1053">
        <v>5</v>
      </c>
    </row>
    <row r="1054" spans="1:25" ht="60" customHeight="1" x14ac:dyDescent="0.25">
      <c r="A1054"/>
      <c r="B1054" t="s">
        <v>3743</v>
      </c>
      <c r="C1054" t="s">
        <v>3745</v>
      </c>
      <c r="D1054" t="s">
        <v>618</v>
      </c>
      <c r="E1054" t="s">
        <v>1443</v>
      </c>
      <c r="F1054" t="s">
        <v>1444</v>
      </c>
      <c r="G1054" t="s">
        <v>1436</v>
      </c>
      <c r="H1054" s="11">
        <v>19.760000000000002</v>
      </c>
      <c r="I1054" s="10">
        <f>H1054*(1-IFERROR(VLOOKUP(G1054,Rabat!$C$9:$D$43,2,0),0))</f>
        <v>19.760000000000002</v>
      </c>
      <c r="J1054" t="s">
        <v>1816</v>
      </c>
      <c r="K1054" t="s">
        <v>146</v>
      </c>
      <c r="L1054" t="s">
        <v>1813</v>
      </c>
      <c r="M1054">
        <v>100</v>
      </c>
      <c r="N1054">
        <v>7200</v>
      </c>
      <c r="O1054" t="s">
        <v>1818</v>
      </c>
      <c r="P1054" s="12" t="str">
        <f>HYPERLINK("https://b2b.kobi.pl/pl/product/9580,wklad-led-insert-6-5w-4000k-mleczny-kobi?currency=PLN")</f>
        <v>https://b2b.kobi.pl/pl/product/9580,wklad-led-insert-6-5w-4000k-mleczny-kobi?currency=PLN</v>
      </c>
      <c r="Q1054" s="12" t="str">
        <f>HYPERLINK("https://eprel.ec.europa.eu/qr/660165")</f>
        <v>https://eprel.ec.europa.eu/qr/660165</v>
      </c>
      <c r="R1054"/>
      <c r="S1054" t="s">
        <v>2569</v>
      </c>
      <c r="T1054">
        <v>0.04</v>
      </c>
      <c r="U1054">
        <v>5.1999999999999998E-2</v>
      </c>
      <c r="V1054">
        <v>5.8999999999999997E-2</v>
      </c>
      <c r="W1054">
        <v>5</v>
      </c>
      <c r="X1054">
        <v>6.5</v>
      </c>
      <c r="Y1054">
        <v>5</v>
      </c>
    </row>
    <row r="1055" spans="1:25" ht="60" customHeight="1" x14ac:dyDescent="0.25">
      <c r="A1055"/>
      <c r="B1055" t="s">
        <v>3743</v>
      </c>
      <c r="C1055" t="s">
        <v>3745</v>
      </c>
      <c r="D1055" t="s">
        <v>618</v>
      </c>
      <c r="E1055" t="s">
        <v>2359</v>
      </c>
      <c r="F1055" t="s">
        <v>2360</v>
      </c>
      <c r="G1055" t="s">
        <v>1436</v>
      </c>
      <c r="H1055" s="11">
        <v>19.760000000000002</v>
      </c>
      <c r="I1055" s="10">
        <f>H1055*(1-IFERROR(VLOOKUP(G1055,Rabat!$C$9:$D$43,2,0),0))</f>
        <v>19.760000000000002</v>
      </c>
      <c r="J1055" t="s">
        <v>1816</v>
      </c>
      <c r="K1055" t="s">
        <v>2434</v>
      </c>
      <c r="L1055" t="s">
        <v>1813</v>
      </c>
      <c r="M1055">
        <v>100</v>
      </c>
      <c r="N1055">
        <v>6000</v>
      </c>
      <c r="O1055" t="s">
        <v>1818</v>
      </c>
      <c r="P1055" s="12" t="str">
        <f>HYPERLINK("https://b2b.kobi.pl/pl/product/9581,wklad-led-insert-6-5w-6000k-mleczny-kobi?currency=PLN")</f>
        <v>https://b2b.kobi.pl/pl/product/9581,wklad-led-insert-6-5w-6000k-mleczny-kobi?currency=PLN</v>
      </c>
      <c r="Q1055" s="12" t="str">
        <f>HYPERLINK("https://eprel.ec.europa.eu/qr/660168")</f>
        <v>https://eprel.ec.europa.eu/qr/660168</v>
      </c>
      <c r="R1055"/>
      <c r="S1055" t="s">
        <v>2569</v>
      </c>
      <c r="T1055">
        <v>0.04</v>
      </c>
      <c r="U1055">
        <v>5.1999999999999998E-2</v>
      </c>
      <c r="V1055">
        <v>5.8999999999999997E-2</v>
      </c>
      <c r="W1055">
        <v>5</v>
      </c>
      <c r="X1055">
        <v>6.5</v>
      </c>
      <c r="Y1055">
        <v>5</v>
      </c>
    </row>
    <row r="1056" spans="1:25" ht="60" customHeight="1" x14ac:dyDescent="0.25">
      <c r="A1056"/>
      <c r="B1056" t="s">
        <v>4</v>
      </c>
      <c r="C1056" t="s">
        <v>3736</v>
      </c>
      <c r="D1056" t="s">
        <v>644</v>
      </c>
      <c r="E1056" t="s">
        <v>2361</v>
      </c>
      <c r="F1056" t="s">
        <v>2362</v>
      </c>
      <c r="G1056" t="s">
        <v>678</v>
      </c>
      <c r="H1056" s="11">
        <v>92.8</v>
      </c>
      <c r="I1056" s="10">
        <f>H1056*(1-IFERROR(VLOOKUP(G1056,Rabat!$C$9:$D$43,2,0),0))</f>
        <v>92.8</v>
      </c>
      <c r="J1056" t="s">
        <v>1815</v>
      </c>
      <c r="K1056" t="s">
        <v>2435</v>
      </c>
      <c r="L1056" t="s">
        <v>1813</v>
      </c>
      <c r="M1056">
        <v>1</v>
      </c>
      <c r="N1056"/>
      <c r="O1056" t="s">
        <v>1818</v>
      </c>
      <c r="P1056" s="12" t="str">
        <f>HYPERLINK("https://b2b.kobi.pl/pl/product/9861,kinkiet-globe-elegance-smoke-k-1xe14-kobi-design?currency=PLN")</f>
        <v>https://b2b.kobi.pl/pl/product/9861,kinkiet-globe-elegance-smoke-k-1xe14-kobi-design?currency=PLN</v>
      </c>
      <c r="Q1056" t="s">
        <v>14</v>
      </c>
      <c r="R1056" t="s">
        <v>1945</v>
      </c>
      <c r="S1056" t="s">
        <v>2610</v>
      </c>
      <c r="T1056">
        <v>0.2</v>
      </c>
      <c r="U1056">
        <v>0.5</v>
      </c>
      <c r="V1056">
        <v>0.8</v>
      </c>
      <c r="W1056">
        <v>40</v>
      </c>
      <c r="X1056">
        <v>20</v>
      </c>
      <c r="Y1056">
        <v>18</v>
      </c>
    </row>
    <row r="1057" spans="1:25" ht="60" customHeight="1" x14ac:dyDescent="0.25">
      <c r="A1057"/>
      <c r="B1057" t="s">
        <v>4</v>
      </c>
      <c r="C1057" t="s">
        <v>3736</v>
      </c>
      <c r="D1057" t="s">
        <v>644</v>
      </c>
      <c r="E1057" t="s">
        <v>803</v>
      </c>
      <c r="F1057" t="s">
        <v>804</v>
      </c>
      <c r="G1057" t="s">
        <v>678</v>
      </c>
      <c r="H1057" s="11">
        <v>463.45</v>
      </c>
      <c r="I1057" s="10">
        <f>H1057*(1-IFERROR(VLOOKUP(G1057,Rabat!$C$9:$D$43,2,0),0))</f>
        <v>463.45</v>
      </c>
      <c r="J1057" t="s">
        <v>1815</v>
      </c>
      <c r="K1057" t="s">
        <v>560</v>
      </c>
      <c r="L1057" t="s">
        <v>1813</v>
      </c>
      <c r="M1057">
        <v>1</v>
      </c>
      <c r="N1057"/>
      <c r="O1057" t="s">
        <v>1818</v>
      </c>
      <c r="P1057" s="12" t="str">
        <f>HYPERLINK("https://b2b.kobi.pl/pl/product/9864,lampa-sufitowa-globe-elegance-smoke-s6-6xe14-kobi-design?currency=PLN")</f>
        <v>https://b2b.kobi.pl/pl/product/9864,lampa-sufitowa-globe-elegance-smoke-s6-6xe14-kobi-design?currency=PLN</v>
      </c>
      <c r="Q1057" t="s">
        <v>14</v>
      </c>
      <c r="R1057" t="s">
        <v>1945</v>
      </c>
      <c r="S1057" t="s">
        <v>2610</v>
      </c>
      <c r="T1057">
        <v>1.02</v>
      </c>
      <c r="U1057">
        <v>2.5</v>
      </c>
      <c r="V1057">
        <v>2.8</v>
      </c>
      <c r="W1057">
        <v>81</v>
      </c>
      <c r="X1057">
        <v>49</v>
      </c>
      <c r="Y1057">
        <v>21</v>
      </c>
    </row>
    <row r="1058" spans="1:25" ht="60" customHeight="1" x14ac:dyDescent="0.25">
      <c r="A1058"/>
      <c r="B1058" t="s">
        <v>4</v>
      </c>
      <c r="C1058" t="s">
        <v>3736</v>
      </c>
      <c r="D1058" t="s">
        <v>644</v>
      </c>
      <c r="E1058" t="s">
        <v>875</v>
      </c>
      <c r="F1058" t="s">
        <v>876</v>
      </c>
      <c r="G1058" t="s">
        <v>678</v>
      </c>
      <c r="H1058" s="11">
        <v>97.71</v>
      </c>
      <c r="I1058" s="10">
        <f>H1058*(1-IFERROR(VLOOKUP(G1058,Rabat!$C$9:$D$43,2,0),0))</f>
        <v>97.71</v>
      </c>
      <c r="J1058" t="s">
        <v>1815</v>
      </c>
      <c r="K1058" t="s">
        <v>556</v>
      </c>
      <c r="L1058" t="s">
        <v>1813</v>
      </c>
      <c r="M1058">
        <v>1</v>
      </c>
      <c r="N1058"/>
      <c r="O1058" t="s">
        <v>1818</v>
      </c>
      <c r="P1058" s="12" t="str">
        <f>HYPERLINK("https://b2b.kobi.pl/pl/product/9865,lampa-wiszaca-globe-elegance-ash-s-1xg9-kobi-design?currency=PLN")</f>
        <v>https://b2b.kobi.pl/pl/product/9865,lampa-wiszaca-globe-elegance-ash-s-1xg9-kobi-design?currency=PLN</v>
      </c>
      <c r="Q1058" t="s">
        <v>14</v>
      </c>
      <c r="R1058" t="s">
        <v>1945</v>
      </c>
      <c r="S1058" t="s">
        <v>2610</v>
      </c>
      <c r="T1058">
        <v>0.23</v>
      </c>
      <c r="U1058">
        <v>0.6</v>
      </c>
      <c r="V1058">
        <v>0.9</v>
      </c>
      <c r="W1058">
        <v>29</v>
      </c>
      <c r="X1058">
        <v>20</v>
      </c>
      <c r="Y1058">
        <v>20</v>
      </c>
    </row>
    <row r="1059" spans="1:25" ht="60" customHeight="1" x14ac:dyDescent="0.25">
      <c r="A1059"/>
      <c r="B1059" t="s">
        <v>4</v>
      </c>
      <c r="C1059" t="s">
        <v>3736</v>
      </c>
      <c r="D1059" t="s">
        <v>644</v>
      </c>
      <c r="E1059" t="s">
        <v>3330</v>
      </c>
      <c r="F1059" t="s">
        <v>683</v>
      </c>
      <c r="G1059" t="s">
        <v>678</v>
      </c>
      <c r="H1059" s="11">
        <v>94.77</v>
      </c>
      <c r="I1059" s="10">
        <f>H1059*(1-IFERROR(VLOOKUP(G1059,Rabat!$C$9:$D$43,2,0),0))</f>
        <v>94.77</v>
      </c>
      <c r="J1059" t="s">
        <v>1815</v>
      </c>
      <c r="K1059" t="s">
        <v>553</v>
      </c>
      <c r="L1059" t="s">
        <v>1813</v>
      </c>
      <c r="M1059">
        <v>1</v>
      </c>
      <c r="N1059"/>
      <c r="O1059" t="s">
        <v>1818</v>
      </c>
      <c r="P1059" s="12" t="str">
        <f>HYPERLINK("https://b2b.kobi.pl/pl/product/9866,kinkiet-globe-elgance-ash-k-1xg9-kobi-design?currency=PLN")</f>
        <v>https://b2b.kobi.pl/pl/product/9866,kinkiet-globe-elgance-ash-k-1xg9-kobi-design?currency=PLN</v>
      </c>
      <c r="Q1059" t="s">
        <v>14</v>
      </c>
      <c r="R1059" t="s">
        <v>1945</v>
      </c>
      <c r="S1059" t="s">
        <v>2610</v>
      </c>
      <c r="T1059">
        <v>0.23</v>
      </c>
      <c r="U1059">
        <v>0.6</v>
      </c>
      <c r="V1059">
        <v>0.86</v>
      </c>
      <c r="W1059">
        <v>30</v>
      </c>
      <c r="X1059">
        <v>22</v>
      </c>
      <c r="Y1059">
        <v>20</v>
      </c>
    </row>
    <row r="1060" spans="1:25" ht="60" customHeight="1" x14ac:dyDescent="0.25">
      <c r="A1060"/>
      <c r="B1060" t="s">
        <v>4</v>
      </c>
      <c r="C1060" t="s">
        <v>3736</v>
      </c>
      <c r="D1060" t="s">
        <v>644</v>
      </c>
      <c r="E1060" t="s">
        <v>799</v>
      </c>
      <c r="F1060" t="s">
        <v>800</v>
      </c>
      <c r="G1060" t="s">
        <v>678</v>
      </c>
      <c r="H1060" s="11">
        <v>234.64</v>
      </c>
      <c r="I1060" s="10">
        <f>H1060*(1-IFERROR(VLOOKUP(G1060,Rabat!$C$9:$D$43,2,0),0))</f>
        <v>234.64</v>
      </c>
      <c r="J1060" t="s">
        <v>1815</v>
      </c>
      <c r="K1060" t="s">
        <v>554</v>
      </c>
      <c r="L1060" t="s">
        <v>1813</v>
      </c>
      <c r="M1060">
        <v>1</v>
      </c>
      <c r="N1060"/>
      <c r="O1060" t="s">
        <v>1818</v>
      </c>
      <c r="P1060" s="12" t="str">
        <f>HYPERLINK("https://b2b.kobi.pl/pl/product/9867,lampa-sufitowa-globe-elegance-ash-s3-3xg9-kobi-design?currency=PLN")</f>
        <v>https://b2b.kobi.pl/pl/product/9867,lampa-sufitowa-globe-elegance-ash-s3-3xg9-kobi-design?currency=PLN</v>
      </c>
      <c r="Q1060" t="s">
        <v>14</v>
      </c>
      <c r="R1060" t="s">
        <v>1945</v>
      </c>
      <c r="S1060" t="s">
        <v>2610</v>
      </c>
      <c r="T1060">
        <v>0.7</v>
      </c>
      <c r="U1060">
        <v>1.8</v>
      </c>
      <c r="V1060">
        <v>2.1</v>
      </c>
      <c r="W1060">
        <v>74</v>
      </c>
      <c r="X1060">
        <v>20</v>
      </c>
      <c r="Y1060">
        <v>20</v>
      </c>
    </row>
    <row r="1061" spans="1:25" ht="60" customHeight="1" x14ac:dyDescent="0.25">
      <c r="A1061"/>
      <c r="B1061" t="s">
        <v>4</v>
      </c>
      <c r="C1061" t="s">
        <v>3736</v>
      </c>
      <c r="D1061" t="s">
        <v>644</v>
      </c>
      <c r="E1061" t="s">
        <v>801</v>
      </c>
      <c r="F1061" t="s">
        <v>802</v>
      </c>
      <c r="G1061" t="s">
        <v>678</v>
      </c>
      <c r="H1061" s="11">
        <v>322.58</v>
      </c>
      <c r="I1061" s="10">
        <f>H1061*(1-IFERROR(VLOOKUP(G1061,Rabat!$C$9:$D$43,2,0),0))</f>
        <v>322.58</v>
      </c>
      <c r="J1061" t="s">
        <v>1815</v>
      </c>
      <c r="K1061" t="s">
        <v>555</v>
      </c>
      <c r="L1061" t="s">
        <v>1813</v>
      </c>
      <c r="M1061">
        <v>1</v>
      </c>
      <c r="N1061"/>
      <c r="O1061" t="s">
        <v>1818</v>
      </c>
      <c r="P1061" s="12" t="str">
        <f>HYPERLINK("https://b2b.kobi.pl/pl/product/9868,lampa-sufitowa-globe-elegance-ash-s4-4xg9-kobi-design?currency=PLN")</f>
        <v>https://b2b.kobi.pl/pl/product/9868,lampa-sufitowa-globe-elegance-ash-s4-4xg9-kobi-design?currency=PLN</v>
      </c>
      <c r="Q1061" t="s">
        <v>14</v>
      </c>
      <c r="R1061" t="s">
        <v>1945</v>
      </c>
      <c r="S1061" t="s">
        <v>2610</v>
      </c>
      <c r="T1061">
        <v>0.78</v>
      </c>
      <c r="U1061">
        <v>2</v>
      </c>
      <c r="V1061">
        <v>2.2999999999999998</v>
      </c>
      <c r="W1061">
        <v>54</v>
      </c>
      <c r="X1061">
        <v>37</v>
      </c>
      <c r="Y1061">
        <v>20</v>
      </c>
    </row>
    <row r="1062" spans="1:25" ht="60" customHeight="1" x14ac:dyDescent="0.25">
      <c r="A1062"/>
      <c r="B1062" t="s">
        <v>4</v>
      </c>
      <c r="C1062" t="s">
        <v>3736</v>
      </c>
      <c r="D1062" t="s">
        <v>644</v>
      </c>
      <c r="E1062" t="s">
        <v>877</v>
      </c>
      <c r="F1062" t="s">
        <v>878</v>
      </c>
      <c r="G1062" t="s">
        <v>678</v>
      </c>
      <c r="H1062" s="11">
        <v>440.4</v>
      </c>
      <c r="I1062" s="10">
        <f>H1062*(1-IFERROR(VLOOKUP(G1062,Rabat!$C$9:$D$43,2,0),0))</f>
        <v>440.4</v>
      </c>
      <c r="J1062" t="s">
        <v>1815</v>
      </c>
      <c r="K1062" t="s">
        <v>558</v>
      </c>
      <c r="L1062" t="s">
        <v>1813</v>
      </c>
      <c r="M1062">
        <v>1</v>
      </c>
      <c r="N1062"/>
      <c r="O1062" t="s">
        <v>1818</v>
      </c>
      <c r="P1062" s="12" t="str">
        <f>HYPERLINK("https://b2b.kobi.pl/pl/product/9870,lampa-wiszaca-globe-elegance-gold-s5-5xg9-kobi-design?currency=PLN")</f>
        <v>https://b2b.kobi.pl/pl/product/9870,lampa-wiszaca-globe-elegance-gold-s5-5xg9-kobi-design?currency=PLN</v>
      </c>
      <c r="Q1062" t="s">
        <v>14</v>
      </c>
      <c r="R1062" t="s">
        <v>1945</v>
      </c>
      <c r="S1062" t="s">
        <v>2610</v>
      </c>
      <c r="T1062">
        <v>0.82</v>
      </c>
      <c r="U1062">
        <v>2</v>
      </c>
      <c r="V1062">
        <v>2.2999999999999998</v>
      </c>
      <c r="W1062">
        <v>80</v>
      </c>
      <c r="X1062">
        <v>28</v>
      </c>
      <c r="Y1062">
        <v>17</v>
      </c>
    </row>
    <row r="1063" spans="1:25" ht="60" customHeight="1" x14ac:dyDescent="0.25">
      <c r="A1063"/>
      <c r="B1063" t="s">
        <v>4</v>
      </c>
      <c r="C1063" t="s">
        <v>3736</v>
      </c>
      <c r="D1063" t="s">
        <v>644</v>
      </c>
      <c r="E1063" t="s">
        <v>681</v>
      </c>
      <c r="F1063" t="s">
        <v>682</v>
      </c>
      <c r="G1063" t="s">
        <v>678</v>
      </c>
      <c r="H1063" s="11">
        <v>93.77</v>
      </c>
      <c r="I1063" s="10">
        <f>H1063*(1-IFERROR(VLOOKUP(G1063,Rabat!$C$9:$D$43,2,0),0))</f>
        <v>93.77</v>
      </c>
      <c r="J1063" t="s">
        <v>1815</v>
      </c>
      <c r="K1063" t="s">
        <v>557</v>
      </c>
      <c r="L1063" t="s">
        <v>1813</v>
      </c>
      <c r="M1063">
        <v>1</v>
      </c>
      <c r="N1063"/>
      <c r="O1063" t="s">
        <v>1818</v>
      </c>
      <c r="P1063" s="12" t="str">
        <f>HYPERLINK("https://b2b.kobi.pl/pl/product/9872,kinkiet-globe-elegance-gold-k-1xg9-kobi-design?currency=PLN")</f>
        <v>https://b2b.kobi.pl/pl/product/9872,kinkiet-globe-elegance-gold-k-1xg9-kobi-design?currency=PLN</v>
      </c>
      <c r="Q1063" t="s">
        <v>14</v>
      </c>
      <c r="R1063" t="s">
        <v>1945</v>
      </c>
      <c r="S1063" t="s">
        <v>2610</v>
      </c>
      <c r="T1063">
        <v>0.23</v>
      </c>
      <c r="U1063">
        <v>0.6</v>
      </c>
      <c r="V1063">
        <v>0.73</v>
      </c>
      <c r="W1063">
        <v>34</v>
      </c>
      <c r="X1063">
        <v>17</v>
      </c>
      <c r="Y1063">
        <v>17</v>
      </c>
    </row>
    <row r="1064" spans="1:25" ht="60" customHeight="1" x14ac:dyDescent="0.25">
      <c r="A1064"/>
      <c r="B1064" t="s">
        <v>4</v>
      </c>
      <c r="C1064" t="s">
        <v>3736</v>
      </c>
      <c r="D1064" t="s">
        <v>644</v>
      </c>
      <c r="E1064" t="s">
        <v>679</v>
      </c>
      <c r="F1064" t="s">
        <v>680</v>
      </c>
      <c r="G1064" t="s">
        <v>678</v>
      </c>
      <c r="H1064" s="11">
        <v>99.32</v>
      </c>
      <c r="I1064" s="10">
        <f>H1064*(1-IFERROR(VLOOKUP(G1064,Rabat!$C$9:$D$43,2,0),0))</f>
        <v>99.32</v>
      </c>
      <c r="J1064" t="s">
        <v>1815</v>
      </c>
      <c r="K1064" t="s">
        <v>559</v>
      </c>
      <c r="L1064" t="s">
        <v>1813</v>
      </c>
      <c r="M1064">
        <v>1</v>
      </c>
      <c r="N1064"/>
      <c r="O1064" t="s">
        <v>1818</v>
      </c>
      <c r="P1064" s="12" t="str">
        <f>HYPERLINK("https://b2b.kobi.pl/pl/product/9873,kinkiet-globe-elegance-bl-gold-k-1xg9-kobi-design?currency=PLN")</f>
        <v>https://b2b.kobi.pl/pl/product/9873,kinkiet-globe-elegance-bl-gold-k-1xg9-kobi-design?currency=PLN</v>
      </c>
      <c r="Q1064" t="s">
        <v>14</v>
      </c>
      <c r="R1064" t="s">
        <v>1945</v>
      </c>
      <c r="S1064" t="s">
        <v>2610</v>
      </c>
      <c r="T1064">
        <v>0.2</v>
      </c>
      <c r="U1064">
        <v>0.5</v>
      </c>
      <c r="V1064">
        <v>0.84</v>
      </c>
      <c r="W1064">
        <v>30</v>
      </c>
      <c r="X1064">
        <v>22</v>
      </c>
      <c r="Y1064">
        <v>20</v>
      </c>
    </row>
    <row r="1065" spans="1:25" ht="60" customHeight="1" x14ac:dyDescent="0.25">
      <c r="A1065"/>
      <c r="B1065" t="s">
        <v>4</v>
      </c>
      <c r="C1065" t="s">
        <v>3736</v>
      </c>
      <c r="D1065" t="s">
        <v>644</v>
      </c>
      <c r="E1065" t="s">
        <v>873</v>
      </c>
      <c r="F1065" t="s">
        <v>874</v>
      </c>
      <c r="G1065" t="s">
        <v>678</v>
      </c>
      <c r="H1065" s="11">
        <v>107.29</v>
      </c>
      <c r="I1065" s="10">
        <f>H1065*(1-IFERROR(VLOOKUP(G1065,Rabat!$C$9:$D$43,2,0),0))</f>
        <v>107.29</v>
      </c>
      <c r="J1065" t="s">
        <v>1815</v>
      </c>
      <c r="K1065" t="s">
        <v>551</v>
      </c>
      <c r="L1065" t="s">
        <v>1813</v>
      </c>
      <c r="M1065">
        <v>1</v>
      </c>
      <c r="N1065"/>
      <c r="O1065" t="s">
        <v>1818</v>
      </c>
      <c r="P1065" s="12" t="str">
        <f>HYPERLINK("https://b2b.kobi.pl/pl/product/9877,lampa-wiszaca-elipse-elegance-s-1xg9-kobi-design?currency=PLN")</f>
        <v>https://b2b.kobi.pl/pl/product/9877,lampa-wiszaca-elipse-elegance-s-1xg9-kobi-design?currency=PLN</v>
      </c>
      <c r="Q1065" t="s">
        <v>14</v>
      </c>
      <c r="R1065" t="s">
        <v>1945</v>
      </c>
      <c r="S1065" t="s">
        <v>2610</v>
      </c>
      <c r="T1065">
        <v>0.27</v>
      </c>
      <c r="U1065">
        <v>0.7</v>
      </c>
      <c r="V1065">
        <v>1</v>
      </c>
      <c r="W1065">
        <v>26</v>
      </c>
      <c r="X1065">
        <v>19</v>
      </c>
      <c r="Y1065">
        <v>15</v>
      </c>
    </row>
    <row r="1066" spans="1:25" ht="60" customHeight="1" x14ac:dyDescent="0.25">
      <c r="A1066"/>
      <c r="B1066" t="s">
        <v>4</v>
      </c>
      <c r="C1066" t="s">
        <v>3736</v>
      </c>
      <c r="D1066" t="s">
        <v>644</v>
      </c>
      <c r="E1066" t="s">
        <v>676</v>
      </c>
      <c r="F1066" t="s">
        <v>677</v>
      </c>
      <c r="G1066" t="s">
        <v>678</v>
      </c>
      <c r="H1066" s="11">
        <v>144.97</v>
      </c>
      <c r="I1066" s="10">
        <f>H1066*(1-IFERROR(VLOOKUP(G1066,Rabat!$C$9:$D$43,2,0),0))</f>
        <v>144.97</v>
      </c>
      <c r="J1066" t="s">
        <v>1815</v>
      </c>
      <c r="K1066" t="s">
        <v>550</v>
      </c>
      <c r="L1066" t="s">
        <v>1813</v>
      </c>
      <c r="M1066">
        <v>1</v>
      </c>
      <c r="N1066"/>
      <c r="O1066" t="s">
        <v>1818</v>
      </c>
      <c r="P1066" s="12" t="str">
        <f>HYPERLINK("https://b2b.kobi.pl/pl/product/9878,kinkiet-elipse-elegance-k-2xg9-kobi-design?currency=PLN")</f>
        <v>https://b2b.kobi.pl/pl/product/9878,kinkiet-elipse-elegance-k-2xg9-kobi-design?currency=PLN</v>
      </c>
      <c r="Q1066" t="s">
        <v>14</v>
      </c>
      <c r="R1066" t="s">
        <v>1945</v>
      </c>
      <c r="S1066" t="s">
        <v>2610</v>
      </c>
      <c r="T1066">
        <v>0.39</v>
      </c>
      <c r="U1066">
        <v>1</v>
      </c>
      <c r="V1066">
        <v>1.98</v>
      </c>
      <c r="W1066">
        <v>32</v>
      </c>
      <c r="X1066">
        <v>28</v>
      </c>
      <c r="Y1066">
        <v>15</v>
      </c>
    </row>
    <row r="1067" spans="1:25" ht="60" customHeight="1" x14ac:dyDescent="0.25">
      <c r="A1067"/>
      <c r="B1067" t="s">
        <v>4</v>
      </c>
      <c r="C1067" t="s">
        <v>3736</v>
      </c>
      <c r="D1067" t="s">
        <v>644</v>
      </c>
      <c r="E1067" t="s">
        <v>797</v>
      </c>
      <c r="F1067" t="s">
        <v>798</v>
      </c>
      <c r="G1067" t="s">
        <v>678</v>
      </c>
      <c r="H1067" s="11">
        <v>258.3</v>
      </c>
      <c r="I1067" s="10">
        <f>H1067*(1-IFERROR(VLOOKUP(G1067,Rabat!$C$9:$D$43,2,0),0))</f>
        <v>258.3</v>
      </c>
      <c r="J1067" t="s">
        <v>1815</v>
      </c>
      <c r="K1067" t="s">
        <v>552</v>
      </c>
      <c r="L1067" t="s">
        <v>1813</v>
      </c>
      <c r="M1067">
        <v>1</v>
      </c>
      <c r="N1067"/>
      <c r="O1067" t="s">
        <v>1818</v>
      </c>
      <c r="P1067" s="12" t="str">
        <f>HYPERLINK("https://b2b.kobi.pl/pl/product/9879,lampa-sufitowa-elipse-elegance-s3-3xg9-kobi-design?currency=PLN")</f>
        <v>https://b2b.kobi.pl/pl/product/9879,lampa-sufitowa-elipse-elegance-s3-3xg9-kobi-design?currency=PLN</v>
      </c>
      <c r="Q1067" t="s">
        <v>14</v>
      </c>
      <c r="R1067" t="s">
        <v>1945</v>
      </c>
      <c r="S1067" t="s">
        <v>2610</v>
      </c>
      <c r="T1067">
        <v>0.74</v>
      </c>
      <c r="U1067">
        <v>1.9</v>
      </c>
      <c r="V1067">
        <v>2.2999999999999998</v>
      </c>
      <c r="W1067">
        <v>61</v>
      </c>
      <c r="X1067">
        <v>30</v>
      </c>
      <c r="Y1067">
        <v>15</v>
      </c>
    </row>
    <row r="1068" spans="1:25" ht="60" customHeight="1" x14ac:dyDescent="0.25">
      <c r="A1068"/>
      <c r="B1068" t="s">
        <v>3</v>
      </c>
      <c r="C1068" t="s">
        <v>18</v>
      </c>
      <c r="D1068" t="s">
        <v>618</v>
      </c>
      <c r="E1068" t="s">
        <v>1294</v>
      </c>
      <c r="F1068" t="s">
        <v>1295</v>
      </c>
      <c r="G1068" t="s">
        <v>620</v>
      </c>
      <c r="H1068" s="11">
        <v>89</v>
      </c>
      <c r="I1068" s="10">
        <f>H1068*(1-IFERROR(VLOOKUP(G1068,Rabat!$C$9:$D$43,2,0),0))</f>
        <v>89</v>
      </c>
      <c r="J1068" t="s">
        <v>1815</v>
      </c>
      <c r="K1068" t="s">
        <v>1867</v>
      </c>
      <c r="L1068" t="s">
        <v>1813</v>
      </c>
      <c r="M1068">
        <v>20</v>
      </c>
      <c r="N1068">
        <v>620</v>
      </c>
      <c r="O1068" t="s">
        <v>1818</v>
      </c>
      <c r="P1068" s="12" t="str">
        <f>HYPERLINK("https://b2b.kobi.pl/pl/product/12117,oslona-do-led-anica-100w-kobi?currency=PLN")</f>
        <v>https://b2b.kobi.pl/pl/product/12117,oslona-do-led-anica-100w-kobi?currency=PLN</v>
      </c>
      <c r="Q1068" t="s">
        <v>14</v>
      </c>
      <c r="R1068"/>
      <c r="S1068" t="s">
        <v>2574</v>
      </c>
      <c r="T1068">
        <v>0</v>
      </c>
      <c r="U1068">
        <v>0.19</v>
      </c>
      <c r="V1068">
        <v>0.2</v>
      </c>
      <c r="W1068">
        <v>0</v>
      </c>
      <c r="X1068">
        <v>0</v>
      </c>
      <c r="Y1068">
        <v>0</v>
      </c>
    </row>
    <row r="1069" spans="1:25" ht="60" customHeight="1" x14ac:dyDescent="0.25">
      <c r="A1069"/>
      <c r="B1069" t="s">
        <v>3</v>
      </c>
      <c r="C1069" t="s">
        <v>18</v>
      </c>
      <c r="D1069" t="s">
        <v>618</v>
      </c>
      <c r="E1069" t="s">
        <v>1298</v>
      </c>
      <c r="F1069" t="s">
        <v>1299</v>
      </c>
      <c r="G1069" t="s">
        <v>620</v>
      </c>
      <c r="H1069" s="11">
        <v>93</v>
      </c>
      <c r="I1069" s="10">
        <f>H1069*(1-IFERROR(VLOOKUP(G1069,Rabat!$C$9:$D$43,2,0),0))</f>
        <v>93</v>
      </c>
      <c r="J1069" t="s">
        <v>1815</v>
      </c>
      <c r="K1069" t="s">
        <v>1869</v>
      </c>
      <c r="L1069" t="s">
        <v>1813</v>
      </c>
      <c r="M1069">
        <v>20</v>
      </c>
      <c r="N1069">
        <v>560</v>
      </c>
      <c r="O1069" t="s">
        <v>1818</v>
      </c>
      <c r="P1069" s="12" t="str">
        <f>HYPERLINK("https://b2b.kobi.pl/pl/product/12118,oslona-do-led-anica-150w-kobi?currency=PLN")</f>
        <v>https://b2b.kobi.pl/pl/product/12118,oslona-do-led-anica-150w-kobi?currency=PLN</v>
      </c>
      <c r="Q1069" t="s">
        <v>14</v>
      </c>
      <c r="R1069"/>
      <c r="S1069" t="s">
        <v>2574</v>
      </c>
      <c r="T1069">
        <v>0</v>
      </c>
      <c r="U1069">
        <v>0.255</v>
      </c>
      <c r="V1069">
        <v>0.26500000000000001</v>
      </c>
      <c r="W1069">
        <v>0</v>
      </c>
      <c r="X1069">
        <v>0</v>
      </c>
      <c r="Y1069">
        <v>0</v>
      </c>
    </row>
    <row r="1070" spans="1:25" ht="60" customHeight="1" x14ac:dyDescent="0.25">
      <c r="A1070"/>
      <c r="B1070" t="s">
        <v>3</v>
      </c>
      <c r="C1070" t="s">
        <v>18</v>
      </c>
      <c r="D1070" t="s">
        <v>618</v>
      </c>
      <c r="E1070" t="s">
        <v>1302</v>
      </c>
      <c r="F1070" t="s">
        <v>1303</v>
      </c>
      <c r="G1070" t="s">
        <v>620</v>
      </c>
      <c r="H1070" s="11">
        <v>105</v>
      </c>
      <c r="I1070" s="10">
        <f>H1070*(1-IFERROR(VLOOKUP(G1070,Rabat!$C$9:$D$43,2,0),0))</f>
        <v>105</v>
      </c>
      <c r="J1070" t="s">
        <v>1815</v>
      </c>
      <c r="K1070" t="s">
        <v>1870</v>
      </c>
      <c r="L1070" t="s">
        <v>1813</v>
      </c>
      <c r="M1070">
        <v>20</v>
      </c>
      <c r="N1070">
        <v>400</v>
      </c>
      <c r="O1070" t="s">
        <v>1818</v>
      </c>
      <c r="P1070" s="12" t="str">
        <f>HYPERLINK("https://b2b.kobi.pl/pl/product/12119,oslona-do-led-anica-200w-kobi?currency=PLN")</f>
        <v>https://b2b.kobi.pl/pl/product/12119,oslona-do-led-anica-200w-kobi?currency=PLN</v>
      </c>
      <c r="Q1070" t="s">
        <v>14</v>
      </c>
      <c r="R1070"/>
      <c r="S1070" t="s">
        <v>2574</v>
      </c>
      <c r="T1070">
        <v>0</v>
      </c>
      <c r="U1070">
        <v>0.3</v>
      </c>
      <c r="V1070">
        <v>0.31</v>
      </c>
      <c r="W1070">
        <v>0</v>
      </c>
      <c r="X1070">
        <v>0</v>
      </c>
      <c r="Y1070">
        <v>0</v>
      </c>
    </row>
    <row r="1071" spans="1:25" ht="60" customHeight="1" x14ac:dyDescent="0.25">
      <c r="A1071"/>
      <c r="B1071" t="s">
        <v>621</v>
      </c>
      <c r="C1071" t="s">
        <v>5</v>
      </c>
      <c r="D1071" t="s">
        <v>618</v>
      </c>
      <c r="E1071" t="s">
        <v>1312</v>
      </c>
      <c r="F1071" t="s">
        <v>1313</v>
      </c>
      <c r="G1071" t="s">
        <v>620</v>
      </c>
      <c r="H1071" s="11">
        <v>24.75</v>
      </c>
      <c r="I1071" s="10">
        <f>H1071*(1-IFERROR(VLOOKUP(G1071,Rabat!$C$9:$D$43,2,0),0))</f>
        <v>24.75</v>
      </c>
      <c r="J1071" t="s">
        <v>1815</v>
      </c>
      <c r="K1071" t="s">
        <v>416</v>
      </c>
      <c r="L1071" t="s">
        <v>1813</v>
      </c>
      <c r="M1071">
        <v>48</v>
      </c>
      <c r="N1071">
        <v>960</v>
      </c>
      <c r="O1071" t="s">
        <v>1818</v>
      </c>
      <c r="P1071" s="12" t="str">
        <f>HYPERLINK("https://b2b.kobi.pl/pl/product/10687,programator-pc24-kobi?currency=PLN")</f>
        <v>https://b2b.kobi.pl/pl/product/10687,programator-pc24-kobi?currency=PLN</v>
      </c>
      <c r="Q1071" t="s">
        <v>14</v>
      </c>
      <c r="R1071"/>
      <c r="S1071" t="s">
        <v>2625</v>
      </c>
      <c r="T1071">
        <v>0.05</v>
      </c>
      <c r="U1071">
        <v>0.13500000000000001</v>
      </c>
      <c r="V1071">
        <v>0.16</v>
      </c>
      <c r="W1071">
        <v>11</v>
      </c>
      <c r="X1071">
        <v>23</v>
      </c>
      <c r="Y1071">
        <v>8</v>
      </c>
    </row>
    <row r="1072" spans="1:25" ht="60" customHeight="1" x14ac:dyDescent="0.25">
      <c r="A1072"/>
      <c r="B1072" t="s">
        <v>2131</v>
      </c>
      <c r="C1072" t="s">
        <v>4013</v>
      </c>
      <c r="D1072" t="s">
        <v>2133</v>
      </c>
      <c r="E1072" t="s">
        <v>2144</v>
      </c>
      <c r="F1072" t="s">
        <v>2145</v>
      </c>
      <c r="G1072" t="s">
        <v>2136</v>
      </c>
      <c r="H1072" s="11">
        <v>72.5</v>
      </c>
      <c r="I1072" s="10">
        <f>H1072*(1-IFERROR(VLOOKUP(G1072,Rabat!$C$9:$D$43,2,0),0))</f>
        <v>72.5</v>
      </c>
      <c r="J1072" t="s">
        <v>1815</v>
      </c>
      <c r="K1072" t="s">
        <v>2169</v>
      </c>
      <c r="L1072" t="s">
        <v>1813</v>
      </c>
      <c r="M1072">
        <v>6</v>
      </c>
      <c r="N1072">
        <v>120</v>
      </c>
      <c r="O1072" t="s">
        <v>1818</v>
      </c>
      <c r="P1072" s="12" t="str">
        <f>HYPERLINK("https://b2b.kobi.pl/pl/product/10265,termowentylator-mistral-2000w-bialy-kobi-windstar?currency=PLN")</f>
        <v>https://b2b.kobi.pl/pl/product/10265,termowentylator-mistral-2000w-bialy-kobi-windstar?currency=PLN</v>
      </c>
      <c r="Q1072" t="s">
        <v>14</v>
      </c>
      <c r="R1072"/>
      <c r="S1072" t="s">
        <v>2629</v>
      </c>
      <c r="T1072">
        <v>0.34</v>
      </c>
      <c r="U1072">
        <v>0.88</v>
      </c>
      <c r="V1072">
        <v>1.04</v>
      </c>
      <c r="W1072">
        <v>27</v>
      </c>
      <c r="X1072">
        <v>23</v>
      </c>
      <c r="Y1072">
        <v>13.5</v>
      </c>
    </row>
    <row r="1073" spans="1:25" ht="60" customHeight="1" x14ac:dyDescent="0.25">
      <c r="A1073"/>
      <c r="B1073" t="s">
        <v>2131</v>
      </c>
      <c r="C1073" t="s">
        <v>4013</v>
      </c>
      <c r="D1073" t="s">
        <v>2133</v>
      </c>
      <c r="E1073" t="s">
        <v>4014</v>
      </c>
      <c r="F1073" t="s">
        <v>4015</v>
      </c>
      <c r="G1073" t="s">
        <v>2136</v>
      </c>
      <c r="H1073" s="11">
        <v>72.5</v>
      </c>
      <c r="I1073" s="10">
        <f>H1073*(1-IFERROR(VLOOKUP(G1073,Rabat!$C$9:$D$43,2,0),0))</f>
        <v>72.5</v>
      </c>
      <c r="J1073" t="s">
        <v>1815</v>
      </c>
      <c r="K1073" t="s">
        <v>4225</v>
      </c>
      <c r="L1073" t="s">
        <v>1813</v>
      </c>
      <c r="M1073">
        <v>6</v>
      </c>
      <c r="N1073">
        <v>168</v>
      </c>
      <c r="O1073" t="s">
        <v>1818</v>
      </c>
      <c r="P1073" s="12" t="str">
        <f>HYPERLINK("https://b2b.kobi.pl/pl/product/12478,termowentylator-mistral-2000w-czarny-kobi-windstar?currency=PLN")</f>
        <v>https://b2b.kobi.pl/pl/product/12478,termowentylator-mistral-2000w-czarny-kobi-windstar?currency=PLN</v>
      </c>
      <c r="Q1073" t="s">
        <v>14</v>
      </c>
      <c r="R1073" t="s">
        <v>4101</v>
      </c>
      <c r="S1073" t="s">
        <v>2629</v>
      </c>
      <c r="T1073">
        <v>0.34</v>
      </c>
      <c r="U1073">
        <v>0.88</v>
      </c>
      <c r="V1073">
        <v>1.04</v>
      </c>
      <c r="W1073">
        <v>27</v>
      </c>
      <c r="X1073">
        <v>23</v>
      </c>
      <c r="Y1073">
        <v>13.5</v>
      </c>
    </row>
    <row r="1074" spans="1:25" ht="60" customHeight="1" x14ac:dyDescent="0.25">
      <c r="A1074"/>
      <c r="B1074" t="s">
        <v>2131</v>
      </c>
      <c r="C1074" t="s">
        <v>4013</v>
      </c>
      <c r="D1074" t="s">
        <v>2133</v>
      </c>
      <c r="E1074" t="s">
        <v>4016</v>
      </c>
      <c r="F1074" t="s">
        <v>4017</v>
      </c>
      <c r="G1074" t="s">
        <v>2136</v>
      </c>
      <c r="H1074" s="11">
        <v>96.25</v>
      </c>
      <c r="I1074" s="10">
        <f>H1074*(1-IFERROR(VLOOKUP(G1074,Rabat!$C$9:$D$43,2,0),0))</f>
        <v>96.25</v>
      </c>
      <c r="J1074" t="s">
        <v>1815</v>
      </c>
      <c r="K1074" t="s">
        <v>4226</v>
      </c>
      <c r="L1074" t="s">
        <v>1813</v>
      </c>
      <c r="M1074">
        <v>6</v>
      </c>
      <c r="N1074">
        <v>162</v>
      </c>
      <c r="O1074" t="s">
        <v>1818</v>
      </c>
      <c r="P1074" s="12" t="str">
        <f>HYPERLINK("https://b2b.kobi.pl/pl/product/13485,termowentylator-mistral-g2-2000w-bialy-kobi-windstar?currency=PLN")</f>
        <v>https://b2b.kobi.pl/pl/product/13485,termowentylator-mistral-g2-2000w-bialy-kobi-windstar?currency=PLN</v>
      </c>
      <c r="Q1074" t="s">
        <v>14</v>
      </c>
      <c r="R1074" t="s">
        <v>4101</v>
      </c>
      <c r="S1074" t="s">
        <v>2629</v>
      </c>
      <c r="T1074">
        <v>0.4</v>
      </c>
      <c r="U1074">
        <v>1.02</v>
      </c>
      <c r="V1074">
        <v>1.1599999999999999</v>
      </c>
      <c r="W1074">
        <v>25.5</v>
      </c>
      <c r="X1074">
        <v>23.5</v>
      </c>
      <c r="Y1074">
        <v>12</v>
      </c>
    </row>
    <row r="1075" spans="1:25" ht="60" customHeight="1" x14ac:dyDescent="0.25">
      <c r="A1075"/>
      <c r="B1075" t="s">
        <v>2131</v>
      </c>
      <c r="C1075" t="s">
        <v>4013</v>
      </c>
      <c r="D1075" t="s">
        <v>2133</v>
      </c>
      <c r="E1075" t="s">
        <v>2146</v>
      </c>
      <c r="F1075" t="s">
        <v>2147</v>
      </c>
      <c r="G1075" t="s">
        <v>2136</v>
      </c>
      <c r="H1075" s="11">
        <v>183.75</v>
      </c>
      <c r="I1075" s="10">
        <f>H1075*(1-IFERROR(VLOOKUP(G1075,Rabat!$C$9:$D$43,2,0),0))</f>
        <v>183.75</v>
      </c>
      <c r="J1075" t="s">
        <v>1815</v>
      </c>
      <c r="K1075" t="s">
        <v>2170</v>
      </c>
      <c r="L1075" t="s">
        <v>1813</v>
      </c>
      <c r="M1075">
        <v>1</v>
      </c>
      <c r="N1075">
        <v>40</v>
      </c>
      <c r="O1075" t="s">
        <v>1818</v>
      </c>
      <c r="P1075" s="12" t="str">
        <f>HYPERLINK("https://b2b.kobi.pl/pl/product/10266,grzejnik-konwektorowy-sondo-2000w-turbo-bialy-kobi-windstar?currency=PLN")</f>
        <v>https://b2b.kobi.pl/pl/product/10266,grzejnik-konwektorowy-sondo-2000w-turbo-bialy-kobi-windstar?currency=PLN</v>
      </c>
      <c r="Q1075" t="s">
        <v>14</v>
      </c>
      <c r="R1075"/>
      <c r="S1075" t="s">
        <v>2630</v>
      </c>
      <c r="T1075">
        <v>0.9</v>
      </c>
      <c r="U1075">
        <v>2.2000000000000002</v>
      </c>
      <c r="V1075">
        <v>2.75</v>
      </c>
      <c r="W1075">
        <v>58</v>
      </c>
      <c r="X1075">
        <v>13.5</v>
      </c>
      <c r="Y1075">
        <v>40</v>
      </c>
    </row>
    <row r="1076" spans="1:25" ht="60" customHeight="1" x14ac:dyDescent="0.25">
      <c r="A1076"/>
      <c r="B1076" t="s">
        <v>2131</v>
      </c>
      <c r="C1076" t="s">
        <v>4013</v>
      </c>
      <c r="D1076" t="s">
        <v>2133</v>
      </c>
      <c r="E1076" t="s">
        <v>4018</v>
      </c>
      <c r="F1076" t="s">
        <v>4019</v>
      </c>
      <c r="G1076" t="s">
        <v>2136</v>
      </c>
      <c r="H1076" s="11">
        <v>349.75</v>
      </c>
      <c r="I1076" s="10">
        <f>H1076*(1-IFERROR(VLOOKUP(G1076,Rabat!$C$9:$D$43,2,0),0))</f>
        <v>349.75</v>
      </c>
      <c r="J1076" t="s">
        <v>1815</v>
      </c>
      <c r="K1076" t="s">
        <v>4227</v>
      </c>
      <c r="L1076" t="s">
        <v>1813</v>
      </c>
      <c r="M1076">
        <v>1</v>
      </c>
      <c r="N1076">
        <v>39</v>
      </c>
      <c r="O1076" t="s">
        <v>1818</v>
      </c>
      <c r="P1076" s="12" t="str">
        <f>HYPERLINK("https://b2b.kobi.pl/pl/product/10267,grzejnik-olejowy-yugo-11-2500w-kobi-windstar?currency=PLN")</f>
        <v>https://b2b.kobi.pl/pl/product/10267,grzejnik-olejowy-yugo-11-2500w-kobi-windstar?currency=PLN</v>
      </c>
      <c r="Q1076" t="s">
        <v>14</v>
      </c>
      <c r="R1076"/>
      <c r="S1076" t="s">
        <v>4228</v>
      </c>
      <c r="T1076">
        <v>4.05</v>
      </c>
      <c r="U1076">
        <v>7.15</v>
      </c>
      <c r="V1076">
        <v>7.85</v>
      </c>
      <c r="W1076">
        <v>505</v>
      </c>
      <c r="X1076">
        <v>13.5</v>
      </c>
      <c r="Y1076">
        <v>58.8</v>
      </c>
    </row>
    <row r="1077" spans="1:25" ht="60" customHeight="1" x14ac:dyDescent="0.25">
      <c r="A1077"/>
      <c r="B1077" t="s">
        <v>2131</v>
      </c>
      <c r="C1077" t="s">
        <v>4013</v>
      </c>
      <c r="D1077" t="s">
        <v>2133</v>
      </c>
      <c r="E1077" t="s">
        <v>2148</v>
      </c>
      <c r="F1077" t="s">
        <v>2149</v>
      </c>
      <c r="G1077" t="s">
        <v>2136</v>
      </c>
      <c r="H1077" s="11">
        <v>76.25</v>
      </c>
      <c r="I1077" s="10">
        <f>H1077*(1-IFERROR(VLOOKUP(G1077,Rabat!$C$9:$D$43,2,0),0))</f>
        <v>76.25</v>
      </c>
      <c r="J1077" t="s">
        <v>1815</v>
      </c>
      <c r="K1077" t="s">
        <v>2171</v>
      </c>
      <c r="L1077" t="s">
        <v>1813</v>
      </c>
      <c r="M1077">
        <v>6</v>
      </c>
      <c r="N1077">
        <v>204</v>
      </c>
      <c r="O1077" t="s">
        <v>1818</v>
      </c>
      <c r="P1077" s="12" t="str">
        <f>HYPERLINK("https://b2b.kobi.pl/pl/product/10268,termowentylator-zefir-2000w-bialy-kobi-windstar?currency=PLN")</f>
        <v>https://b2b.kobi.pl/pl/product/10268,termowentylator-zefir-2000w-bialy-kobi-windstar?currency=PLN</v>
      </c>
      <c r="Q1077" t="s">
        <v>14</v>
      </c>
      <c r="R1077"/>
      <c r="S1077" t="s">
        <v>2629</v>
      </c>
      <c r="T1077">
        <v>0.34</v>
      </c>
      <c r="U1077">
        <v>0.88</v>
      </c>
      <c r="V1077">
        <v>1.04</v>
      </c>
      <c r="W1077">
        <v>22.5</v>
      </c>
      <c r="X1077">
        <v>23</v>
      </c>
      <c r="Y1077">
        <v>13.5</v>
      </c>
    </row>
    <row r="1078" spans="1:25" ht="60" customHeight="1" x14ac:dyDescent="0.25">
      <c r="A1078"/>
      <c r="B1078" t="s">
        <v>2131</v>
      </c>
      <c r="C1078" t="s">
        <v>4013</v>
      </c>
      <c r="D1078" t="s">
        <v>2133</v>
      </c>
      <c r="E1078" t="s">
        <v>2150</v>
      </c>
      <c r="F1078" t="s">
        <v>2151</v>
      </c>
      <c r="G1078" t="s">
        <v>2136</v>
      </c>
      <c r="H1078" s="11">
        <v>134.75</v>
      </c>
      <c r="I1078" s="10">
        <f>H1078*(1-IFERROR(VLOOKUP(G1078,Rabat!$C$9:$D$43,2,0),0))</f>
        <v>134.75</v>
      </c>
      <c r="J1078" t="s">
        <v>1815</v>
      </c>
      <c r="K1078" t="s">
        <v>2172</v>
      </c>
      <c r="L1078" t="s">
        <v>1813</v>
      </c>
      <c r="M1078">
        <v>6</v>
      </c>
      <c r="N1078">
        <v>126</v>
      </c>
      <c r="O1078" t="s">
        <v>1818</v>
      </c>
      <c r="P1078" s="12" t="str">
        <f>HYPERLINK("https://b2b.kobi.pl/pl/product/12454,termowentylator-ceramiczny-rin-1500w-czarny-kobi-windstar?currency=PLN")</f>
        <v>https://b2b.kobi.pl/pl/product/12454,termowentylator-ceramiczny-rin-1500w-czarny-kobi-windstar?currency=PLN</v>
      </c>
      <c r="Q1078" t="s">
        <v>14</v>
      </c>
      <c r="R1078"/>
      <c r="S1078" t="s">
        <v>2629</v>
      </c>
      <c r="T1078">
        <v>0.48</v>
      </c>
      <c r="U1078">
        <v>1.2230000000000001</v>
      </c>
      <c r="V1078">
        <v>1.48</v>
      </c>
      <c r="W1078">
        <v>19.5</v>
      </c>
      <c r="X1078">
        <v>15</v>
      </c>
      <c r="Y1078">
        <v>26</v>
      </c>
    </row>
    <row r="1079" spans="1:25" ht="60" customHeight="1" x14ac:dyDescent="0.25">
      <c r="A1079"/>
      <c r="B1079" t="s">
        <v>2131</v>
      </c>
      <c r="C1079" t="s">
        <v>4013</v>
      </c>
      <c r="D1079" t="s">
        <v>2133</v>
      </c>
      <c r="E1079" t="s">
        <v>4020</v>
      </c>
      <c r="F1079" t="s">
        <v>4021</v>
      </c>
      <c r="G1079" t="s">
        <v>2136</v>
      </c>
      <c r="H1079" s="11">
        <v>287.5</v>
      </c>
      <c r="I1079" s="10">
        <f>H1079*(1-IFERROR(VLOOKUP(G1079,Rabat!$C$9:$D$43,2,0),0))</f>
        <v>287.5</v>
      </c>
      <c r="J1079" t="s">
        <v>1815</v>
      </c>
      <c r="K1079" t="s">
        <v>4229</v>
      </c>
      <c r="L1079" t="s">
        <v>1813</v>
      </c>
      <c r="M1079">
        <v>1</v>
      </c>
      <c r="N1079">
        <v>63</v>
      </c>
      <c r="O1079" t="s">
        <v>1818</v>
      </c>
      <c r="P1079" s="12" t="str">
        <f>HYPERLINK("https://b2b.kobi.pl/pl/product/13484,termowentylator-ceramiczny-rin-2000w-czarny-kobi-windstar?currency=PLN")</f>
        <v>https://b2b.kobi.pl/pl/product/13484,termowentylator-ceramiczny-rin-2000w-czarny-kobi-windstar?currency=PLN</v>
      </c>
      <c r="Q1079" t="s">
        <v>14</v>
      </c>
      <c r="R1079" t="s">
        <v>4101</v>
      </c>
      <c r="S1079" t="s">
        <v>2629</v>
      </c>
      <c r="T1079">
        <v>0.74</v>
      </c>
      <c r="U1079">
        <v>1.8</v>
      </c>
      <c r="V1079">
        <v>2.14</v>
      </c>
      <c r="W1079">
        <v>64.5</v>
      </c>
      <c r="X1079">
        <v>19</v>
      </c>
      <c r="Y1079">
        <v>17.5</v>
      </c>
    </row>
    <row r="1080" spans="1:25" ht="60" customHeight="1" x14ac:dyDescent="0.25">
      <c r="A1080"/>
      <c r="B1080" t="s">
        <v>2131</v>
      </c>
      <c r="C1080" t="s">
        <v>4013</v>
      </c>
      <c r="D1080" t="s">
        <v>2133</v>
      </c>
      <c r="E1080" t="s">
        <v>2152</v>
      </c>
      <c r="F1080" t="s">
        <v>2153</v>
      </c>
      <c r="G1080" t="s">
        <v>2136</v>
      </c>
      <c r="H1080" s="11">
        <v>183.75</v>
      </c>
      <c r="I1080" s="10">
        <f>H1080*(1-IFERROR(VLOOKUP(G1080,Rabat!$C$9:$D$43,2,0),0))</f>
        <v>183.75</v>
      </c>
      <c r="J1080" t="s">
        <v>1815</v>
      </c>
      <c r="K1080" t="s">
        <v>2173</v>
      </c>
      <c r="L1080" t="s">
        <v>1813</v>
      </c>
      <c r="M1080">
        <v>1</v>
      </c>
      <c r="N1080">
        <v>40</v>
      </c>
      <c r="O1080" t="s">
        <v>1818</v>
      </c>
      <c r="P1080" s="12" t="str">
        <f>HYPERLINK("https://b2b.kobi.pl/pl/product/12476,grzejnik-konwektorowy-sondo-2000w-turbo-czarny-kobi-windstar?currency=PLN")</f>
        <v>https://b2b.kobi.pl/pl/product/12476,grzejnik-konwektorowy-sondo-2000w-turbo-czarny-kobi-windstar?currency=PLN</v>
      </c>
      <c r="Q1080" t="s">
        <v>14</v>
      </c>
      <c r="R1080"/>
      <c r="S1080" t="s">
        <v>2630</v>
      </c>
      <c r="T1080">
        <v>0.9</v>
      </c>
      <c r="U1080">
        <v>2.2000000000000002</v>
      </c>
      <c r="V1080">
        <v>2.75</v>
      </c>
      <c r="W1080">
        <v>58</v>
      </c>
      <c r="X1080">
        <v>13.5</v>
      </c>
      <c r="Y1080">
        <v>40</v>
      </c>
    </row>
    <row r="1081" spans="1:25" ht="60" customHeight="1" x14ac:dyDescent="0.25">
      <c r="A1081"/>
      <c r="B1081" t="s">
        <v>2131</v>
      </c>
      <c r="C1081" t="s">
        <v>4013</v>
      </c>
      <c r="D1081" t="s">
        <v>2133</v>
      </c>
      <c r="E1081" t="s">
        <v>4022</v>
      </c>
      <c r="F1081" t="s">
        <v>4023</v>
      </c>
      <c r="G1081" t="s">
        <v>2136</v>
      </c>
      <c r="H1081" s="11">
        <v>349.75</v>
      </c>
      <c r="I1081" s="10">
        <f>H1081*(1-IFERROR(VLOOKUP(G1081,Rabat!$C$9:$D$43,2,0),0))</f>
        <v>349.75</v>
      </c>
      <c r="J1081" t="s">
        <v>1815</v>
      </c>
      <c r="K1081" t="s">
        <v>4230</v>
      </c>
      <c r="L1081" t="s">
        <v>1813</v>
      </c>
      <c r="M1081">
        <v>1</v>
      </c>
      <c r="N1081"/>
      <c r="O1081" t="s">
        <v>1818</v>
      </c>
      <c r="P1081" s="12" t="str">
        <f>HYPERLINK("https://b2b.kobi.pl/pl/product/13486,grzejnik-konwektorowy-sondo-r-2000w-turbo-bialy-kobi-windstar?currency=PLN")</f>
        <v>https://b2b.kobi.pl/pl/product/13486,grzejnik-konwektorowy-sondo-r-2000w-turbo-bialy-kobi-windstar?currency=PLN</v>
      </c>
      <c r="Q1081" t="s">
        <v>14</v>
      </c>
      <c r="R1081" t="s">
        <v>4101</v>
      </c>
      <c r="S1081" t="s">
        <v>2630</v>
      </c>
      <c r="T1081">
        <v>1.23</v>
      </c>
      <c r="U1081">
        <v>3.01</v>
      </c>
      <c r="V1081">
        <v>3.65</v>
      </c>
      <c r="W1081">
        <v>64.5</v>
      </c>
      <c r="X1081">
        <v>14</v>
      </c>
      <c r="Y1081">
        <v>43</v>
      </c>
    </row>
    <row r="1082" spans="1:25" ht="60" customHeight="1" x14ac:dyDescent="0.25">
      <c r="A1082"/>
      <c r="B1082" t="s">
        <v>3</v>
      </c>
      <c r="C1082" t="s">
        <v>17</v>
      </c>
      <c r="D1082" t="s">
        <v>606</v>
      </c>
      <c r="E1082" t="s">
        <v>2709</v>
      </c>
      <c r="F1082" t="s">
        <v>1100</v>
      </c>
      <c r="G1082" t="s">
        <v>578</v>
      </c>
      <c r="H1082" s="11">
        <v>331</v>
      </c>
      <c r="I1082" s="10">
        <f>H1082*(1-IFERROR(VLOOKUP(G1082,Rabat!$C$9:$D$43,2,0),0))</f>
        <v>331</v>
      </c>
      <c r="J1082" t="s">
        <v>1815</v>
      </c>
      <c r="K1082" t="s">
        <v>543</v>
      </c>
      <c r="L1082" t="s">
        <v>1813</v>
      </c>
      <c r="M1082">
        <v>8</v>
      </c>
      <c r="N1082">
        <v>192</v>
      </c>
      <c r="O1082" t="s">
        <v>1819</v>
      </c>
      <c r="P1082" s="12" t="str">
        <f>HYPERLINK("https://b2b.kobi.pl/pl/product/12107,naswietlacz-z-czujnikiem-ruchu-solar-led-mhcs-30w-2cct-ip65-kobi-premium?currency=PLN")</f>
        <v>https://b2b.kobi.pl/pl/product/12107,naswietlacz-z-czujnikiem-ruchu-solar-led-mhcs-30w-2cct-ip65-kobi-premium?currency=PLN</v>
      </c>
      <c r="Q1082" t="s">
        <v>14</v>
      </c>
      <c r="R1082"/>
      <c r="S1082" t="s">
        <v>2609</v>
      </c>
      <c r="T1082">
        <v>1.31</v>
      </c>
      <c r="U1082">
        <v>1.5449999999999999</v>
      </c>
      <c r="V1082">
        <v>2.2200000000000002</v>
      </c>
      <c r="W1082">
        <v>26</v>
      </c>
      <c r="X1082">
        <v>7</v>
      </c>
      <c r="Y1082">
        <v>38.200000000000003</v>
      </c>
    </row>
    <row r="1083" spans="1:25" ht="60" customHeight="1" x14ac:dyDescent="0.25">
      <c r="A1083"/>
      <c r="B1083" t="s">
        <v>3</v>
      </c>
      <c r="C1083" t="s">
        <v>17</v>
      </c>
      <c r="D1083" t="s">
        <v>606</v>
      </c>
      <c r="E1083" t="s">
        <v>2180</v>
      </c>
      <c r="F1083" t="s">
        <v>2181</v>
      </c>
      <c r="G1083" t="s">
        <v>578</v>
      </c>
      <c r="H1083" s="11">
        <v>197.78</v>
      </c>
      <c r="I1083" s="10">
        <f>H1083*(1-IFERROR(VLOOKUP(G1083,Rabat!$C$9:$D$43,2,0),0))</f>
        <v>197.78</v>
      </c>
      <c r="J1083" t="s">
        <v>1815</v>
      </c>
      <c r="K1083" t="s">
        <v>2192</v>
      </c>
      <c r="L1083" t="s">
        <v>1813</v>
      </c>
      <c r="M1083">
        <v>12</v>
      </c>
      <c r="N1083">
        <v>360</v>
      </c>
      <c r="O1083" t="s">
        <v>1819</v>
      </c>
      <c r="P1083" s="12" t="str">
        <f>HYPERLINK("https://b2b.kobi.pl/pl/product/12446,naswietlacz-solar-led-mhcs-10w-2cct-ip65-kobi-premium?currency=PLN")</f>
        <v>https://b2b.kobi.pl/pl/product/12446,naswietlacz-solar-led-mhcs-10w-2cct-ip65-kobi-premium?currency=PLN</v>
      </c>
      <c r="Q1083" t="s">
        <v>14</v>
      </c>
      <c r="R1083"/>
      <c r="S1083" t="s">
        <v>2609</v>
      </c>
      <c r="T1083">
        <v>0.8</v>
      </c>
      <c r="U1083">
        <v>0.95</v>
      </c>
      <c r="V1083">
        <v>2.1</v>
      </c>
      <c r="W1083">
        <v>7</v>
      </c>
      <c r="X1083">
        <v>27</v>
      </c>
      <c r="Y1083">
        <v>38</v>
      </c>
    </row>
    <row r="1084" spans="1:25" ht="60" customHeight="1" x14ac:dyDescent="0.25">
      <c r="A1084"/>
      <c r="B1084" t="s">
        <v>3</v>
      </c>
      <c r="C1084" t="s">
        <v>17</v>
      </c>
      <c r="D1084" t="s">
        <v>606</v>
      </c>
      <c r="E1084" t="s">
        <v>4024</v>
      </c>
      <c r="F1084" t="s">
        <v>4025</v>
      </c>
      <c r="G1084" t="s">
        <v>578</v>
      </c>
      <c r="H1084" s="11">
        <v>245</v>
      </c>
      <c r="I1084" s="10">
        <f>H1084*(1-IFERROR(VLOOKUP(G1084,Rabat!$C$9:$D$43,2,0),0))</f>
        <v>245</v>
      </c>
      <c r="J1084" t="s">
        <v>1815</v>
      </c>
      <c r="K1084" t="s">
        <v>4231</v>
      </c>
      <c r="L1084" t="s">
        <v>1813</v>
      </c>
      <c r="M1084">
        <v>10</v>
      </c>
      <c r="N1084"/>
      <c r="O1084" t="s">
        <v>1819</v>
      </c>
      <c r="P1084" s="12" t="str">
        <f>HYPERLINK("https://b2b.kobi.pl/pl/product/13487,naswietlacz-solar-led-mhcs-g2-20w-3cct-ip65-kobi-premium?currency=PLN")</f>
        <v>https://b2b.kobi.pl/pl/product/13487,naswietlacz-solar-led-mhcs-g2-20w-3cct-ip65-kobi-premium?currency=PLN</v>
      </c>
      <c r="Q1084" t="s">
        <v>14</v>
      </c>
      <c r="R1084" t="s">
        <v>4101</v>
      </c>
      <c r="S1084" t="s">
        <v>2609</v>
      </c>
      <c r="T1084">
        <v>1.24</v>
      </c>
      <c r="U1084">
        <v>1.4650000000000001</v>
      </c>
      <c r="V1084">
        <v>1.95</v>
      </c>
      <c r="W1084">
        <v>21</v>
      </c>
      <c r="X1084">
        <v>31</v>
      </c>
      <c r="Y1084">
        <v>10</v>
      </c>
    </row>
    <row r="1085" spans="1:25" ht="60" customHeight="1" x14ac:dyDescent="0.25">
      <c r="A1085"/>
      <c r="B1085" t="s">
        <v>3</v>
      </c>
      <c r="C1085" t="s">
        <v>17</v>
      </c>
      <c r="D1085" t="s">
        <v>606</v>
      </c>
      <c r="E1085" t="s">
        <v>4026</v>
      </c>
      <c r="F1085" t="s">
        <v>4027</v>
      </c>
      <c r="G1085" t="s">
        <v>578</v>
      </c>
      <c r="H1085" s="11">
        <v>345</v>
      </c>
      <c r="I1085" s="10">
        <f>H1085*(1-IFERROR(VLOOKUP(G1085,Rabat!$C$9:$D$43,2,0),0))</f>
        <v>345</v>
      </c>
      <c r="J1085" t="s">
        <v>1815</v>
      </c>
      <c r="K1085" t="s">
        <v>4232</v>
      </c>
      <c r="L1085" t="s">
        <v>1813</v>
      </c>
      <c r="M1085">
        <v>10</v>
      </c>
      <c r="N1085"/>
      <c r="O1085" t="s">
        <v>1819</v>
      </c>
      <c r="P1085" s="12" t="str">
        <f>HYPERLINK("https://b2b.kobi.pl/pl/product/13488,naswietlacz-solar-led-mhcs-g2-35w-3cct-ip65-kobi-premium?currency=PLN")</f>
        <v>https://b2b.kobi.pl/pl/product/13488,naswietlacz-solar-led-mhcs-g2-35w-3cct-ip65-kobi-premium?currency=PLN</v>
      </c>
      <c r="Q1085" t="s">
        <v>14</v>
      </c>
      <c r="R1085" t="s">
        <v>4101</v>
      </c>
      <c r="S1085" t="s">
        <v>2609</v>
      </c>
      <c r="T1085">
        <v>1.74</v>
      </c>
      <c r="U1085">
        <v>2.0649999999999999</v>
      </c>
      <c r="V1085">
        <v>2.6</v>
      </c>
      <c r="W1085">
        <v>24</v>
      </c>
      <c r="X1085">
        <v>40.5</v>
      </c>
      <c r="Y1085">
        <v>10.5</v>
      </c>
    </row>
    <row r="1086" spans="1:25" ht="60" customHeight="1" x14ac:dyDescent="0.25">
      <c r="A1086"/>
      <c r="B1086" t="s">
        <v>621</v>
      </c>
      <c r="C1086" t="s">
        <v>5</v>
      </c>
      <c r="D1086" t="s">
        <v>618</v>
      </c>
      <c r="E1086" t="s">
        <v>2661</v>
      </c>
      <c r="F1086" t="s">
        <v>1447</v>
      </c>
      <c r="G1086" t="s">
        <v>620</v>
      </c>
      <c r="H1086" s="11">
        <v>52</v>
      </c>
      <c r="I1086" s="10">
        <f>H1086*(1-IFERROR(VLOOKUP(G1086,Rabat!$C$9:$D$43,2,0),0))</f>
        <v>52</v>
      </c>
      <c r="J1086" t="s">
        <v>1815</v>
      </c>
      <c r="K1086" t="s">
        <v>431</v>
      </c>
      <c r="L1086" t="s">
        <v>1813</v>
      </c>
      <c r="M1086">
        <v>1</v>
      </c>
      <c r="N1086"/>
      <c r="O1086" t="s">
        <v>1818</v>
      </c>
      <c r="P1086" s="12" t="str">
        <f>HYPERLINK("https://b2b.kobi.pl/pl/product/10742,zasilacz-desktop-12v-24w-2-0a?currency=PLN")</f>
        <v>https://b2b.kobi.pl/pl/product/10742,zasilacz-desktop-12v-24w-2-0a?currency=PLN</v>
      </c>
      <c r="Q1086" t="s">
        <v>14</v>
      </c>
      <c r="R1086"/>
      <c r="S1086" t="s">
        <v>2572</v>
      </c>
      <c r="T1086">
        <v>0</v>
      </c>
      <c r="U1086">
        <v>0.18</v>
      </c>
      <c r="V1086">
        <v>0.25</v>
      </c>
      <c r="W1086">
        <v>0</v>
      </c>
      <c r="X1086">
        <v>0</v>
      </c>
      <c r="Y1086">
        <v>0</v>
      </c>
    </row>
    <row r="1087" spans="1:25" ht="60" customHeight="1" x14ac:dyDescent="0.25">
      <c r="A1087"/>
      <c r="B1087" t="s">
        <v>3</v>
      </c>
      <c r="C1087" t="s">
        <v>3782</v>
      </c>
      <c r="D1087" t="s">
        <v>618</v>
      </c>
      <c r="E1087" t="s">
        <v>4028</v>
      </c>
      <c r="F1087" t="s">
        <v>4029</v>
      </c>
      <c r="G1087" t="s">
        <v>947</v>
      </c>
      <c r="H1087" s="11">
        <v>60</v>
      </c>
      <c r="I1087" s="10">
        <f>H1087*(1-IFERROR(VLOOKUP(G1087,Rabat!$C$9:$D$43,2,0),0))</f>
        <v>60</v>
      </c>
      <c r="J1087" t="s">
        <v>1815</v>
      </c>
      <c r="K1087" t="s">
        <v>4233</v>
      </c>
      <c r="L1087" t="s">
        <v>1813</v>
      </c>
      <c r="M1087">
        <v>10</v>
      </c>
      <c r="N1087">
        <v>250</v>
      </c>
      <c r="O1087" t="s">
        <v>1818</v>
      </c>
      <c r="P1087" s="12" t="str">
        <f>HYPERLINK("https://b2b.kobi.pl/pl/product/13472,zestaw-hermetic-g2-2x60-2x-led-t8-9w-4000k-ip65-kobi?currency=PLN")</f>
        <v>https://b2b.kobi.pl/pl/product/13472,zestaw-hermetic-g2-2x60-2x-led-t8-9w-4000k-ip65-kobi?currency=PLN</v>
      </c>
      <c r="Q1087" t="s">
        <v>14</v>
      </c>
      <c r="R1087" t="s">
        <v>4101</v>
      </c>
      <c r="S1087" t="s">
        <v>2571</v>
      </c>
      <c r="T1087">
        <v>0.51</v>
      </c>
      <c r="U1087">
        <v>0.6</v>
      </c>
      <c r="V1087">
        <v>0.7</v>
      </c>
      <c r="W1087">
        <v>72</v>
      </c>
      <c r="X1087">
        <v>10</v>
      </c>
      <c r="Y1087">
        <v>5.8</v>
      </c>
    </row>
    <row r="1088" spans="1:25" ht="60" customHeight="1" x14ac:dyDescent="0.25">
      <c r="A1088"/>
      <c r="B1088" t="s">
        <v>3</v>
      </c>
      <c r="C1088" t="s">
        <v>3824</v>
      </c>
      <c r="D1088" t="s">
        <v>618</v>
      </c>
      <c r="E1088" t="s">
        <v>4030</v>
      </c>
      <c r="F1088" t="s">
        <v>4031</v>
      </c>
      <c r="G1088" t="s">
        <v>579</v>
      </c>
      <c r="H1088" s="11">
        <v>297.5</v>
      </c>
      <c r="I1088" s="10">
        <f>H1088*(1-IFERROR(VLOOKUP(G1088,Rabat!$C$9:$D$43,2,0),0))</f>
        <v>297.5</v>
      </c>
      <c r="J1088" t="s">
        <v>1815</v>
      </c>
      <c r="K1088" t="s">
        <v>4234</v>
      </c>
      <c r="L1088" t="s">
        <v>1813</v>
      </c>
      <c r="M1088">
        <v>1</v>
      </c>
      <c r="N1088">
        <v>72</v>
      </c>
      <c r="O1088" t="s">
        <v>1818</v>
      </c>
      <c r="P1088" s="12" t="str">
        <f>HYPERLINK("https://b2b.kobi.pl/pl/product/13446,oprawa-sufitowa-led-hexline-208x300cm-4000k-kobi?currency=PLN")</f>
        <v>https://b2b.kobi.pl/pl/product/13446,oprawa-sufitowa-led-hexline-208x300cm-4000k-kobi?currency=PLN</v>
      </c>
      <c r="Q1088" t="s">
        <v>14</v>
      </c>
      <c r="R1088" t="s">
        <v>4101</v>
      </c>
      <c r="S1088" t="s">
        <v>2573</v>
      </c>
      <c r="T1088">
        <v>2.2799999999999998</v>
      </c>
      <c r="U1088">
        <v>2.7</v>
      </c>
      <c r="V1088">
        <v>3</v>
      </c>
      <c r="W1088">
        <v>58</v>
      </c>
      <c r="X1088">
        <v>19</v>
      </c>
      <c r="Y1088">
        <v>16.5</v>
      </c>
    </row>
    <row r="1089" spans="1:25" ht="60" customHeight="1" x14ac:dyDescent="0.25">
      <c r="A1089"/>
      <c r="B1089" t="s">
        <v>3</v>
      </c>
      <c r="C1089" t="s">
        <v>3824</v>
      </c>
      <c r="D1089" t="s">
        <v>618</v>
      </c>
      <c r="E1089" t="s">
        <v>4032</v>
      </c>
      <c r="F1089" t="s">
        <v>4033</v>
      </c>
      <c r="G1089" t="s">
        <v>579</v>
      </c>
      <c r="H1089" s="11">
        <v>297.5</v>
      </c>
      <c r="I1089" s="10">
        <f>H1089*(1-IFERROR(VLOOKUP(G1089,Rabat!$C$9:$D$43,2,0),0))</f>
        <v>297.5</v>
      </c>
      <c r="J1089" t="s">
        <v>1815</v>
      </c>
      <c r="K1089" t="s">
        <v>4235</v>
      </c>
      <c r="L1089" t="s">
        <v>1813</v>
      </c>
      <c r="M1089">
        <v>1</v>
      </c>
      <c r="N1089">
        <v>72</v>
      </c>
      <c r="O1089" t="s">
        <v>1818</v>
      </c>
      <c r="P1089" s="12" t="str">
        <f>HYPERLINK("https://b2b.kobi.pl/pl/product/13447,oprawa-sufitowa-led-hexline-208x300cm-6500k-kobi?currency=PLN")</f>
        <v>https://b2b.kobi.pl/pl/product/13447,oprawa-sufitowa-led-hexline-208x300cm-6500k-kobi?currency=PLN</v>
      </c>
      <c r="Q1089" t="s">
        <v>14</v>
      </c>
      <c r="R1089" t="s">
        <v>4101</v>
      </c>
      <c r="S1089" t="s">
        <v>2573</v>
      </c>
      <c r="T1089">
        <v>2.2799999999999998</v>
      </c>
      <c r="U1089">
        <v>2.7</v>
      </c>
      <c r="V1089">
        <v>3</v>
      </c>
      <c r="W1089">
        <v>58</v>
      </c>
      <c r="X1089">
        <v>19</v>
      </c>
      <c r="Y1089">
        <v>16.5</v>
      </c>
    </row>
    <row r="1090" spans="1:25" ht="60" customHeight="1" x14ac:dyDescent="0.25">
      <c r="A1090"/>
      <c r="B1090" t="s">
        <v>3</v>
      </c>
      <c r="C1090" t="s">
        <v>3824</v>
      </c>
      <c r="D1090" t="s">
        <v>618</v>
      </c>
      <c r="E1090" t="s">
        <v>4034</v>
      </c>
      <c r="F1090" t="s">
        <v>4035</v>
      </c>
      <c r="G1090" t="s">
        <v>579</v>
      </c>
      <c r="H1090" s="11">
        <v>697.5</v>
      </c>
      <c r="I1090" s="10">
        <f>H1090*(1-IFERROR(VLOOKUP(G1090,Rabat!$C$9:$D$43,2,0),0))</f>
        <v>697.5</v>
      </c>
      <c r="J1090" t="s">
        <v>1815</v>
      </c>
      <c r="K1090" t="s">
        <v>4236</v>
      </c>
      <c r="L1090" t="s">
        <v>1813</v>
      </c>
      <c r="M1090">
        <v>1</v>
      </c>
      <c r="N1090">
        <v>38</v>
      </c>
      <c r="O1090" t="s">
        <v>1818</v>
      </c>
      <c r="P1090" s="12" t="str">
        <f>HYPERLINK("https://b2b.kobi.pl/pl/product/13448,oprawa-sufitowa-led-hexline-300x516cm-4000k-kobi?currency=PLN")</f>
        <v>https://b2b.kobi.pl/pl/product/13448,oprawa-sufitowa-led-hexline-300x516cm-4000k-kobi?currency=PLN</v>
      </c>
      <c r="Q1090" t="s">
        <v>14</v>
      </c>
      <c r="R1090" t="s">
        <v>4101</v>
      </c>
      <c r="S1090" t="s">
        <v>2573</v>
      </c>
      <c r="T1090">
        <v>4.9000000000000004</v>
      </c>
      <c r="U1090">
        <v>5.8</v>
      </c>
      <c r="V1090">
        <v>6.5</v>
      </c>
      <c r="W1090">
        <v>58</v>
      </c>
      <c r="X1090">
        <v>29.5</v>
      </c>
      <c r="Y1090">
        <v>21</v>
      </c>
    </row>
    <row r="1091" spans="1:25" ht="60" customHeight="1" x14ac:dyDescent="0.25">
      <c r="A1091"/>
      <c r="B1091" t="s">
        <v>3</v>
      </c>
      <c r="C1091" t="s">
        <v>3824</v>
      </c>
      <c r="D1091" t="s">
        <v>618</v>
      </c>
      <c r="E1091" t="s">
        <v>4036</v>
      </c>
      <c r="F1091" t="s">
        <v>4037</v>
      </c>
      <c r="G1091" t="s">
        <v>579</v>
      </c>
      <c r="H1091" s="11">
        <v>697.5</v>
      </c>
      <c r="I1091" s="10">
        <f>H1091*(1-IFERROR(VLOOKUP(G1091,Rabat!$C$9:$D$43,2,0),0))</f>
        <v>697.5</v>
      </c>
      <c r="J1091" t="s">
        <v>1815</v>
      </c>
      <c r="K1091" t="s">
        <v>4237</v>
      </c>
      <c r="L1091" t="s">
        <v>1813</v>
      </c>
      <c r="M1091">
        <v>1</v>
      </c>
      <c r="N1091">
        <v>38</v>
      </c>
      <c r="O1091" t="s">
        <v>1818</v>
      </c>
      <c r="P1091" s="12" t="str">
        <f>HYPERLINK("https://b2b.kobi.pl/pl/product/13449,oprawa-sufitowa-led-hexline-300x516cm-6500k-kobi?currency=PLN")</f>
        <v>https://b2b.kobi.pl/pl/product/13449,oprawa-sufitowa-led-hexline-300x516cm-6500k-kobi?currency=PLN</v>
      </c>
      <c r="Q1091" t="s">
        <v>14</v>
      </c>
      <c r="R1091" t="s">
        <v>4101</v>
      </c>
      <c r="S1091" t="s">
        <v>2573</v>
      </c>
      <c r="T1091">
        <v>4.9000000000000004</v>
      </c>
      <c r="U1091">
        <v>5.8</v>
      </c>
      <c r="V1091">
        <v>6.5</v>
      </c>
      <c r="W1091">
        <v>58</v>
      </c>
      <c r="X1091">
        <v>29.5</v>
      </c>
      <c r="Y1091">
        <v>21</v>
      </c>
    </row>
    <row r="1092" spans="1:25" ht="60" customHeight="1" x14ac:dyDescent="0.25">
      <c r="A1092"/>
      <c r="B1092" t="s">
        <v>3</v>
      </c>
      <c r="C1092" t="s">
        <v>3824</v>
      </c>
      <c r="D1092" t="s">
        <v>618</v>
      </c>
      <c r="E1092" t="s">
        <v>1207</v>
      </c>
      <c r="F1092" t="s">
        <v>1208</v>
      </c>
      <c r="G1092" t="s">
        <v>1189</v>
      </c>
      <c r="H1092" s="11">
        <v>44.1</v>
      </c>
      <c r="I1092" s="10">
        <f>H1092*(1-IFERROR(VLOOKUP(G1092,Rabat!$C$9:$D$43,2,0),0))</f>
        <v>44.1</v>
      </c>
      <c r="J1092" t="s">
        <v>1815</v>
      </c>
      <c r="K1092" t="s">
        <v>160</v>
      </c>
      <c r="L1092" t="s">
        <v>1813</v>
      </c>
      <c r="M1092">
        <v>5</v>
      </c>
      <c r="N1092">
        <v>200</v>
      </c>
      <c r="O1092" t="s">
        <v>1818</v>
      </c>
      <c r="P1092" s="12" t="str">
        <f>HYPERLINK("https://b2b.kobi.pl/pl/product/10290,plafon-wega-pc-1xe27-biala-kobi?currency=PLN")</f>
        <v>https://b2b.kobi.pl/pl/product/10290,plafon-wega-pc-1xe27-biala-kobi?currency=PLN</v>
      </c>
      <c r="Q1092" t="s">
        <v>14</v>
      </c>
      <c r="R1092"/>
      <c r="S1092" t="s">
        <v>2604</v>
      </c>
      <c r="T1092">
        <v>0</v>
      </c>
      <c r="U1092">
        <v>0.32</v>
      </c>
      <c r="V1092">
        <v>0.32800000000000001</v>
      </c>
      <c r="W1092">
        <v>25</v>
      </c>
      <c r="X1092">
        <v>25</v>
      </c>
      <c r="Y1092">
        <v>10</v>
      </c>
    </row>
    <row r="1093" spans="1:25" ht="60" customHeight="1" x14ac:dyDescent="0.25">
      <c r="A1093"/>
      <c r="B1093" t="s">
        <v>3</v>
      </c>
      <c r="C1093" t="s">
        <v>3824</v>
      </c>
      <c r="D1093" t="s">
        <v>618</v>
      </c>
      <c r="E1093" t="s">
        <v>4038</v>
      </c>
      <c r="F1093" t="s">
        <v>4039</v>
      </c>
      <c r="G1093" t="s">
        <v>579</v>
      </c>
      <c r="H1093" s="11">
        <v>8.75</v>
      </c>
      <c r="I1093" s="10">
        <f>H1093*(1-IFERROR(VLOOKUP(G1093,Rabat!$C$9:$D$43,2,0),0))</f>
        <v>8.75</v>
      </c>
      <c r="J1093"/>
      <c r="K1093" t="s">
        <v>4238</v>
      </c>
      <c r="L1093" t="s">
        <v>1813</v>
      </c>
      <c r="M1093">
        <v>120</v>
      </c>
      <c r="N1093"/>
      <c r="O1093" t="s">
        <v>1818</v>
      </c>
      <c r="P1093" s="12" t="str">
        <f>HYPERLINK("https://b2b.kobi.pl/pl/product/13450,lacznik-y-hexline-kobi?currency=PLN")</f>
        <v>https://b2b.kobi.pl/pl/product/13450,lacznik-y-hexline-kobi?currency=PLN</v>
      </c>
      <c r="Q1093" t="s">
        <v>14</v>
      </c>
      <c r="R1093" t="s">
        <v>4101</v>
      </c>
      <c r="S1093" t="s">
        <v>2628</v>
      </c>
      <c r="T1093">
        <v>0</v>
      </c>
      <c r="U1093">
        <v>2.5999999999999999E-2</v>
      </c>
      <c r="V1093">
        <v>2.8000000000000001E-2</v>
      </c>
      <c r="W1093">
        <v>10</v>
      </c>
      <c r="X1093">
        <v>12</v>
      </c>
      <c r="Y1093">
        <v>4</v>
      </c>
    </row>
    <row r="1094" spans="1:25" ht="60" customHeight="1" x14ac:dyDescent="0.25">
      <c r="A1094"/>
      <c r="B1094" t="s">
        <v>3</v>
      </c>
      <c r="C1094" t="s">
        <v>3824</v>
      </c>
      <c r="D1094" t="s">
        <v>618</v>
      </c>
      <c r="E1094" t="s">
        <v>4040</v>
      </c>
      <c r="F1094" t="s">
        <v>1198</v>
      </c>
      <c r="G1094" t="s">
        <v>1189</v>
      </c>
      <c r="H1094" s="11">
        <v>44.75</v>
      </c>
      <c r="I1094" s="10">
        <f>H1094*(1-IFERROR(VLOOKUP(G1094,Rabat!$C$9:$D$43,2,0),0))</f>
        <v>44.75</v>
      </c>
      <c r="J1094" t="s">
        <v>1815</v>
      </c>
      <c r="K1094" t="s">
        <v>172</v>
      </c>
      <c r="L1094" t="s">
        <v>1813</v>
      </c>
      <c r="M1094">
        <v>8</v>
      </c>
      <c r="N1094">
        <v>184</v>
      </c>
      <c r="O1094" t="s">
        <v>1818</v>
      </c>
      <c r="P1094" s="12" t="str">
        <f>HYPERLINK("https://b2b.kobi.pl/pl/product/10280,plafon-ruto-1xe27-bialy-kobi?currency=PLN")</f>
        <v>https://b2b.kobi.pl/pl/product/10280,plafon-ruto-1xe27-bialy-kobi?currency=PLN</v>
      </c>
      <c r="Q1094" t="s">
        <v>14</v>
      </c>
      <c r="R1094" t="s">
        <v>4101</v>
      </c>
      <c r="S1094" t="s">
        <v>2611</v>
      </c>
      <c r="T1094">
        <v>0.41</v>
      </c>
      <c r="U1094">
        <v>1.06</v>
      </c>
      <c r="V1094">
        <v>1.07</v>
      </c>
      <c r="W1094">
        <v>10</v>
      </c>
      <c r="X1094">
        <v>22</v>
      </c>
      <c r="Y1094">
        <v>22</v>
      </c>
    </row>
    <row r="1095" spans="1:25" ht="60" customHeight="1" x14ac:dyDescent="0.25">
      <c r="A1095"/>
      <c r="B1095" t="s">
        <v>3</v>
      </c>
      <c r="C1095" t="s">
        <v>3824</v>
      </c>
      <c r="D1095" t="s">
        <v>618</v>
      </c>
      <c r="E1095" t="s">
        <v>1187</v>
      </c>
      <c r="F1095" t="s">
        <v>1188</v>
      </c>
      <c r="G1095" t="s">
        <v>1189</v>
      </c>
      <c r="H1095" s="11">
        <v>24.98</v>
      </c>
      <c r="I1095" s="10">
        <f>H1095*(1-IFERROR(VLOOKUP(G1095,Rabat!$C$9:$D$43,2,0),0))</f>
        <v>24.98</v>
      </c>
      <c r="J1095" t="s">
        <v>1815</v>
      </c>
      <c r="K1095" t="s">
        <v>248</v>
      </c>
      <c r="L1095" t="s">
        <v>1813</v>
      </c>
      <c r="M1095">
        <v>10</v>
      </c>
      <c r="N1095">
        <v>400</v>
      </c>
      <c r="O1095" t="s">
        <v>1818</v>
      </c>
      <c r="P1095" s="12" t="str">
        <f>HYPERLINK("https://b2b.kobi.pl/pl/product/10284,oprawa-kanalowa-soma-pc-1xe27-60-siatka-metal-kobi?currency=PLN")</f>
        <v>https://b2b.kobi.pl/pl/product/10284,oprawa-kanalowa-soma-pc-1xe27-60-siatka-metal-kobi?currency=PLN</v>
      </c>
      <c r="Q1095" t="s">
        <v>14</v>
      </c>
      <c r="R1095" t="s">
        <v>4101</v>
      </c>
      <c r="S1095" t="s">
        <v>2611</v>
      </c>
      <c r="T1095">
        <v>0.18</v>
      </c>
      <c r="U1095">
        <v>0.47</v>
      </c>
      <c r="V1095">
        <v>0.48</v>
      </c>
      <c r="W1095">
        <v>19</v>
      </c>
      <c r="X1095">
        <v>12.5</v>
      </c>
      <c r="Y1095">
        <v>10.5</v>
      </c>
    </row>
    <row r="1096" spans="1:25" ht="60" customHeight="1" x14ac:dyDescent="0.25">
      <c r="A1096"/>
      <c r="B1096" t="s">
        <v>3</v>
      </c>
      <c r="C1096" t="s">
        <v>3824</v>
      </c>
      <c r="D1096" t="s">
        <v>618</v>
      </c>
      <c r="E1096" t="s">
        <v>1190</v>
      </c>
      <c r="F1096" t="s">
        <v>1191</v>
      </c>
      <c r="G1096" t="s">
        <v>1189</v>
      </c>
      <c r="H1096" s="11">
        <v>24.98</v>
      </c>
      <c r="I1096" s="48">
        <f>H1096*(1-IFERROR(VLOOKUP(G1096,Rabat!$C$9:$D$43,2,0),0))</f>
        <v>24.98</v>
      </c>
      <c r="J1096" t="s">
        <v>1815</v>
      </c>
      <c r="K1096" t="s">
        <v>249</v>
      </c>
      <c r="L1096" t="s">
        <v>1813</v>
      </c>
      <c r="M1096">
        <v>10</v>
      </c>
      <c r="N1096">
        <v>400</v>
      </c>
      <c r="O1096" t="s">
        <v>1818</v>
      </c>
      <c r="P1096" s="12" t="str">
        <f>HYPERLINK("https://b2b.kobi.pl/pl/product/10285,oprawa-kanalowa-soma-pc-1xe27-60-siatka-plastik-kobi?currency=PLN")</f>
        <v>https://b2b.kobi.pl/pl/product/10285,oprawa-kanalowa-soma-pc-1xe27-60-siatka-plastik-kobi?currency=PLN</v>
      </c>
      <c r="Q1096" t="s">
        <v>14</v>
      </c>
      <c r="R1096" t="s">
        <v>4101</v>
      </c>
      <c r="S1096" t="s">
        <v>2611</v>
      </c>
      <c r="T1096">
        <v>0.19</v>
      </c>
      <c r="U1096">
        <v>0.48</v>
      </c>
      <c r="V1096">
        <v>0.49</v>
      </c>
      <c r="W1096">
        <v>19</v>
      </c>
      <c r="X1096">
        <v>12.5</v>
      </c>
      <c r="Y1096">
        <v>10.5</v>
      </c>
    </row>
    <row r="1097" spans="1:25" ht="60" customHeight="1" x14ac:dyDescent="0.25">
      <c r="A1097"/>
      <c r="B1097" t="s">
        <v>3</v>
      </c>
      <c r="C1097" t="s">
        <v>3824</v>
      </c>
      <c r="D1097" t="s">
        <v>618</v>
      </c>
      <c r="E1097" t="s">
        <v>4041</v>
      </c>
      <c r="F1097" t="s">
        <v>4042</v>
      </c>
      <c r="G1097" t="s">
        <v>1189</v>
      </c>
      <c r="H1097" s="11">
        <v>44.75</v>
      </c>
      <c r="I1097" s="48">
        <f>H1097*(1-IFERROR(VLOOKUP(G1097,Rabat!$C$9:$D$43,2,0),0))</f>
        <v>44.75</v>
      </c>
      <c r="J1097" t="s">
        <v>1815</v>
      </c>
      <c r="K1097" t="s">
        <v>4239</v>
      </c>
      <c r="L1097" t="s">
        <v>1813</v>
      </c>
      <c r="M1097">
        <v>8</v>
      </c>
      <c r="N1097">
        <v>184</v>
      </c>
      <c r="O1097" t="s">
        <v>1818</v>
      </c>
      <c r="P1097" s="12" t="str">
        <f>HYPERLINK("https://b2b.kobi.pl/pl/product/13682,plafon-ruto-1xe27-czarny-szklo-kobi?currency=PLN")</f>
        <v>https://b2b.kobi.pl/pl/product/13682,plafon-ruto-1xe27-czarny-szklo-kobi?currency=PLN</v>
      </c>
      <c r="Q1097" t="s">
        <v>14</v>
      </c>
      <c r="R1097" t="s">
        <v>4101</v>
      </c>
      <c r="S1097" t="s">
        <v>2611</v>
      </c>
      <c r="T1097">
        <v>0.41</v>
      </c>
      <c r="U1097">
        <v>1.05</v>
      </c>
      <c r="V1097">
        <v>1.06</v>
      </c>
      <c r="W1097">
        <v>10</v>
      </c>
      <c r="X1097">
        <v>22</v>
      </c>
      <c r="Y1097">
        <v>22</v>
      </c>
    </row>
    <row r="1098" spans="1:25" ht="60" customHeight="1" x14ac:dyDescent="0.25">
      <c r="A1098"/>
      <c r="B1098" t="s">
        <v>3</v>
      </c>
      <c r="C1098" t="s">
        <v>3824</v>
      </c>
      <c r="D1098" t="s">
        <v>618</v>
      </c>
      <c r="E1098" t="s">
        <v>4043</v>
      </c>
      <c r="F1098" t="s">
        <v>4044</v>
      </c>
      <c r="G1098" t="s">
        <v>1189</v>
      </c>
      <c r="H1098" s="11">
        <v>24.98</v>
      </c>
      <c r="I1098" s="48">
        <f>H1098*(1-IFERROR(VLOOKUP(G1098,Rabat!$C$9:$D$43,2,0),0))</f>
        <v>24.98</v>
      </c>
      <c r="J1098" t="s">
        <v>1815</v>
      </c>
      <c r="K1098" t="s">
        <v>4240</v>
      </c>
      <c r="L1098" t="s">
        <v>1813</v>
      </c>
      <c r="M1098">
        <v>10</v>
      </c>
      <c r="N1098">
        <v>400</v>
      </c>
      <c r="O1098" t="s">
        <v>1818</v>
      </c>
      <c r="P1098" s="12" t="str">
        <f>HYPERLINK("https://b2b.kobi.pl/pl/product/13684,oprawa-kanalowa-soma-pc-1xe27-60-siatka-plastik-czarna-kobi?currency=PLN")</f>
        <v>https://b2b.kobi.pl/pl/product/13684,oprawa-kanalowa-soma-pc-1xe27-60-siatka-plastik-czarna-kobi?currency=PLN</v>
      </c>
      <c r="Q1098" t="s">
        <v>14</v>
      </c>
      <c r="R1098" t="s">
        <v>4101</v>
      </c>
      <c r="S1098" t="s">
        <v>2611</v>
      </c>
      <c r="T1098">
        <v>0.18</v>
      </c>
      <c r="U1098">
        <v>0.47</v>
      </c>
      <c r="V1098">
        <v>0.48</v>
      </c>
      <c r="W1098">
        <v>19</v>
      </c>
      <c r="X1098">
        <v>12.5</v>
      </c>
      <c r="Y1098">
        <v>10.5</v>
      </c>
    </row>
    <row r="1099" spans="1:25" ht="60" customHeight="1" x14ac:dyDescent="0.25">
      <c r="A1099"/>
      <c r="B1099" t="s">
        <v>3</v>
      </c>
      <c r="C1099" t="s">
        <v>3824</v>
      </c>
      <c r="D1099" t="s">
        <v>618</v>
      </c>
      <c r="E1099" t="s">
        <v>1192</v>
      </c>
      <c r="F1099" t="s">
        <v>1193</v>
      </c>
      <c r="G1099" t="s">
        <v>1189</v>
      </c>
      <c r="H1099" s="11">
        <v>41.48</v>
      </c>
      <c r="I1099" s="48">
        <f>H1099*(1-IFERROR(VLOOKUP(G1099,Rabat!$C$9:$D$43,2,0),0))</f>
        <v>41.48</v>
      </c>
      <c r="J1099" t="s">
        <v>1815</v>
      </c>
      <c r="K1099" t="s">
        <v>247</v>
      </c>
      <c r="L1099" t="s">
        <v>1813</v>
      </c>
      <c r="M1099">
        <v>10</v>
      </c>
      <c r="N1099"/>
      <c r="O1099" t="s">
        <v>1818</v>
      </c>
      <c r="P1099" s="12" t="str">
        <f>HYPERLINK("https://b2b.kobi.pl/pl/product/10282,oprawa-kanalowa-soma-pc-1xe27-100-siatka-metal-kobi?currency=PLN")</f>
        <v>https://b2b.kobi.pl/pl/product/10282,oprawa-kanalowa-soma-pc-1xe27-100-siatka-metal-kobi?currency=PLN</v>
      </c>
      <c r="Q1099" t="s">
        <v>14</v>
      </c>
      <c r="R1099"/>
      <c r="S1099" t="s">
        <v>2604</v>
      </c>
      <c r="T1099">
        <v>0</v>
      </c>
      <c r="U1099">
        <v>0.22</v>
      </c>
      <c r="V1099">
        <v>0.24199999999999999</v>
      </c>
      <c r="W1099">
        <v>0</v>
      </c>
      <c r="X1099">
        <v>0</v>
      </c>
      <c r="Y1099">
        <v>0</v>
      </c>
    </row>
    <row r="1100" spans="1:25" ht="60" customHeight="1" x14ac:dyDescent="0.25">
      <c r="A1100"/>
      <c r="B1100" t="s">
        <v>3</v>
      </c>
      <c r="C1100" t="s">
        <v>3824</v>
      </c>
      <c r="D1100" t="s">
        <v>618</v>
      </c>
      <c r="E1100" t="s">
        <v>1196</v>
      </c>
      <c r="F1100" t="s">
        <v>1197</v>
      </c>
      <c r="G1100" t="s">
        <v>1189</v>
      </c>
      <c r="H1100" s="11">
        <v>35.18</v>
      </c>
      <c r="I1100" s="48">
        <f>H1100*(1-IFERROR(VLOOKUP(G1100,Rabat!$C$9:$D$43,2,0),0))</f>
        <v>35.18</v>
      </c>
      <c r="J1100" t="s">
        <v>1815</v>
      </c>
      <c r="K1100" t="s">
        <v>246</v>
      </c>
      <c r="L1100" t="s">
        <v>1813</v>
      </c>
      <c r="M1100">
        <v>10</v>
      </c>
      <c r="N1100"/>
      <c r="O1100" t="s">
        <v>1818</v>
      </c>
      <c r="P1100" s="12" t="str">
        <f>HYPERLINK("https://b2b.kobi.pl/pl/product/10283,oprawa-kanalowa-soma-pc-1xe27-100-siatka-plastik-kobi?currency=PLN")</f>
        <v>https://b2b.kobi.pl/pl/product/10283,oprawa-kanalowa-soma-pc-1xe27-100-siatka-plastik-kobi?currency=PLN</v>
      </c>
      <c r="Q1100" t="s">
        <v>14</v>
      </c>
      <c r="R1100"/>
      <c r="S1100" t="s">
        <v>2604</v>
      </c>
      <c r="T1100">
        <v>0</v>
      </c>
      <c r="U1100">
        <v>0.21</v>
      </c>
      <c r="V1100">
        <v>0.23100000000000001</v>
      </c>
      <c r="W1100">
        <v>0</v>
      </c>
      <c r="X1100">
        <v>0</v>
      </c>
      <c r="Y1100">
        <v>0</v>
      </c>
    </row>
    <row r="1101" spans="1:25" ht="60" customHeight="1" x14ac:dyDescent="0.25">
      <c r="A1101"/>
      <c r="B1101" t="s">
        <v>621</v>
      </c>
      <c r="C1101" t="s">
        <v>5</v>
      </c>
      <c r="D1101" t="s">
        <v>618</v>
      </c>
      <c r="E1101" t="s">
        <v>2662</v>
      </c>
      <c r="F1101" t="s">
        <v>1448</v>
      </c>
      <c r="G1101" t="s">
        <v>620</v>
      </c>
      <c r="H1101" s="11">
        <v>59.5</v>
      </c>
      <c r="I1101" s="48">
        <f>H1101*(1-IFERROR(VLOOKUP(G1101,Rabat!$C$9:$D$43,2,0),0))</f>
        <v>59.5</v>
      </c>
      <c r="J1101" t="s">
        <v>1815</v>
      </c>
      <c r="K1101" t="s">
        <v>432</v>
      </c>
      <c r="L1101" t="s">
        <v>1813</v>
      </c>
      <c r="M1101">
        <v>1</v>
      </c>
      <c r="N1101"/>
      <c r="O1101" t="s">
        <v>1818</v>
      </c>
      <c r="P1101" s="12" t="str">
        <f>HYPERLINK("https://b2b.kobi.pl/pl/product/10747,zasilacz-desktop-12v-36w-3-0a?currency=PLN")</f>
        <v>https://b2b.kobi.pl/pl/product/10747,zasilacz-desktop-12v-36w-3-0a?currency=PLN</v>
      </c>
      <c r="Q1101" t="s">
        <v>14</v>
      </c>
      <c r="R1101"/>
      <c r="S1101" t="s">
        <v>2572</v>
      </c>
      <c r="T1101">
        <v>0</v>
      </c>
      <c r="U1101">
        <v>0.25</v>
      </c>
      <c r="V1101">
        <v>0.27600000000000002</v>
      </c>
      <c r="W1101">
        <v>16</v>
      </c>
      <c r="X1101">
        <v>10</v>
      </c>
      <c r="Y1101">
        <v>4</v>
      </c>
    </row>
    <row r="1102" spans="1:25" ht="60" customHeight="1" x14ac:dyDescent="0.25">
      <c r="A1102"/>
      <c r="B1102" t="s">
        <v>621</v>
      </c>
      <c r="C1102" t="s">
        <v>5</v>
      </c>
      <c r="D1102" t="s">
        <v>618</v>
      </c>
      <c r="E1102" t="s">
        <v>2663</v>
      </c>
      <c r="F1102" t="s">
        <v>1449</v>
      </c>
      <c r="G1102" t="s">
        <v>620</v>
      </c>
      <c r="H1102" s="11">
        <v>62.5</v>
      </c>
      <c r="I1102" s="48">
        <f>H1102*(1-IFERROR(VLOOKUP(G1102,Rabat!$C$9:$D$43,2,0),0))</f>
        <v>62.5</v>
      </c>
      <c r="J1102" t="s">
        <v>1815</v>
      </c>
      <c r="K1102" t="s">
        <v>433</v>
      </c>
      <c r="L1102" t="s">
        <v>1813</v>
      </c>
      <c r="M1102">
        <v>1</v>
      </c>
      <c r="N1102"/>
      <c r="O1102" t="s">
        <v>1818</v>
      </c>
      <c r="P1102" s="12" t="str">
        <f>HYPERLINK("https://b2b.kobi.pl/pl/product/10748,zasilacz-desktop-12v-42w-3-5a?currency=PLN")</f>
        <v>https://b2b.kobi.pl/pl/product/10748,zasilacz-desktop-12v-42w-3-5a?currency=PLN</v>
      </c>
      <c r="Q1102" t="s">
        <v>14</v>
      </c>
      <c r="R1102" t="s">
        <v>4101</v>
      </c>
      <c r="S1102" t="s">
        <v>2572</v>
      </c>
      <c r="T1102">
        <v>0</v>
      </c>
      <c r="U1102">
        <v>0.25</v>
      </c>
      <c r="V1102">
        <v>0.3</v>
      </c>
      <c r="W1102">
        <v>0</v>
      </c>
      <c r="X1102">
        <v>0</v>
      </c>
      <c r="Y1102">
        <v>0</v>
      </c>
    </row>
    <row r="1103" spans="1:25" ht="60" customHeight="1" x14ac:dyDescent="0.25">
      <c r="A1103"/>
      <c r="B1103" t="s">
        <v>621</v>
      </c>
      <c r="C1103" t="s">
        <v>5</v>
      </c>
      <c r="D1103" t="s">
        <v>618</v>
      </c>
      <c r="E1103" t="s">
        <v>2553</v>
      </c>
      <c r="F1103" t="s">
        <v>2363</v>
      </c>
      <c r="G1103" t="s">
        <v>620</v>
      </c>
      <c r="H1103" s="11">
        <v>77.5</v>
      </c>
      <c r="I1103" s="48">
        <f>H1103*(1-IFERROR(VLOOKUP(G1103,Rabat!$C$9:$D$43,2,0),0))</f>
        <v>77.5</v>
      </c>
      <c r="J1103" t="s">
        <v>1815</v>
      </c>
      <c r="K1103" t="s">
        <v>2436</v>
      </c>
      <c r="L1103" t="s">
        <v>1813</v>
      </c>
      <c r="M1103">
        <v>1</v>
      </c>
      <c r="N1103"/>
      <c r="O1103" t="s">
        <v>1818</v>
      </c>
      <c r="P1103" s="12" t="str">
        <f>HYPERLINK("https://b2b.kobi.pl/pl/product/10750,zasilacz-desktop-12v-60w-5-0a?currency=PLN")</f>
        <v>https://b2b.kobi.pl/pl/product/10750,zasilacz-desktop-12v-60w-5-0a?currency=PLN</v>
      </c>
      <c r="Q1103" t="s">
        <v>14</v>
      </c>
      <c r="R1103"/>
      <c r="S1103" t="s">
        <v>2572</v>
      </c>
      <c r="T1103">
        <v>0</v>
      </c>
      <c r="U1103">
        <v>0.3</v>
      </c>
      <c r="V1103">
        <v>0.32900000000000001</v>
      </c>
      <c r="W1103">
        <v>16</v>
      </c>
      <c r="X1103">
        <v>10</v>
      </c>
      <c r="Y1103">
        <v>4</v>
      </c>
    </row>
    <row r="1104" spans="1:25" ht="60" customHeight="1" x14ac:dyDescent="0.25">
      <c r="A1104"/>
      <c r="B1104" t="s">
        <v>621</v>
      </c>
      <c r="C1104" t="s">
        <v>5</v>
      </c>
      <c r="D1104" t="s">
        <v>618</v>
      </c>
      <c r="E1104" t="s">
        <v>2664</v>
      </c>
      <c r="F1104" t="s">
        <v>2364</v>
      </c>
      <c r="G1104" t="s">
        <v>620</v>
      </c>
      <c r="H1104" s="11">
        <v>97</v>
      </c>
      <c r="I1104" s="48">
        <f>H1104*(1-IFERROR(VLOOKUP(G1104,Rabat!$C$9:$D$43,2,0),0))</f>
        <v>97</v>
      </c>
      <c r="J1104" t="s">
        <v>1815</v>
      </c>
      <c r="K1104" t="s">
        <v>2437</v>
      </c>
      <c r="L1104" t="s">
        <v>1813</v>
      </c>
      <c r="M1104">
        <v>1</v>
      </c>
      <c r="N1104"/>
      <c r="O1104" t="s">
        <v>1818</v>
      </c>
      <c r="P1104" s="12" t="str">
        <f>HYPERLINK("https://b2b.kobi.pl/pl/product/10735,zasilacz-desktop-12v-72w-6-0a?currency=PLN")</f>
        <v>https://b2b.kobi.pl/pl/product/10735,zasilacz-desktop-12v-72w-6-0a?currency=PLN</v>
      </c>
      <c r="Q1104" t="s">
        <v>14</v>
      </c>
      <c r="R1104"/>
      <c r="S1104" t="s">
        <v>2572</v>
      </c>
      <c r="T1104">
        <v>0</v>
      </c>
      <c r="U1104">
        <v>0.44</v>
      </c>
      <c r="V1104">
        <v>0.55000000000000004</v>
      </c>
      <c r="W1104">
        <v>4</v>
      </c>
      <c r="X1104">
        <v>12</v>
      </c>
      <c r="Y1104">
        <v>20</v>
      </c>
    </row>
    <row r="1105" spans="1:25" ht="60" customHeight="1" x14ac:dyDescent="0.25">
      <c r="A1105"/>
      <c r="B1105" t="s">
        <v>621</v>
      </c>
      <c r="C1105" t="s">
        <v>5</v>
      </c>
      <c r="D1105" t="s">
        <v>618</v>
      </c>
      <c r="E1105" t="s">
        <v>2665</v>
      </c>
      <c r="F1105" t="s">
        <v>2365</v>
      </c>
      <c r="G1105" t="s">
        <v>620</v>
      </c>
      <c r="H1105" s="11">
        <v>179</v>
      </c>
      <c r="I1105" s="48">
        <f>H1105*(1-IFERROR(VLOOKUP(G1105,Rabat!$C$9:$D$43,2,0),0))</f>
        <v>179</v>
      </c>
      <c r="J1105" t="s">
        <v>1815</v>
      </c>
      <c r="K1105" t="s">
        <v>2438</v>
      </c>
      <c r="L1105" t="s">
        <v>1813</v>
      </c>
      <c r="M1105">
        <v>1</v>
      </c>
      <c r="N1105"/>
      <c r="O1105" t="s">
        <v>1818</v>
      </c>
      <c r="P1105" s="12" t="str">
        <f>HYPERLINK("https://b2b.kobi.pl/pl/product/10736,zasilacz-desktop-12v-90w-7-5a?currency=PLN")</f>
        <v>https://b2b.kobi.pl/pl/product/10736,zasilacz-desktop-12v-90w-7-5a?currency=PLN</v>
      </c>
      <c r="Q1105" t="s">
        <v>14</v>
      </c>
      <c r="R1105"/>
      <c r="S1105" t="s">
        <v>2572</v>
      </c>
      <c r="T1105">
        <v>0</v>
      </c>
      <c r="U1105">
        <v>0.44</v>
      </c>
      <c r="V1105">
        <v>0.55000000000000004</v>
      </c>
      <c r="W1105">
        <v>12</v>
      </c>
      <c r="X1105">
        <v>20</v>
      </c>
      <c r="Y1105">
        <v>4</v>
      </c>
    </row>
    <row r="1106" spans="1:25" ht="60" customHeight="1" x14ac:dyDescent="0.25">
      <c r="A1106"/>
      <c r="B1106" t="s">
        <v>621</v>
      </c>
      <c r="C1106" t="s">
        <v>5</v>
      </c>
      <c r="D1106" t="s">
        <v>618</v>
      </c>
      <c r="E1106" t="s">
        <v>2555</v>
      </c>
      <c r="F1106" t="s">
        <v>2367</v>
      </c>
      <c r="G1106" t="s">
        <v>620</v>
      </c>
      <c r="H1106" s="11">
        <v>212</v>
      </c>
      <c r="I1106" s="48">
        <f>H1106*(1-IFERROR(VLOOKUP(G1106,Rabat!$C$9:$D$43,2,0),0))</f>
        <v>212</v>
      </c>
      <c r="J1106" t="s">
        <v>1815</v>
      </c>
      <c r="K1106" t="s">
        <v>2440</v>
      </c>
      <c r="L1106" t="s">
        <v>1813</v>
      </c>
      <c r="M1106">
        <v>1</v>
      </c>
      <c r="N1106"/>
      <c r="O1106" t="s">
        <v>1818</v>
      </c>
      <c r="P1106" s="12" t="str">
        <f>HYPERLINK("https://b2b.kobi.pl/pl/product/10727,zasilacz-desktop-12v-120w-10-0a?currency=PLN")</f>
        <v>https://b2b.kobi.pl/pl/product/10727,zasilacz-desktop-12v-120w-10-0a?currency=PLN</v>
      </c>
      <c r="Q1106" t="s">
        <v>14</v>
      </c>
      <c r="R1106"/>
      <c r="S1106" t="s">
        <v>2572</v>
      </c>
      <c r="T1106">
        <v>0</v>
      </c>
      <c r="U1106">
        <v>0.52</v>
      </c>
      <c r="V1106">
        <v>0.55000000000000004</v>
      </c>
      <c r="W1106">
        <v>11.5</v>
      </c>
      <c r="X1106">
        <v>20.5</v>
      </c>
      <c r="Y1106">
        <v>5.5</v>
      </c>
    </row>
    <row r="1107" spans="1:25" ht="60" customHeight="1" x14ac:dyDescent="0.25">
      <c r="A1107"/>
      <c r="B1107" t="s">
        <v>621</v>
      </c>
      <c r="C1107" t="s">
        <v>5</v>
      </c>
      <c r="D1107" t="s">
        <v>618</v>
      </c>
      <c r="E1107" t="s">
        <v>2554</v>
      </c>
      <c r="F1107" t="s">
        <v>2366</v>
      </c>
      <c r="G1107" t="s">
        <v>620</v>
      </c>
      <c r="H1107" s="11">
        <v>57</v>
      </c>
      <c r="I1107" s="48">
        <f>H1107*(1-IFERROR(VLOOKUP(G1107,Rabat!$C$9:$D$43,2,0),0))</f>
        <v>57</v>
      </c>
      <c r="J1107" t="s">
        <v>1815</v>
      </c>
      <c r="K1107" t="s">
        <v>2439</v>
      </c>
      <c r="L1107" t="s">
        <v>1813</v>
      </c>
      <c r="M1107">
        <v>1</v>
      </c>
      <c r="N1107"/>
      <c r="O1107" t="s">
        <v>1818</v>
      </c>
      <c r="P1107" s="12" t="str">
        <f>HYPERLINK("https://b2b.kobi.pl/pl/product/10746,zasilacz-desktop-12v-30w-2-5a?currency=PLN")</f>
        <v>https://b2b.kobi.pl/pl/product/10746,zasilacz-desktop-12v-30w-2-5a?currency=PLN</v>
      </c>
      <c r="Q1107" t="s">
        <v>14</v>
      </c>
      <c r="R1107"/>
      <c r="S1107" t="s">
        <v>2572</v>
      </c>
      <c r="T1107">
        <v>0</v>
      </c>
      <c r="U1107">
        <v>0.18</v>
      </c>
      <c r="V1107">
        <v>0.19600000000000001</v>
      </c>
      <c r="W1107">
        <v>11</v>
      </c>
      <c r="X1107">
        <v>6</v>
      </c>
      <c r="Y1107">
        <v>6</v>
      </c>
    </row>
    <row r="1108" spans="1:25" ht="60" customHeight="1" x14ac:dyDescent="0.25">
      <c r="A1108"/>
      <c r="B1108" t="s">
        <v>621</v>
      </c>
      <c r="C1108" t="s">
        <v>5</v>
      </c>
      <c r="D1108" t="s">
        <v>618</v>
      </c>
      <c r="E1108" t="s">
        <v>2491</v>
      </c>
      <c r="F1108" t="s">
        <v>2368</v>
      </c>
      <c r="G1108" t="s">
        <v>620</v>
      </c>
      <c r="H1108" s="11">
        <v>58.5</v>
      </c>
      <c r="I1108" s="48">
        <f>H1108*(1-IFERROR(VLOOKUP(G1108,Rabat!$C$9:$D$43,2,0),0))</f>
        <v>58.5</v>
      </c>
      <c r="J1108" t="s">
        <v>1815</v>
      </c>
      <c r="K1108" t="s">
        <v>2441</v>
      </c>
      <c r="L1108" t="s">
        <v>1813</v>
      </c>
      <c r="M1108">
        <v>1</v>
      </c>
      <c r="N1108"/>
      <c r="O1108" t="s">
        <v>1818</v>
      </c>
      <c r="P1108" s="12" t="str">
        <f>HYPERLINK("https://b2b.kobi.pl/pl/product/10751,zasilacz-hermetyczny-ip67-12v-10w-0-83a?currency=PLN")</f>
        <v>https://b2b.kobi.pl/pl/product/10751,zasilacz-hermetyczny-ip67-12v-10w-0-83a?currency=PLN</v>
      </c>
      <c r="Q1108" t="s">
        <v>14</v>
      </c>
      <c r="R1108"/>
      <c r="S1108" t="s">
        <v>2572</v>
      </c>
      <c r="T1108">
        <v>0</v>
      </c>
      <c r="U1108">
        <v>0.11</v>
      </c>
      <c r="V1108">
        <v>0.12</v>
      </c>
      <c r="W1108">
        <v>7.7</v>
      </c>
      <c r="X1108">
        <v>7.7</v>
      </c>
      <c r="Y1108">
        <v>2.7</v>
      </c>
    </row>
    <row r="1109" spans="1:25" ht="60" customHeight="1" x14ac:dyDescent="0.25">
      <c r="A1109"/>
      <c r="B1109" t="s">
        <v>621</v>
      </c>
      <c r="C1109" t="s">
        <v>5</v>
      </c>
      <c r="D1109" t="s">
        <v>618</v>
      </c>
      <c r="E1109" t="s">
        <v>2656</v>
      </c>
      <c r="F1109" t="s">
        <v>2369</v>
      </c>
      <c r="G1109" t="s">
        <v>620</v>
      </c>
      <c r="H1109" s="11">
        <v>63</v>
      </c>
      <c r="I1109" s="48">
        <f>H1109*(1-IFERROR(VLOOKUP(G1109,Rabat!$C$9:$D$43,2,0),0))</f>
        <v>63</v>
      </c>
      <c r="J1109" t="s">
        <v>1815</v>
      </c>
      <c r="K1109" t="s">
        <v>2442</v>
      </c>
      <c r="L1109" t="s">
        <v>1813</v>
      </c>
      <c r="M1109">
        <v>1</v>
      </c>
      <c r="N1109"/>
      <c r="O1109" t="s">
        <v>1818</v>
      </c>
      <c r="P1109" s="12" t="str">
        <f>HYPERLINK("https://b2b.kobi.pl/pl/product/10721,zasilacz-instalacyjn-12v-20w-1-67a-ip67?currency=PLN")</f>
        <v>https://b2b.kobi.pl/pl/product/10721,zasilacz-instalacyjn-12v-20w-1-67a-ip67?currency=PLN</v>
      </c>
      <c r="Q1109" t="s">
        <v>14</v>
      </c>
      <c r="R1109"/>
      <c r="S1109" t="s">
        <v>2572</v>
      </c>
      <c r="T1109">
        <v>0</v>
      </c>
      <c r="U1109">
        <v>0.12</v>
      </c>
      <c r="V1109">
        <v>0.20499999999999999</v>
      </c>
      <c r="W1109">
        <v>3.5</v>
      </c>
      <c r="X1109">
        <v>24</v>
      </c>
      <c r="Y1109">
        <v>3.5</v>
      </c>
    </row>
    <row r="1110" spans="1:25" ht="60" customHeight="1" x14ac:dyDescent="0.25">
      <c r="A1110"/>
      <c r="B1110" t="s">
        <v>621</v>
      </c>
      <c r="C1110" t="s">
        <v>5</v>
      </c>
      <c r="D1110" t="s">
        <v>618</v>
      </c>
      <c r="E1110" t="s">
        <v>2655</v>
      </c>
      <c r="F1110" t="s">
        <v>2370</v>
      </c>
      <c r="G1110" t="s">
        <v>620</v>
      </c>
      <c r="H1110" s="11">
        <v>77</v>
      </c>
      <c r="I1110" s="48">
        <f>H1110*(1-IFERROR(VLOOKUP(G1110,Rabat!$C$9:$D$43,2,0),0))</f>
        <v>77</v>
      </c>
      <c r="J1110" t="s">
        <v>1815</v>
      </c>
      <c r="K1110" t="s">
        <v>2443</v>
      </c>
      <c r="L1110" t="s">
        <v>1813</v>
      </c>
      <c r="M1110">
        <v>1</v>
      </c>
      <c r="N1110"/>
      <c r="O1110" t="s">
        <v>1818</v>
      </c>
      <c r="P1110" s="12" t="str">
        <f>HYPERLINK("https://b2b.kobi.pl/pl/product/10719,zasilacz-instalacyjn-12v-30w-2-5a-ip67?currency=PLN")</f>
        <v>https://b2b.kobi.pl/pl/product/10719,zasilacz-instalacyjn-12v-30w-2-5a-ip67?currency=PLN</v>
      </c>
      <c r="Q1110" t="s">
        <v>14</v>
      </c>
      <c r="R1110"/>
      <c r="S1110" t="s">
        <v>2572</v>
      </c>
      <c r="T1110">
        <v>0</v>
      </c>
      <c r="U1110">
        <v>0.14000000000000001</v>
      </c>
      <c r="V1110">
        <v>0.14699999999999999</v>
      </c>
      <c r="W1110">
        <v>4</v>
      </c>
      <c r="X1110">
        <v>3.5</v>
      </c>
      <c r="Y1110">
        <v>24</v>
      </c>
    </row>
    <row r="1111" spans="1:25" ht="60" customHeight="1" x14ac:dyDescent="0.25">
      <c r="A1111"/>
      <c r="B1111" t="s">
        <v>621</v>
      </c>
      <c r="C1111" t="s">
        <v>5</v>
      </c>
      <c r="D1111" t="s">
        <v>618</v>
      </c>
      <c r="E1111" t="s">
        <v>2654</v>
      </c>
      <c r="F1111" t="s">
        <v>2371</v>
      </c>
      <c r="G1111" t="s">
        <v>620</v>
      </c>
      <c r="H1111" s="11">
        <v>110.5</v>
      </c>
      <c r="I1111" s="48">
        <f>H1111*(1-IFERROR(VLOOKUP(G1111,Rabat!$C$9:$D$43,2,0),0))</f>
        <v>110.5</v>
      </c>
      <c r="J1111" t="s">
        <v>1815</v>
      </c>
      <c r="K1111" t="s">
        <v>2444</v>
      </c>
      <c r="L1111" t="s">
        <v>1813</v>
      </c>
      <c r="M1111">
        <v>1</v>
      </c>
      <c r="N1111"/>
      <c r="O1111" t="s">
        <v>1818</v>
      </c>
      <c r="P1111" s="12" t="str">
        <f>HYPERLINK("https://b2b.kobi.pl/pl/product/10714,zasilacz-instalacyjn-12v-50w-4-16a-ip67?currency=PLN")</f>
        <v>https://b2b.kobi.pl/pl/product/10714,zasilacz-instalacyjn-12v-50w-4-16a-ip67?currency=PLN</v>
      </c>
      <c r="Q1111" t="s">
        <v>14</v>
      </c>
      <c r="R1111"/>
      <c r="S1111" t="s">
        <v>2572</v>
      </c>
      <c r="T1111">
        <v>0</v>
      </c>
      <c r="U1111">
        <v>0.26</v>
      </c>
      <c r="V1111">
        <v>0.27700000000000002</v>
      </c>
      <c r="W1111">
        <v>4</v>
      </c>
      <c r="X1111">
        <v>24</v>
      </c>
      <c r="Y1111">
        <v>3</v>
      </c>
    </row>
    <row r="1112" spans="1:25" ht="60" customHeight="1" x14ac:dyDescent="0.25">
      <c r="A1112"/>
      <c r="B1112" t="s">
        <v>621</v>
      </c>
      <c r="C1112" t="s">
        <v>5</v>
      </c>
      <c r="D1112" t="s">
        <v>618</v>
      </c>
      <c r="E1112" t="s">
        <v>2556</v>
      </c>
      <c r="F1112" t="s">
        <v>2372</v>
      </c>
      <c r="G1112" t="s">
        <v>620</v>
      </c>
      <c r="H1112" s="11">
        <v>184.5</v>
      </c>
      <c r="I1112" s="48">
        <f>H1112*(1-IFERROR(VLOOKUP(G1112,Rabat!$C$9:$D$43,2,0),0))</f>
        <v>184.5</v>
      </c>
      <c r="J1112" t="s">
        <v>1815</v>
      </c>
      <c r="K1112" t="s">
        <v>2445</v>
      </c>
      <c r="L1112" t="s">
        <v>1813</v>
      </c>
      <c r="M1112">
        <v>1</v>
      </c>
      <c r="N1112"/>
      <c r="O1112" t="s">
        <v>1818</v>
      </c>
      <c r="P1112" s="12" t="str">
        <f>HYPERLINK("https://b2b.kobi.pl/pl/product/10715,zasilacz-instalacyjn-12v-80w-6-67a-ip67?currency=PLN")</f>
        <v>https://b2b.kobi.pl/pl/product/10715,zasilacz-instalacyjn-12v-80w-6-67a-ip67?currency=PLN</v>
      </c>
      <c r="Q1112" t="s">
        <v>14</v>
      </c>
      <c r="R1112"/>
      <c r="S1112" t="s">
        <v>2572</v>
      </c>
      <c r="T1112">
        <v>0</v>
      </c>
      <c r="U1112">
        <v>0.81</v>
      </c>
      <c r="V1112">
        <v>0.85</v>
      </c>
      <c r="W1112">
        <v>4.5</v>
      </c>
      <c r="X1112">
        <v>20</v>
      </c>
      <c r="Y1112">
        <v>7.5</v>
      </c>
    </row>
    <row r="1113" spans="1:25" ht="60" customHeight="1" x14ac:dyDescent="0.25">
      <c r="A1113"/>
      <c r="B1113" t="s">
        <v>621</v>
      </c>
      <c r="C1113" t="s">
        <v>5</v>
      </c>
      <c r="D1113" t="s">
        <v>618</v>
      </c>
      <c r="E1113" t="s">
        <v>2564</v>
      </c>
      <c r="F1113" t="s">
        <v>2388</v>
      </c>
      <c r="G1113" t="s">
        <v>620</v>
      </c>
      <c r="H1113" s="11">
        <v>211</v>
      </c>
      <c r="I1113" s="48">
        <f>H1113*(1-IFERROR(VLOOKUP(G1113,Rabat!$C$9:$D$43,2,0),0))</f>
        <v>211</v>
      </c>
      <c r="J1113" t="s">
        <v>1815</v>
      </c>
      <c r="K1113" t="s">
        <v>2459</v>
      </c>
      <c r="L1113" t="s">
        <v>1813</v>
      </c>
      <c r="M1113">
        <v>1</v>
      </c>
      <c r="N1113"/>
      <c r="O1113" t="s">
        <v>1818</v>
      </c>
      <c r="P1113" s="12" t="str">
        <f>HYPERLINK("https://b2b.kobi.pl/pl/product/10737,modul-zasilacza-wodoodporny-12v-100w-8-3a-ip67?currency=PLN")</f>
        <v>https://b2b.kobi.pl/pl/product/10737,modul-zasilacza-wodoodporny-12v-100w-8-3a-ip67?currency=PLN</v>
      </c>
      <c r="Q1113" t="s">
        <v>14</v>
      </c>
      <c r="R1113"/>
      <c r="S1113" t="s">
        <v>2572</v>
      </c>
      <c r="T1113">
        <v>0</v>
      </c>
      <c r="U1113">
        <v>0.36199999999999999</v>
      </c>
      <c r="V1113">
        <v>0.89</v>
      </c>
      <c r="W1113">
        <v>20.5</v>
      </c>
      <c r="X1113">
        <v>7.9</v>
      </c>
      <c r="Y1113">
        <v>2.6</v>
      </c>
    </row>
    <row r="1114" spans="1:25" ht="60" customHeight="1" x14ac:dyDescent="0.25">
      <c r="A1114"/>
      <c r="B1114" t="s">
        <v>621</v>
      </c>
      <c r="C1114" t="s">
        <v>5</v>
      </c>
      <c r="D1114" t="s">
        <v>618</v>
      </c>
      <c r="E1114" t="s">
        <v>2373</v>
      </c>
      <c r="F1114" t="s">
        <v>2374</v>
      </c>
      <c r="G1114" t="s">
        <v>620</v>
      </c>
      <c r="H1114" s="11">
        <v>270</v>
      </c>
      <c r="I1114" s="48">
        <f>H1114*(1-IFERROR(VLOOKUP(G1114,Rabat!$C$9:$D$43,2,0),0))</f>
        <v>270</v>
      </c>
      <c r="J1114" t="s">
        <v>1815</v>
      </c>
      <c r="K1114" t="s">
        <v>2446</v>
      </c>
      <c r="L1114" t="s">
        <v>1813</v>
      </c>
      <c r="M1114"/>
      <c r="N1114"/>
      <c r="O1114" t="s">
        <v>1818</v>
      </c>
      <c r="P1114" s="12" t="str">
        <f>HYPERLINK("https://b2b.kobi.pl/pl/product/10716,zasilacz-instalacyjn-12v-120w-10-0a-ip67?currency=PLN")</f>
        <v>https://b2b.kobi.pl/pl/product/10716,zasilacz-instalacyjn-12v-120w-10-0a-ip67?currency=PLN</v>
      </c>
      <c r="Q1114" t="s">
        <v>14</v>
      </c>
      <c r="R1114"/>
      <c r="S1114" t="s">
        <v>2572</v>
      </c>
      <c r="T1114">
        <v>0</v>
      </c>
      <c r="U1114">
        <v>0.83399999999999996</v>
      </c>
      <c r="V1114">
        <v>1.2170000000000001</v>
      </c>
      <c r="W1114">
        <v>6</v>
      </c>
      <c r="X1114">
        <v>25</v>
      </c>
      <c r="Y1114">
        <v>8</v>
      </c>
    </row>
    <row r="1115" spans="1:25" ht="60" customHeight="1" x14ac:dyDescent="0.25">
      <c r="A1115"/>
      <c r="B1115" t="s">
        <v>621</v>
      </c>
      <c r="C1115" t="s">
        <v>5</v>
      </c>
      <c r="D1115" t="s">
        <v>618</v>
      </c>
      <c r="E1115" t="s">
        <v>2557</v>
      </c>
      <c r="F1115" t="s">
        <v>2375</v>
      </c>
      <c r="G1115" t="s">
        <v>620</v>
      </c>
      <c r="H1115" s="11">
        <v>338</v>
      </c>
      <c r="I1115" s="48">
        <f>H1115*(1-IFERROR(VLOOKUP(G1115,Rabat!$C$9:$D$43,2,0),0))</f>
        <v>338</v>
      </c>
      <c r="J1115" t="s">
        <v>1815</v>
      </c>
      <c r="K1115" t="s">
        <v>2447</v>
      </c>
      <c r="L1115" t="s">
        <v>1813</v>
      </c>
      <c r="M1115">
        <v>1</v>
      </c>
      <c r="N1115"/>
      <c r="O1115" t="s">
        <v>1818</v>
      </c>
      <c r="P1115" s="12" t="str">
        <f>HYPERLINK("https://b2b.kobi.pl/pl/product/10718,zasilacz-instalacyjn-12v-150w-12-5a-ip67?currency=PLN")</f>
        <v>https://b2b.kobi.pl/pl/product/10718,zasilacz-instalacyjn-12v-150w-12-5a-ip67?currency=PLN</v>
      </c>
      <c r="Q1115" t="s">
        <v>14</v>
      </c>
      <c r="R1115"/>
      <c r="S1115" t="s">
        <v>2572</v>
      </c>
      <c r="T1115">
        <v>0</v>
      </c>
      <c r="U1115">
        <v>0.63</v>
      </c>
      <c r="V1115">
        <v>0.751</v>
      </c>
      <c r="W1115">
        <v>4</v>
      </c>
      <c r="X1115">
        <v>3.5</v>
      </c>
      <c r="Y1115">
        <v>27</v>
      </c>
    </row>
    <row r="1116" spans="1:25" ht="60" customHeight="1" x14ac:dyDescent="0.25">
      <c r="A1116"/>
      <c r="B1116" t="s">
        <v>621</v>
      </c>
      <c r="C1116" t="s">
        <v>5</v>
      </c>
      <c r="D1116" t="s">
        <v>618</v>
      </c>
      <c r="E1116" t="s">
        <v>2558</v>
      </c>
      <c r="F1116" t="s">
        <v>2376</v>
      </c>
      <c r="G1116" t="s">
        <v>620</v>
      </c>
      <c r="H1116" s="11">
        <v>399</v>
      </c>
      <c r="I1116" s="48">
        <f>H1116*(1-IFERROR(VLOOKUP(G1116,Rabat!$C$9:$D$43,2,0),0))</f>
        <v>399</v>
      </c>
      <c r="J1116" t="s">
        <v>1815</v>
      </c>
      <c r="K1116" t="s">
        <v>2448</v>
      </c>
      <c r="L1116" t="s">
        <v>1813</v>
      </c>
      <c r="M1116">
        <v>1</v>
      </c>
      <c r="N1116"/>
      <c r="O1116" t="s">
        <v>1818</v>
      </c>
      <c r="P1116" s="12" t="str">
        <f>HYPERLINK("https://b2b.kobi.pl/pl/product/9756,zasilacz-instalacyjn-12v-200w-16-7a-ip67?currency=PLN")</f>
        <v>https://b2b.kobi.pl/pl/product/9756,zasilacz-instalacyjn-12v-200w-16-7a-ip67?currency=PLN</v>
      </c>
      <c r="Q1116" t="s">
        <v>14</v>
      </c>
      <c r="R1116"/>
      <c r="S1116" t="s">
        <v>2572</v>
      </c>
      <c r="T1116">
        <v>0</v>
      </c>
      <c r="U1116">
        <v>0.69</v>
      </c>
      <c r="V1116">
        <v>0.73299999999999998</v>
      </c>
      <c r="W1116">
        <v>27</v>
      </c>
      <c r="X1116">
        <v>8</v>
      </c>
      <c r="Y1116">
        <v>3</v>
      </c>
    </row>
    <row r="1117" spans="1:25" ht="60" customHeight="1" x14ac:dyDescent="0.25">
      <c r="A1117"/>
      <c r="B1117" t="s">
        <v>621</v>
      </c>
      <c r="C1117" t="s">
        <v>5</v>
      </c>
      <c r="D1117" t="s">
        <v>618</v>
      </c>
      <c r="E1117" t="s">
        <v>2559</v>
      </c>
      <c r="F1117" t="s">
        <v>2377</v>
      </c>
      <c r="G1117" t="s">
        <v>620</v>
      </c>
      <c r="H1117" s="11">
        <v>137</v>
      </c>
      <c r="I1117" s="48">
        <f>H1117*(1-IFERROR(VLOOKUP(G1117,Rabat!$C$9:$D$43,2,0),0))</f>
        <v>137</v>
      </c>
      <c r="J1117" t="s">
        <v>1815</v>
      </c>
      <c r="K1117" t="s">
        <v>2449</v>
      </c>
      <c r="L1117" t="s">
        <v>1813</v>
      </c>
      <c r="M1117">
        <v>1</v>
      </c>
      <c r="N1117"/>
      <c r="O1117" t="s">
        <v>1818</v>
      </c>
      <c r="P1117" s="12" t="str">
        <f>HYPERLINK("https://b2b.kobi.pl/pl/product/10752,zasilacz-instalacyjny-12v-60w-5-0a-ip67?currency=PLN")</f>
        <v>https://b2b.kobi.pl/pl/product/10752,zasilacz-instalacyjny-12v-60w-5-0a-ip67?currency=PLN</v>
      </c>
      <c r="Q1117" t="s">
        <v>14</v>
      </c>
      <c r="R1117"/>
      <c r="S1117" t="s">
        <v>2572</v>
      </c>
      <c r="T1117">
        <v>0</v>
      </c>
      <c r="U1117">
        <v>0.25</v>
      </c>
      <c r="V1117">
        <v>0.27</v>
      </c>
      <c r="W1117">
        <v>7</v>
      </c>
      <c r="X1117">
        <v>20</v>
      </c>
      <c r="Y1117">
        <v>5</v>
      </c>
    </row>
    <row r="1118" spans="1:25" ht="60" customHeight="1" x14ac:dyDescent="0.25">
      <c r="A1118"/>
      <c r="B1118" t="s">
        <v>621</v>
      </c>
      <c r="C1118" t="s">
        <v>5</v>
      </c>
      <c r="D1118" t="s">
        <v>618</v>
      </c>
      <c r="E1118" t="s">
        <v>2660</v>
      </c>
      <c r="F1118" t="s">
        <v>2378</v>
      </c>
      <c r="G1118" t="s">
        <v>620</v>
      </c>
      <c r="H1118" s="11">
        <v>44.5</v>
      </c>
      <c r="I1118" s="48">
        <f>H1118*(1-IFERROR(VLOOKUP(G1118,Rabat!$C$9:$D$43,2,0),0))</f>
        <v>44.5</v>
      </c>
      <c r="J1118" t="s">
        <v>1815</v>
      </c>
      <c r="K1118" t="s">
        <v>2450</v>
      </c>
      <c r="L1118" t="s">
        <v>1813</v>
      </c>
      <c r="M1118">
        <v>1</v>
      </c>
      <c r="N1118"/>
      <c r="O1118" t="s">
        <v>1818</v>
      </c>
      <c r="P1118" s="12" t="str">
        <f>HYPERLINK("https://b2b.kobi.pl/pl/product/10734,zasilacz-montazowy-12v-6w-0-5a?currency=PLN")</f>
        <v>https://b2b.kobi.pl/pl/product/10734,zasilacz-montazowy-12v-6w-0-5a?currency=PLN</v>
      </c>
      <c r="Q1118" t="s">
        <v>14</v>
      </c>
      <c r="R1118"/>
      <c r="S1118" t="s">
        <v>2572</v>
      </c>
      <c r="T1118">
        <v>0</v>
      </c>
      <c r="U1118">
        <v>0.03</v>
      </c>
      <c r="V1118">
        <v>3.4000000000000002E-2</v>
      </c>
      <c r="W1118">
        <v>2.2999999999999998</v>
      </c>
      <c r="X1118">
        <v>4.5</v>
      </c>
      <c r="Y1118">
        <v>4.5</v>
      </c>
    </row>
    <row r="1119" spans="1:25" ht="60" customHeight="1" x14ac:dyDescent="0.25">
      <c r="A1119"/>
      <c r="B1119" t="s">
        <v>621</v>
      </c>
      <c r="C1119" t="s">
        <v>5</v>
      </c>
      <c r="D1119" t="s">
        <v>618</v>
      </c>
      <c r="E1119" t="s">
        <v>2657</v>
      </c>
      <c r="F1119" t="s">
        <v>2379</v>
      </c>
      <c r="G1119" t="s">
        <v>620</v>
      </c>
      <c r="H1119" s="11">
        <v>54</v>
      </c>
      <c r="I1119" s="48">
        <f>H1119*(1-IFERROR(VLOOKUP(G1119,Rabat!$C$9:$D$43,2,0),0))</f>
        <v>54</v>
      </c>
      <c r="J1119" t="s">
        <v>1815</v>
      </c>
      <c r="K1119" t="s">
        <v>2451</v>
      </c>
      <c r="L1119" t="s">
        <v>1813</v>
      </c>
      <c r="M1119">
        <v>1</v>
      </c>
      <c r="N1119"/>
      <c r="O1119" t="s">
        <v>1818</v>
      </c>
      <c r="P1119" s="12" t="str">
        <f>HYPERLINK("https://b2b.kobi.pl/pl/product/10730,zasilacz-montazowy-12v-25w-2-1a?currency=PLN")</f>
        <v>https://b2b.kobi.pl/pl/product/10730,zasilacz-montazowy-12v-25w-2-1a?currency=PLN</v>
      </c>
      <c r="Q1119" t="s">
        <v>14</v>
      </c>
      <c r="R1119"/>
      <c r="S1119" t="s">
        <v>2572</v>
      </c>
      <c r="T1119">
        <v>0</v>
      </c>
      <c r="U1119">
        <v>0.1</v>
      </c>
      <c r="V1119">
        <v>0.12</v>
      </c>
      <c r="W1119">
        <v>9.4</v>
      </c>
      <c r="X1119">
        <v>6.4</v>
      </c>
      <c r="Y1119">
        <v>4</v>
      </c>
    </row>
    <row r="1120" spans="1:25" ht="60" customHeight="1" x14ac:dyDescent="0.25">
      <c r="A1120"/>
      <c r="B1120" t="s">
        <v>621</v>
      </c>
      <c r="C1120" t="s">
        <v>5</v>
      </c>
      <c r="D1120" t="s">
        <v>618</v>
      </c>
      <c r="E1120" t="s">
        <v>2658</v>
      </c>
      <c r="F1120" t="s">
        <v>2380</v>
      </c>
      <c r="G1120" t="s">
        <v>620</v>
      </c>
      <c r="H1120" s="11">
        <v>57</v>
      </c>
      <c r="I1120" s="48">
        <f>H1120*(1-IFERROR(VLOOKUP(G1120,Rabat!$C$9:$D$43,2,0),0))</f>
        <v>57</v>
      </c>
      <c r="J1120" t="s">
        <v>1815</v>
      </c>
      <c r="K1120" t="s">
        <v>2452</v>
      </c>
      <c r="L1120" t="s">
        <v>1813</v>
      </c>
      <c r="M1120">
        <v>1</v>
      </c>
      <c r="N1120"/>
      <c r="O1120" t="s">
        <v>1818</v>
      </c>
      <c r="P1120" s="12" t="str">
        <f>HYPERLINK("https://b2b.kobi.pl/pl/product/10732,zasilacz-montazowy-12v-35w-2-9a?currency=PLN")</f>
        <v>https://b2b.kobi.pl/pl/product/10732,zasilacz-montazowy-12v-35w-2-9a?currency=PLN</v>
      </c>
      <c r="Q1120" t="s">
        <v>14</v>
      </c>
      <c r="R1120"/>
      <c r="S1120" t="s">
        <v>2572</v>
      </c>
      <c r="T1120">
        <v>0</v>
      </c>
      <c r="U1120">
        <v>0.104</v>
      </c>
      <c r="V1120">
        <v>0.11899999999999999</v>
      </c>
      <c r="W1120">
        <v>6.4</v>
      </c>
      <c r="X1120">
        <v>9.4</v>
      </c>
      <c r="Y1120">
        <v>4</v>
      </c>
    </row>
    <row r="1121" spans="1:25" ht="60" customHeight="1" x14ac:dyDescent="0.25">
      <c r="A1121"/>
      <c r="B1121" t="s">
        <v>621</v>
      </c>
      <c r="C1121" t="s">
        <v>5</v>
      </c>
      <c r="D1121" t="s">
        <v>618</v>
      </c>
      <c r="E1121" t="s">
        <v>2659</v>
      </c>
      <c r="F1121" t="s">
        <v>2381</v>
      </c>
      <c r="G1121" t="s">
        <v>620</v>
      </c>
      <c r="H1121" s="11">
        <v>68</v>
      </c>
      <c r="I1121" s="48">
        <f>H1121*(1-IFERROR(VLOOKUP(G1121,Rabat!$C$9:$D$43,2,0),0))</f>
        <v>68</v>
      </c>
      <c r="J1121" t="s">
        <v>1815</v>
      </c>
      <c r="K1121" t="s">
        <v>2453</v>
      </c>
      <c r="L1121" t="s">
        <v>1813</v>
      </c>
      <c r="M1121">
        <v>1</v>
      </c>
      <c r="N1121"/>
      <c r="O1121" t="s">
        <v>1818</v>
      </c>
      <c r="P1121" s="12" t="str">
        <f>HYPERLINK("https://b2b.kobi.pl/pl/product/10733,zasilacz-montazowy-12v-60w-5-0a?currency=PLN")</f>
        <v>https://b2b.kobi.pl/pl/product/10733,zasilacz-montazowy-12v-60w-5-0a?currency=PLN</v>
      </c>
      <c r="Q1121" t="s">
        <v>14</v>
      </c>
      <c r="R1121"/>
      <c r="S1121" t="s">
        <v>2572</v>
      </c>
      <c r="T1121">
        <v>0</v>
      </c>
      <c r="U1121">
        <v>0.12</v>
      </c>
      <c r="V1121">
        <v>0.14299999999999999</v>
      </c>
      <c r="W1121">
        <v>9</v>
      </c>
      <c r="X1121">
        <v>4</v>
      </c>
      <c r="Y1121">
        <v>6</v>
      </c>
    </row>
    <row r="1122" spans="1:25" ht="60" customHeight="1" x14ac:dyDescent="0.25">
      <c r="A1122"/>
      <c r="B1122" t="s">
        <v>621</v>
      </c>
      <c r="C1122" t="s">
        <v>5</v>
      </c>
      <c r="D1122" t="s">
        <v>618</v>
      </c>
      <c r="E1122" t="s">
        <v>2560</v>
      </c>
      <c r="F1122" t="s">
        <v>2382</v>
      </c>
      <c r="G1122" t="s">
        <v>620</v>
      </c>
      <c r="H1122" s="11">
        <v>125</v>
      </c>
      <c r="I1122" s="48">
        <f>H1122*(1-IFERROR(VLOOKUP(G1122,Rabat!$C$9:$D$43,2,0),0))</f>
        <v>125</v>
      </c>
      <c r="J1122" t="s">
        <v>1815</v>
      </c>
      <c r="K1122" t="s">
        <v>2454</v>
      </c>
      <c r="L1122" t="s">
        <v>1813</v>
      </c>
      <c r="M1122">
        <v>1</v>
      </c>
      <c r="N1122"/>
      <c r="O1122" t="s">
        <v>1818</v>
      </c>
      <c r="P1122" s="12" t="str">
        <f>HYPERLINK("https://b2b.kobi.pl/pl/product/10725,zasilacz-montazowy-12v-100w-8-3a?currency=PLN")</f>
        <v>https://b2b.kobi.pl/pl/product/10725,zasilacz-montazowy-12v-100w-8-3a?currency=PLN</v>
      </c>
      <c r="Q1122" t="s">
        <v>14</v>
      </c>
      <c r="R1122"/>
      <c r="S1122" t="s">
        <v>2572</v>
      </c>
      <c r="T1122">
        <v>0</v>
      </c>
      <c r="U1122">
        <v>0.182</v>
      </c>
      <c r="V1122">
        <v>0.20399999999999999</v>
      </c>
      <c r="W1122">
        <v>4.2</v>
      </c>
      <c r="X1122">
        <v>12.1</v>
      </c>
      <c r="Y1122">
        <v>8.1</v>
      </c>
    </row>
    <row r="1123" spans="1:25" ht="60" customHeight="1" x14ac:dyDescent="0.25">
      <c r="A1123"/>
      <c r="B1123" t="s">
        <v>621</v>
      </c>
      <c r="C1123" t="s">
        <v>5</v>
      </c>
      <c r="D1123" t="s">
        <v>618</v>
      </c>
      <c r="E1123" t="s">
        <v>2383</v>
      </c>
      <c r="F1123" t="s">
        <v>2384</v>
      </c>
      <c r="G1123" t="s">
        <v>620</v>
      </c>
      <c r="H1123" s="11">
        <v>155</v>
      </c>
      <c r="I1123" s="48">
        <f>H1123*(1-IFERROR(VLOOKUP(G1123,Rabat!$C$9:$D$43,2,0),0))</f>
        <v>155</v>
      </c>
      <c r="J1123" t="s">
        <v>1815</v>
      </c>
      <c r="K1123" t="s">
        <v>2455</v>
      </c>
      <c r="L1123" t="s">
        <v>1813</v>
      </c>
      <c r="M1123"/>
      <c r="N1123"/>
      <c r="O1123" t="s">
        <v>1818</v>
      </c>
      <c r="P1123" s="12" t="str">
        <f>HYPERLINK("https://b2b.kobi.pl/pl/product/10728,zasilacz-montazowy-12v-150w-12-5a?currency=PLN")</f>
        <v>https://b2b.kobi.pl/pl/product/10728,zasilacz-montazowy-12v-150w-12-5a?currency=PLN</v>
      </c>
      <c r="Q1123" t="s">
        <v>14</v>
      </c>
      <c r="R1123"/>
      <c r="S1123" t="s">
        <v>2572</v>
      </c>
      <c r="T1123">
        <v>0</v>
      </c>
      <c r="U1123">
        <v>0.30199999999999999</v>
      </c>
      <c r="V1123">
        <v>0.33100000000000002</v>
      </c>
      <c r="W1123">
        <v>13.9</v>
      </c>
      <c r="X1123">
        <v>10.4</v>
      </c>
      <c r="Y1123">
        <v>4.4000000000000004</v>
      </c>
    </row>
    <row r="1124" spans="1:25" ht="60" customHeight="1" x14ac:dyDescent="0.25">
      <c r="A1124"/>
      <c r="B1124" t="s">
        <v>621</v>
      </c>
      <c r="C1124" t="s">
        <v>5</v>
      </c>
      <c r="D1124" t="s">
        <v>618</v>
      </c>
      <c r="E1124" t="s">
        <v>2561</v>
      </c>
      <c r="F1124" t="s">
        <v>2385</v>
      </c>
      <c r="G1124" t="s">
        <v>620</v>
      </c>
      <c r="H1124" s="11">
        <v>179</v>
      </c>
      <c r="I1124" s="48">
        <f>H1124*(1-IFERROR(VLOOKUP(G1124,Rabat!$C$9:$D$43,2,0),0))</f>
        <v>179</v>
      </c>
      <c r="J1124" t="s">
        <v>1815</v>
      </c>
      <c r="K1124" t="s">
        <v>2456</v>
      </c>
      <c r="L1124" t="s">
        <v>1813</v>
      </c>
      <c r="M1124">
        <v>1</v>
      </c>
      <c r="N1124"/>
      <c r="O1124" t="s">
        <v>1818</v>
      </c>
      <c r="P1124" s="12" t="str">
        <f>HYPERLINK("https://b2b.kobi.pl/pl/product/10720,zasilacz-montazowy-12v-200w-16-6a?currency=PLN")</f>
        <v>https://b2b.kobi.pl/pl/product/10720,zasilacz-montazowy-12v-200w-16-6a?currency=PLN</v>
      </c>
      <c r="Q1124" t="s">
        <v>14</v>
      </c>
      <c r="R1124"/>
      <c r="S1124" t="s">
        <v>2572</v>
      </c>
      <c r="T1124">
        <v>0</v>
      </c>
      <c r="U1124">
        <v>0.46</v>
      </c>
      <c r="V1124">
        <v>0.5</v>
      </c>
      <c r="W1124">
        <v>5</v>
      </c>
      <c r="X1124">
        <v>8.5</v>
      </c>
      <c r="Y1124">
        <v>15</v>
      </c>
    </row>
    <row r="1125" spans="1:25" ht="60" customHeight="1" x14ac:dyDescent="0.25">
      <c r="A1125"/>
      <c r="B1125" t="s">
        <v>621</v>
      </c>
      <c r="C1125" t="s">
        <v>5</v>
      </c>
      <c r="D1125" t="s">
        <v>618</v>
      </c>
      <c r="E1125" t="s">
        <v>2659</v>
      </c>
      <c r="F1125" t="s">
        <v>4045</v>
      </c>
      <c r="G1125" t="s">
        <v>620</v>
      </c>
      <c r="H1125" s="11">
        <v>68</v>
      </c>
      <c r="I1125" s="48">
        <f>H1125*(1-IFERROR(VLOOKUP(G1125,Rabat!$C$9:$D$43,2,0),0))</f>
        <v>68</v>
      </c>
      <c r="J1125" t="s">
        <v>1815</v>
      </c>
      <c r="K1125" t="s">
        <v>4241</v>
      </c>
      <c r="L1125" t="s">
        <v>1813</v>
      </c>
      <c r="M1125">
        <v>1</v>
      </c>
      <c r="N1125"/>
      <c r="O1125" t="s">
        <v>1818</v>
      </c>
      <c r="P1125"/>
      <c r="Q1125" t="s">
        <v>14</v>
      </c>
      <c r="R1125"/>
      <c r="S1125" t="s">
        <v>2572</v>
      </c>
      <c r="T1125">
        <v>0</v>
      </c>
      <c r="U1125">
        <v>0.12</v>
      </c>
      <c r="V1125">
        <v>0.14299999999999999</v>
      </c>
      <c r="W1125">
        <v>9</v>
      </c>
      <c r="X1125">
        <v>4</v>
      </c>
      <c r="Y1125">
        <v>6</v>
      </c>
    </row>
    <row r="1126" spans="1:25" ht="60" customHeight="1" x14ac:dyDescent="0.25">
      <c r="A1126"/>
      <c r="B1126" t="s">
        <v>621</v>
      </c>
      <c r="C1126" t="s">
        <v>5</v>
      </c>
      <c r="D1126" t="s">
        <v>618</v>
      </c>
      <c r="E1126" t="s">
        <v>2560</v>
      </c>
      <c r="F1126" t="s">
        <v>4046</v>
      </c>
      <c r="G1126" t="s">
        <v>620</v>
      </c>
      <c r="H1126" s="11">
        <v>125</v>
      </c>
      <c r="I1126" s="48">
        <f>H1126*(1-IFERROR(VLOOKUP(G1126,Rabat!$C$9:$D$43,2,0),0))</f>
        <v>125</v>
      </c>
      <c r="J1126" t="s">
        <v>1815</v>
      </c>
      <c r="K1126" t="s">
        <v>4242</v>
      </c>
      <c r="L1126" t="s">
        <v>1813</v>
      </c>
      <c r="M1126">
        <v>1</v>
      </c>
      <c r="N1126"/>
      <c r="O1126" t="s">
        <v>1818</v>
      </c>
      <c r="P1126" s="12" t="str">
        <f>HYPERLINK("https://b2b.kobi.pl/pl/product/14050,modul-zasilacza-montazowy-12v-100w-8-3a?currency=PLN")</f>
        <v>https://b2b.kobi.pl/pl/product/14050,modul-zasilacza-montazowy-12v-100w-8-3a?currency=PLN</v>
      </c>
      <c r="Q1126" t="s">
        <v>14</v>
      </c>
      <c r="R1126"/>
      <c r="S1126" t="s">
        <v>2572</v>
      </c>
      <c r="T1126">
        <v>0</v>
      </c>
      <c r="U1126">
        <v>0.182</v>
      </c>
      <c r="V1126">
        <v>0.20399999999999999</v>
      </c>
      <c r="W1126">
        <v>4.2</v>
      </c>
      <c r="X1126">
        <v>12.1</v>
      </c>
      <c r="Y1126">
        <v>8.1</v>
      </c>
    </row>
    <row r="1127" spans="1:25" ht="60" customHeight="1" x14ac:dyDescent="0.25">
      <c r="A1127"/>
      <c r="B1127" t="s">
        <v>621</v>
      </c>
      <c r="C1127" t="s">
        <v>5</v>
      </c>
      <c r="D1127" t="s">
        <v>618</v>
      </c>
      <c r="E1127" t="s">
        <v>2561</v>
      </c>
      <c r="F1127" t="s">
        <v>3578</v>
      </c>
      <c r="G1127" t="s">
        <v>620</v>
      </c>
      <c r="H1127" s="11">
        <v>179</v>
      </c>
      <c r="I1127" s="48">
        <f>H1127*(1-IFERROR(VLOOKUP(G1127,Rabat!$C$9:$D$43,2,0),0))</f>
        <v>179</v>
      </c>
      <c r="J1127" t="s">
        <v>1815</v>
      </c>
      <c r="K1127" t="s">
        <v>3588</v>
      </c>
      <c r="L1127" t="s">
        <v>1813</v>
      </c>
      <c r="M1127">
        <v>1</v>
      </c>
      <c r="N1127"/>
      <c r="O1127" t="s">
        <v>1818</v>
      </c>
      <c r="P1127" s="12" t="str">
        <f>HYPERLINK("https://b2b.kobi.pl/pl/product/13559,modul-zasilacza-montazowy-12v-200w-16-6a?currency=PLN")</f>
        <v>https://b2b.kobi.pl/pl/product/13559,modul-zasilacza-montazowy-12v-200w-16-6a?currency=PLN</v>
      </c>
      <c r="Q1127" t="s">
        <v>14</v>
      </c>
      <c r="R1127"/>
      <c r="S1127" t="s">
        <v>2572</v>
      </c>
      <c r="T1127">
        <v>0</v>
      </c>
      <c r="U1127">
        <v>0.46</v>
      </c>
      <c r="V1127">
        <v>0.5</v>
      </c>
      <c r="W1127">
        <v>5</v>
      </c>
      <c r="X1127">
        <v>8.5</v>
      </c>
      <c r="Y1127">
        <v>15</v>
      </c>
    </row>
    <row r="1128" spans="1:25" ht="60" customHeight="1" x14ac:dyDescent="0.25">
      <c r="A1128"/>
      <c r="B1128" t="s">
        <v>621</v>
      </c>
      <c r="C1128" t="s">
        <v>5</v>
      </c>
      <c r="D1128" t="s">
        <v>618</v>
      </c>
      <c r="E1128" t="s">
        <v>2562</v>
      </c>
      <c r="F1128" t="s">
        <v>2386</v>
      </c>
      <c r="G1128" t="s">
        <v>620</v>
      </c>
      <c r="H1128" s="11">
        <v>210</v>
      </c>
      <c r="I1128" s="48">
        <f>H1128*(1-IFERROR(VLOOKUP(G1128,Rabat!$C$9:$D$43,2,0),0))</f>
        <v>210</v>
      </c>
      <c r="J1128" t="s">
        <v>1815</v>
      </c>
      <c r="K1128" t="s">
        <v>2457</v>
      </c>
      <c r="L1128" t="s">
        <v>1813</v>
      </c>
      <c r="M1128">
        <v>1</v>
      </c>
      <c r="N1128"/>
      <c r="O1128" t="s">
        <v>1818</v>
      </c>
      <c r="P1128" s="12" t="str">
        <f>HYPERLINK("https://b2b.kobi.pl/pl/product/10729,zasilacz-montazowy-12v-250w-20-8a?currency=PLN")</f>
        <v>https://b2b.kobi.pl/pl/product/10729,zasilacz-montazowy-12v-250w-20-8a?currency=PLN</v>
      </c>
      <c r="Q1128" t="s">
        <v>14</v>
      </c>
      <c r="R1128"/>
      <c r="S1128" t="s">
        <v>2572</v>
      </c>
      <c r="T1128">
        <v>0</v>
      </c>
      <c r="U1128">
        <v>0.46</v>
      </c>
      <c r="V1128">
        <v>0.51</v>
      </c>
      <c r="W1128">
        <v>16.7</v>
      </c>
      <c r="X1128">
        <v>10.4</v>
      </c>
      <c r="Y1128">
        <v>5.4</v>
      </c>
    </row>
    <row r="1129" spans="1:25" ht="60" customHeight="1" x14ac:dyDescent="0.25">
      <c r="A1129"/>
      <c r="B1129" t="s">
        <v>621</v>
      </c>
      <c r="C1129" t="s">
        <v>5</v>
      </c>
      <c r="D1129" t="s">
        <v>618</v>
      </c>
      <c r="E1129" t="s">
        <v>2563</v>
      </c>
      <c r="F1129" t="s">
        <v>2387</v>
      </c>
      <c r="G1129" t="s">
        <v>620</v>
      </c>
      <c r="H1129" s="11">
        <v>224</v>
      </c>
      <c r="I1129" s="48">
        <f>H1129*(1-IFERROR(VLOOKUP(G1129,Rabat!$C$9:$D$43,2,0),0))</f>
        <v>224</v>
      </c>
      <c r="J1129" t="s">
        <v>1815</v>
      </c>
      <c r="K1129" t="s">
        <v>2458</v>
      </c>
      <c r="L1129" t="s">
        <v>1813</v>
      </c>
      <c r="M1129">
        <v>1</v>
      </c>
      <c r="N1129"/>
      <c r="O1129" t="s">
        <v>1818</v>
      </c>
      <c r="P1129" s="12" t="str">
        <f>HYPERLINK("https://b2b.kobi.pl/pl/product/10731,zasilacz-montazowy-12v-350w-29-0a?currency=PLN")</f>
        <v>https://b2b.kobi.pl/pl/product/10731,zasilacz-montazowy-12v-350w-29-0a?currency=PLN</v>
      </c>
      <c r="Q1129" t="s">
        <v>14</v>
      </c>
      <c r="R1129"/>
      <c r="S1129" t="s">
        <v>2572</v>
      </c>
      <c r="T1129">
        <v>0</v>
      </c>
      <c r="U1129">
        <v>0.63</v>
      </c>
      <c r="V1129">
        <v>0.68200000000000005</v>
      </c>
      <c r="W1129">
        <v>15</v>
      </c>
      <c r="X1129">
        <v>20.5</v>
      </c>
      <c r="Y1129">
        <v>6</v>
      </c>
    </row>
    <row r="1130" spans="1:25" ht="60" customHeight="1" x14ac:dyDescent="0.25">
      <c r="A1130"/>
      <c r="B1130" t="s">
        <v>621</v>
      </c>
      <c r="C1130" t="s">
        <v>5</v>
      </c>
      <c r="D1130" t="s">
        <v>618</v>
      </c>
      <c r="E1130" t="s">
        <v>2389</v>
      </c>
      <c r="F1130" t="s">
        <v>2390</v>
      </c>
      <c r="G1130" t="s">
        <v>620</v>
      </c>
      <c r="H1130" s="11">
        <v>71.59</v>
      </c>
      <c r="I1130" s="48">
        <f>H1130*(1-IFERROR(VLOOKUP(G1130,Rabat!$C$9:$D$43,2,0),0))</f>
        <v>71.59</v>
      </c>
      <c r="J1130" t="s">
        <v>1815</v>
      </c>
      <c r="K1130" t="s">
        <v>2460</v>
      </c>
      <c r="L1130" t="s">
        <v>1813</v>
      </c>
      <c r="M1130">
        <v>1</v>
      </c>
      <c r="N1130"/>
      <c r="O1130" t="s">
        <v>1818</v>
      </c>
      <c r="P1130" s="12" t="str">
        <f>HYPERLINK("https://b2b.kobi.pl/pl/product/10743,zasilacz-desktop-24v-48w-2-00a-wtyk-dc-2-1x5-5?currency=PLN")</f>
        <v>https://b2b.kobi.pl/pl/product/10743,zasilacz-desktop-24v-48w-2-00a-wtyk-dc-2-1x5-5?currency=PLN</v>
      </c>
      <c r="Q1130" t="s">
        <v>14</v>
      </c>
      <c r="R1130"/>
      <c r="S1130" t="s">
        <v>2572</v>
      </c>
      <c r="T1130">
        <v>0</v>
      </c>
      <c r="U1130">
        <v>0.22</v>
      </c>
      <c r="V1130">
        <v>0.25</v>
      </c>
      <c r="W1130">
        <v>15.5</v>
      </c>
      <c r="X1130">
        <v>7</v>
      </c>
      <c r="Y1130">
        <v>6.5</v>
      </c>
    </row>
    <row r="1131" spans="1:25" ht="60" customHeight="1" x14ac:dyDescent="0.25">
      <c r="A1131"/>
      <c r="B1131" t="s">
        <v>621</v>
      </c>
      <c r="C1131" t="s">
        <v>5</v>
      </c>
      <c r="D1131" t="s">
        <v>618</v>
      </c>
      <c r="E1131" t="s">
        <v>2391</v>
      </c>
      <c r="F1131" t="s">
        <v>2392</v>
      </c>
      <c r="G1131" t="s">
        <v>620</v>
      </c>
      <c r="H1131" s="11">
        <v>100.7</v>
      </c>
      <c r="I1131" s="48">
        <f>H1131*(1-IFERROR(VLOOKUP(G1131,Rabat!$C$9:$D$43,2,0),0))</f>
        <v>100.7</v>
      </c>
      <c r="J1131" t="s">
        <v>1815</v>
      </c>
      <c r="K1131" t="s">
        <v>2461</v>
      </c>
      <c r="L1131" t="s">
        <v>1813</v>
      </c>
      <c r="M1131">
        <v>1</v>
      </c>
      <c r="N1131"/>
      <c r="O1131" t="s">
        <v>1818</v>
      </c>
      <c r="P1131" s="12" t="str">
        <f>HYPERLINK("https://b2b.kobi.pl/pl/product/10744,zasilacz-desktop-24v-72w-3-00a-wtyk-dc-2-1x5-5?currency=PLN")</f>
        <v>https://b2b.kobi.pl/pl/product/10744,zasilacz-desktop-24v-72w-3-00a-wtyk-dc-2-1x5-5?currency=PLN</v>
      </c>
      <c r="Q1131" t="s">
        <v>14</v>
      </c>
      <c r="R1131"/>
      <c r="S1131" t="s">
        <v>2572</v>
      </c>
      <c r="T1131">
        <v>0</v>
      </c>
      <c r="U1131">
        <v>0.24</v>
      </c>
      <c r="V1131">
        <v>0.26</v>
      </c>
      <c r="W1131">
        <v>15.5</v>
      </c>
      <c r="X1131">
        <v>7</v>
      </c>
      <c r="Y1131">
        <v>6.5</v>
      </c>
    </row>
    <row r="1132" spans="1:25" ht="60" customHeight="1" x14ac:dyDescent="0.25">
      <c r="A1132"/>
      <c r="B1132" t="s">
        <v>621</v>
      </c>
      <c r="C1132" t="s">
        <v>5</v>
      </c>
      <c r="D1132" t="s">
        <v>618</v>
      </c>
      <c r="E1132" t="s">
        <v>2009</v>
      </c>
      <c r="F1132" t="s">
        <v>2047</v>
      </c>
      <c r="G1132" t="s">
        <v>620</v>
      </c>
      <c r="H1132" s="11">
        <v>142.15</v>
      </c>
      <c r="I1132" s="48">
        <f>H1132*(1-IFERROR(VLOOKUP(G1132,Rabat!$C$9:$D$43,2,0),0))</f>
        <v>142.15</v>
      </c>
      <c r="J1132" t="s">
        <v>1815</v>
      </c>
      <c r="K1132" t="s">
        <v>2073</v>
      </c>
      <c r="L1132" t="s">
        <v>1813</v>
      </c>
      <c r="M1132">
        <v>1</v>
      </c>
      <c r="N1132"/>
      <c r="O1132" t="s">
        <v>1818</v>
      </c>
      <c r="P1132" s="12" t="str">
        <f>HYPERLINK("https://b2b.kobi.pl/pl/product/10745,zasilacz-desktop-24v-96w-4-00a-wtyk-dc-2-1x5-5?currency=PLN")</f>
        <v>https://b2b.kobi.pl/pl/product/10745,zasilacz-desktop-24v-96w-4-00a-wtyk-dc-2-1x5-5?currency=PLN</v>
      </c>
      <c r="Q1132" t="s">
        <v>14</v>
      </c>
      <c r="R1132"/>
      <c r="S1132" t="s">
        <v>2572</v>
      </c>
      <c r="T1132">
        <v>0</v>
      </c>
      <c r="U1132">
        <v>0.34</v>
      </c>
      <c r="V1132">
        <v>0.37</v>
      </c>
      <c r="W1132">
        <v>15.5</v>
      </c>
      <c r="X1132">
        <v>7</v>
      </c>
      <c r="Y1132">
        <v>6.5</v>
      </c>
    </row>
    <row r="1133" spans="1:25" ht="60" customHeight="1" x14ac:dyDescent="0.25">
      <c r="A1133"/>
      <c r="B1133" t="s">
        <v>621</v>
      </c>
      <c r="C1133" t="s">
        <v>5</v>
      </c>
      <c r="D1133" t="s">
        <v>618</v>
      </c>
      <c r="E1133" t="s">
        <v>1984</v>
      </c>
      <c r="F1133" t="s">
        <v>1985</v>
      </c>
      <c r="G1133" t="s">
        <v>620</v>
      </c>
      <c r="H1133" s="11">
        <v>47.67</v>
      </c>
      <c r="I1133" s="48">
        <f>H1133*(1-IFERROR(VLOOKUP(G1133,Rabat!$C$9:$D$43,2,0),0))</f>
        <v>47.67</v>
      </c>
      <c r="J1133" t="s">
        <v>1815</v>
      </c>
      <c r="K1133" t="s">
        <v>2085</v>
      </c>
      <c r="L1133" t="s">
        <v>1813</v>
      </c>
      <c r="M1133">
        <v>1</v>
      </c>
      <c r="N1133"/>
      <c r="O1133" t="s">
        <v>1818</v>
      </c>
      <c r="P1133" s="12" t="str">
        <f>HYPERLINK("https://b2b.kobi.pl/pl/product/12803,modul-zasilacza-montazowy-24v-24w-1-00a?currency=PLN")</f>
        <v>https://b2b.kobi.pl/pl/product/12803,modul-zasilacza-montazowy-24v-24w-1-00a?currency=PLN</v>
      </c>
      <c r="Q1133" t="s">
        <v>14</v>
      </c>
      <c r="R1133"/>
      <c r="S1133" t="s">
        <v>2572</v>
      </c>
      <c r="T1133">
        <v>0</v>
      </c>
      <c r="U1133">
        <v>0.04</v>
      </c>
      <c r="V1133">
        <v>0.05</v>
      </c>
      <c r="W1133">
        <v>19.5</v>
      </c>
      <c r="X1133">
        <v>2.5</v>
      </c>
      <c r="Y1133">
        <v>2</v>
      </c>
    </row>
    <row r="1134" spans="1:25" ht="60" customHeight="1" x14ac:dyDescent="0.25">
      <c r="A1134"/>
      <c r="B1134" t="s">
        <v>621</v>
      </c>
      <c r="C1134" t="s">
        <v>5</v>
      </c>
      <c r="D1134" t="s">
        <v>618</v>
      </c>
      <c r="E1134" t="s">
        <v>1986</v>
      </c>
      <c r="F1134" t="s">
        <v>1987</v>
      </c>
      <c r="G1134" t="s">
        <v>620</v>
      </c>
      <c r="H1134" s="11">
        <v>50.15</v>
      </c>
      <c r="I1134" s="48">
        <f>H1134*(1-IFERROR(VLOOKUP(G1134,Rabat!$C$9:$D$43,2,0),0))</f>
        <v>50.15</v>
      </c>
      <c r="J1134" t="s">
        <v>1815</v>
      </c>
      <c r="K1134" t="s">
        <v>2086</v>
      </c>
      <c r="L1134" t="s">
        <v>1813</v>
      </c>
      <c r="M1134">
        <v>1</v>
      </c>
      <c r="N1134"/>
      <c r="O1134" t="s">
        <v>1818</v>
      </c>
      <c r="P1134" s="12" t="str">
        <f>HYPERLINK("https://b2b.kobi.pl/pl/product/12804,modul-zasilacza-montazowy-24v-36w-1-50a?currency=PLN")</f>
        <v>https://b2b.kobi.pl/pl/product/12804,modul-zasilacza-montazowy-24v-36w-1-50a?currency=PLN</v>
      </c>
      <c r="Q1134" t="s">
        <v>14</v>
      </c>
      <c r="R1134"/>
      <c r="S1134" t="s">
        <v>2572</v>
      </c>
      <c r="T1134">
        <v>0</v>
      </c>
      <c r="U1134">
        <v>0.06</v>
      </c>
      <c r="V1134">
        <v>7.0000000000000007E-2</v>
      </c>
      <c r="W1134">
        <v>28.5</v>
      </c>
      <c r="X1134">
        <v>2.2000000000000002</v>
      </c>
      <c r="Y1134">
        <v>1.5</v>
      </c>
    </row>
    <row r="1135" spans="1:25" ht="60" customHeight="1" x14ac:dyDescent="0.25">
      <c r="A1135"/>
      <c r="B1135" t="s">
        <v>621</v>
      </c>
      <c r="C1135" t="s">
        <v>5</v>
      </c>
      <c r="D1135" t="s">
        <v>618</v>
      </c>
      <c r="E1135" t="s">
        <v>1988</v>
      </c>
      <c r="F1135" t="s">
        <v>1989</v>
      </c>
      <c r="G1135" t="s">
        <v>620</v>
      </c>
      <c r="H1135" s="11">
        <v>59.9</v>
      </c>
      <c r="I1135" s="48">
        <f>H1135*(1-IFERROR(VLOOKUP(G1135,Rabat!$C$9:$D$43,2,0),0))</f>
        <v>59.9</v>
      </c>
      <c r="J1135" t="s">
        <v>1815</v>
      </c>
      <c r="K1135" t="s">
        <v>2087</v>
      </c>
      <c r="L1135" t="s">
        <v>1813</v>
      </c>
      <c r="M1135">
        <v>1</v>
      </c>
      <c r="N1135"/>
      <c r="O1135" t="s">
        <v>1818</v>
      </c>
      <c r="P1135" s="12" t="str">
        <f>HYPERLINK("https://b2b.kobi.pl/pl/product/12805,modul-zasilacza-montazowy-24v-60w-2-50a?currency=PLN")</f>
        <v>https://b2b.kobi.pl/pl/product/12805,modul-zasilacza-montazowy-24v-60w-2-50a?currency=PLN</v>
      </c>
      <c r="Q1135" t="s">
        <v>14</v>
      </c>
      <c r="R1135"/>
      <c r="S1135" t="s">
        <v>2572</v>
      </c>
      <c r="T1135">
        <v>0</v>
      </c>
      <c r="U1135">
        <v>0.18</v>
      </c>
      <c r="V1135">
        <v>0.2</v>
      </c>
      <c r="W1135">
        <v>11.5</v>
      </c>
      <c r="X1135">
        <v>8.5</v>
      </c>
      <c r="Y1135">
        <v>3.2</v>
      </c>
    </row>
    <row r="1136" spans="1:25" ht="60" customHeight="1" x14ac:dyDescent="0.25">
      <c r="A1136"/>
      <c r="B1136" t="s">
        <v>621</v>
      </c>
      <c r="C1136" t="s">
        <v>5</v>
      </c>
      <c r="D1136" t="s">
        <v>618</v>
      </c>
      <c r="E1136" t="s">
        <v>1990</v>
      </c>
      <c r="F1136" t="s">
        <v>1991</v>
      </c>
      <c r="G1136" t="s">
        <v>620</v>
      </c>
      <c r="H1136" s="11">
        <v>96.12</v>
      </c>
      <c r="I1136" s="48">
        <f>H1136*(1-IFERROR(VLOOKUP(G1136,Rabat!$C$9:$D$43,2,0),0))</f>
        <v>96.12</v>
      </c>
      <c r="J1136" t="s">
        <v>1815</v>
      </c>
      <c r="K1136" t="s">
        <v>2088</v>
      </c>
      <c r="L1136" t="s">
        <v>1813</v>
      </c>
      <c r="M1136">
        <v>1</v>
      </c>
      <c r="N1136"/>
      <c r="O1136" t="s">
        <v>1818</v>
      </c>
      <c r="P1136" s="12" t="str">
        <f>HYPERLINK("https://b2b.kobi.pl/pl/product/12806,modul-zasilacza-montazowy-24v-100w-4-16a?currency=PLN")</f>
        <v>https://b2b.kobi.pl/pl/product/12806,modul-zasilacza-montazowy-24v-100w-4-16a?currency=PLN</v>
      </c>
      <c r="Q1136" t="s">
        <v>14</v>
      </c>
      <c r="R1136"/>
      <c r="S1136" t="s">
        <v>2572</v>
      </c>
      <c r="T1136">
        <v>0</v>
      </c>
      <c r="U1136">
        <v>0.19</v>
      </c>
      <c r="V1136">
        <v>0.21</v>
      </c>
      <c r="W1136">
        <v>11.5</v>
      </c>
      <c r="X1136">
        <v>8.5</v>
      </c>
      <c r="Y1136">
        <v>3.5</v>
      </c>
    </row>
    <row r="1137" spans="1:25" ht="60" customHeight="1" x14ac:dyDescent="0.25">
      <c r="A1137"/>
      <c r="B1137" t="s">
        <v>621</v>
      </c>
      <c r="C1137" t="s">
        <v>5</v>
      </c>
      <c r="D1137" t="s">
        <v>618</v>
      </c>
      <c r="E1137" t="s">
        <v>1992</v>
      </c>
      <c r="F1137" t="s">
        <v>1993</v>
      </c>
      <c r="G1137" t="s">
        <v>620</v>
      </c>
      <c r="H1137" s="11">
        <v>120.01</v>
      </c>
      <c r="I1137" s="48">
        <f>H1137*(1-IFERROR(VLOOKUP(G1137,Rabat!$C$9:$D$43,2,0),0))</f>
        <v>120.01</v>
      </c>
      <c r="J1137" t="s">
        <v>1815</v>
      </c>
      <c r="K1137" t="s">
        <v>2089</v>
      </c>
      <c r="L1137" t="s">
        <v>1813</v>
      </c>
      <c r="M1137">
        <v>1</v>
      </c>
      <c r="N1137"/>
      <c r="O1137" t="s">
        <v>1818</v>
      </c>
      <c r="P1137" s="12" t="str">
        <f>HYPERLINK("https://b2b.kobi.pl/pl/product/12807,modul-zasilacza-montazowy-24v-150w-6-25a?currency=PLN")</f>
        <v>https://b2b.kobi.pl/pl/product/12807,modul-zasilacza-montazowy-24v-150w-6-25a?currency=PLN</v>
      </c>
      <c r="Q1137" t="s">
        <v>14</v>
      </c>
      <c r="R1137"/>
      <c r="S1137" t="s">
        <v>2572</v>
      </c>
      <c r="T1137">
        <v>0</v>
      </c>
      <c r="U1137">
        <v>0.3</v>
      </c>
      <c r="V1137">
        <v>0.32</v>
      </c>
      <c r="W1137">
        <v>13.5</v>
      </c>
      <c r="X1137">
        <v>10</v>
      </c>
      <c r="Y1137">
        <v>4</v>
      </c>
    </row>
    <row r="1138" spans="1:25" ht="60" customHeight="1" x14ac:dyDescent="0.25">
      <c r="A1138"/>
      <c r="B1138" t="s">
        <v>621</v>
      </c>
      <c r="C1138" t="s">
        <v>5</v>
      </c>
      <c r="D1138" t="s">
        <v>618</v>
      </c>
      <c r="E1138" t="s">
        <v>1994</v>
      </c>
      <c r="F1138" t="s">
        <v>1995</v>
      </c>
      <c r="G1138" t="s">
        <v>620</v>
      </c>
      <c r="H1138" s="11">
        <v>157.66</v>
      </c>
      <c r="I1138" s="48">
        <f>H1138*(1-IFERROR(VLOOKUP(G1138,Rabat!$C$9:$D$43,2,0),0))</f>
        <v>157.66</v>
      </c>
      <c r="J1138" t="s">
        <v>1815</v>
      </c>
      <c r="K1138" t="s">
        <v>2090</v>
      </c>
      <c r="L1138" t="s">
        <v>1813</v>
      </c>
      <c r="M1138">
        <v>1</v>
      </c>
      <c r="N1138"/>
      <c r="O1138" t="s">
        <v>1818</v>
      </c>
      <c r="P1138" s="12" t="str">
        <f>HYPERLINK("https://b2b.kobi.pl/pl/product/12808,modul-zasilacza-montazowy-24v-200w-8-30a?currency=PLN")</f>
        <v>https://b2b.kobi.pl/pl/product/12808,modul-zasilacza-montazowy-24v-200w-8-30a?currency=PLN</v>
      </c>
      <c r="Q1138" t="s">
        <v>14</v>
      </c>
      <c r="R1138"/>
      <c r="S1138" t="s">
        <v>2572</v>
      </c>
      <c r="T1138">
        <v>0</v>
      </c>
      <c r="U1138">
        <v>0.45</v>
      </c>
      <c r="V1138">
        <v>0.48</v>
      </c>
      <c r="W1138">
        <v>16.5</v>
      </c>
      <c r="X1138">
        <v>10.5</v>
      </c>
      <c r="Y1138">
        <v>4.7</v>
      </c>
    </row>
    <row r="1139" spans="1:25" ht="60" customHeight="1" x14ac:dyDescent="0.25">
      <c r="A1139"/>
      <c r="B1139" t="s">
        <v>621</v>
      </c>
      <c r="C1139" t="s">
        <v>5</v>
      </c>
      <c r="D1139" t="s">
        <v>618</v>
      </c>
      <c r="E1139" t="s">
        <v>1996</v>
      </c>
      <c r="F1139" t="s">
        <v>1997</v>
      </c>
      <c r="G1139" t="s">
        <v>620</v>
      </c>
      <c r="H1139" s="11">
        <v>178.12</v>
      </c>
      <c r="I1139" s="48">
        <f>H1139*(1-IFERROR(VLOOKUP(G1139,Rabat!$C$9:$D$43,2,0),0))</f>
        <v>178.12</v>
      </c>
      <c r="J1139" t="s">
        <v>1815</v>
      </c>
      <c r="K1139" t="s">
        <v>2091</v>
      </c>
      <c r="L1139" t="s">
        <v>1813</v>
      </c>
      <c r="M1139">
        <v>1</v>
      </c>
      <c r="N1139"/>
      <c r="O1139" t="s">
        <v>1818</v>
      </c>
      <c r="P1139" s="12" t="str">
        <f>HYPERLINK("https://b2b.kobi.pl/pl/product/12809,modul-zasilacza-montazowy-24v-250w-10-40a?currency=PLN")</f>
        <v>https://b2b.kobi.pl/pl/product/12809,modul-zasilacza-montazowy-24v-250w-10-40a?currency=PLN</v>
      </c>
      <c r="Q1139" t="s">
        <v>14</v>
      </c>
      <c r="R1139"/>
      <c r="S1139" t="s">
        <v>2572</v>
      </c>
      <c r="T1139">
        <v>0</v>
      </c>
      <c r="U1139">
        <v>0.45</v>
      </c>
      <c r="V1139">
        <v>0.48</v>
      </c>
      <c r="W1139">
        <v>16.5</v>
      </c>
      <c r="X1139">
        <v>10.5</v>
      </c>
      <c r="Y1139">
        <v>4.7</v>
      </c>
    </row>
    <row r="1140" spans="1:25" ht="60" customHeight="1" x14ac:dyDescent="0.25">
      <c r="A1140"/>
      <c r="B1140" t="s">
        <v>621</v>
      </c>
      <c r="C1140" t="s">
        <v>5</v>
      </c>
      <c r="D1140" t="s">
        <v>618</v>
      </c>
      <c r="E1140" t="s">
        <v>1998</v>
      </c>
      <c r="F1140" t="s">
        <v>1999</v>
      </c>
      <c r="G1140" t="s">
        <v>620</v>
      </c>
      <c r="H1140" s="11">
        <v>191.27</v>
      </c>
      <c r="I1140" s="48">
        <f>H1140*(1-IFERROR(VLOOKUP(G1140,Rabat!$C$9:$D$43,2,0),0))</f>
        <v>191.27</v>
      </c>
      <c r="J1140" t="s">
        <v>1815</v>
      </c>
      <c r="K1140" t="s">
        <v>14</v>
      </c>
      <c r="L1140" t="s">
        <v>1813</v>
      </c>
      <c r="M1140">
        <v>1</v>
      </c>
      <c r="N1140"/>
      <c r="O1140" t="s">
        <v>1818</v>
      </c>
      <c r="P1140"/>
      <c r="Q1140" t="s">
        <v>14</v>
      </c>
      <c r="R1140"/>
      <c r="S1140" t="s">
        <v>2572</v>
      </c>
      <c r="T1140">
        <v>0</v>
      </c>
      <c r="U1140">
        <v>0</v>
      </c>
      <c r="V1140">
        <v>0</v>
      </c>
      <c r="W1140">
        <v>0</v>
      </c>
      <c r="X1140">
        <v>0</v>
      </c>
      <c r="Y1140">
        <v>0</v>
      </c>
    </row>
    <row r="1141" spans="1:25" ht="60" customHeight="1" x14ac:dyDescent="0.25">
      <c r="A1141"/>
      <c r="B1141" t="s">
        <v>621</v>
      </c>
      <c r="C1141" t="s">
        <v>5</v>
      </c>
      <c r="D1141" t="s">
        <v>618</v>
      </c>
      <c r="E1141" t="s">
        <v>2496</v>
      </c>
      <c r="F1141" t="s">
        <v>2000</v>
      </c>
      <c r="G1141" t="s">
        <v>620</v>
      </c>
      <c r="H1141" s="11">
        <v>68.16</v>
      </c>
      <c r="I1141" s="48">
        <f>H1141*(1-IFERROR(VLOOKUP(G1141,Rabat!$C$9:$D$43,2,0),0))</f>
        <v>68.16</v>
      </c>
      <c r="J1141" t="s">
        <v>1815</v>
      </c>
      <c r="K1141" t="s">
        <v>2092</v>
      </c>
      <c r="L1141" t="s">
        <v>1813</v>
      </c>
      <c r="M1141">
        <v>1</v>
      </c>
      <c r="N1141"/>
      <c r="O1141" t="s">
        <v>1818</v>
      </c>
      <c r="P1141" s="12" t="str">
        <f>HYPERLINK("https://b2b.kobi.pl/pl/product/12811,modul-zasilacza-wodoodporny-24v-30w-1-25a?currency=PLN")</f>
        <v>https://b2b.kobi.pl/pl/product/12811,modul-zasilacza-wodoodporny-24v-30w-1-25a?currency=PLN</v>
      </c>
      <c r="Q1141" t="s">
        <v>14</v>
      </c>
      <c r="R1141"/>
      <c r="S1141" t="s">
        <v>2572</v>
      </c>
      <c r="T1141">
        <v>0</v>
      </c>
      <c r="U1141">
        <v>0.14000000000000001</v>
      </c>
      <c r="V1141">
        <v>0.15</v>
      </c>
      <c r="W1141">
        <v>15.5</v>
      </c>
      <c r="X1141">
        <v>4.0999999999999996</v>
      </c>
      <c r="Y1141">
        <v>2.7</v>
      </c>
    </row>
    <row r="1142" spans="1:25" ht="60" customHeight="1" x14ac:dyDescent="0.25">
      <c r="A1142"/>
      <c r="B1142" t="s">
        <v>621</v>
      </c>
      <c r="C1142" t="s">
        <v>5</v>
      </c>
      <c r="D1142" t="s">
        <v>618</v>
      </c>
      <c r="E1142" t="s">
        <v>2497</v>
      </c>
      <c r="F1142" t="s">
        <v>2001</v>
      </c>
      <c r="G1142" t="s">
        <v>620</v>
      </c>
      <c r="H1142" s="11">
        <v>120.77</v>
      </c>
      <c r="I1142" s="48">
        <f>H1142*(1-IFERROR(VLOOKUP(G1142,Rabat!$C$9:$D$43,2,0),0))</f>
        <v>120.77</v>
      </c>
      <c r="J1142" t="s">
        <v>1815</v>
      </c>
      <c r="K1142" t="s">
        <v>2093</v>
      </c>
      <c r="L1142" t="s">
        <v>1813</v>
      </c>
      <c r="M1142">
        <v>1</v>
      </c>
      <c r="N1142"/>
      <c r="O1142" t="s">
        <v>1818</v>
      </c>
      <c r="P1142" s="12" t="str">
        <f>HYPERLINK("https://b2b.kobi.pl/pl/product/12812,modul-zasilacza-wodoodporny-24v-60w-2-50a?currency=PLN")</f>
        <v>https://b2b.kobi.pl/pl/product/12812,modul-zasilacza-wodoodporny-24v-60w-2-50a?currency=PLN</v>
      </c>
      <c r="Q1142" t="s">
        <v>14</v>
      </c>
      <c r="R1142"/>
      <c r="S1142" t="s">
        <v>2572</v>
      </c>
      <c r="T1142">
        <v>0</v>
      </c>
      <c r="U1142">
        <v>0.25</v>
      </c>
      <c r="V1142">
        <v>0.26</v>
      </c>
      <c r="W1142">
        <v>16.5</v>
      </c>
      <c r="X1142">
        <v>6.8</v>
      </c>
      <c r="Y1142">
        <v>2.2000000000000002</v>
      </c>
    </row>
    <row r="1143" spans="1:25" ht="60" customHeight="1" x14ac:dyDescent="0.25">
      <c r="A1143"/>
      <c r="B1143" t="s">
        <v>621</v>
      </c>
      <c r="C1143" t="s">
        <v>5</v>
      </c>
      <c r="D1143" t="s">
        <v>618</v>
      </c>
      <c r="E1143" t="s">
        <v>2497</v>
      </c>
      <c r="F1143" t="s">
        <v>3579</v>
      </c>
      <c r="G1143" t="s">
        <v>620</v>
      </c>
      <c r="H1143" s="11">
        <v>120.77</v>
      </c>
      <c r="I1143" s="48">
        <f>H1143*(1-IFERROR(VLOOKUP(G1143,Rabat!$C$9:$D$43,2,0),0))</f>
        <v>120.77</v>
      </c>
      <c r="J1143" t="s">
        <v>1815</v>
      </c>
      <c r="K1143" t="s">
        <v>3589</v>
      </c>
      <c r="L1143" t="s">
        <v>1813</v>
      </c>
      <c r="M1143">
        <v>1</v>
      </c>
      <c r="N1143"/>
      <c r="O1143" t="s">
        <v>1818</v>
      </c>
      <c r="P1143" s="12" t="str">
        <f>HYPERLINK("https://b2b.kobi.pl/pl/product/13561,modul-zasilacza-wodoodporny-24v-60w-2-50a-ip67?currency=PLN")</f>
        <v>https://b2b.kobi.pl/pl/product/13561,modul-zasilacza-wodoodporny-24v-60w-2-50a-ip67?currency=PLN</v>
      </c>
      <c r="Q1143" t="s">
        <v>14</v>
      </c>
      <c r="R1143"/>
      <c r="S1143" t="s">
        <v>2572</v>
      </c>
      <c r="T1143">
        <v>0</v>
      </c>
      <c r="U1143">
        <v>0.25</v>
      </c>
      <c r="V1143">
        <v>0.26</v>
      </c>
      <c r="W1143">
        <v>16.5</v>
      </c>
      <c r="X1143">
        <v>6.8</v>
      </c>
      <c r="Y1143">
        <v>2.2000000000000002</v>
      </c>
    </row>
    <row r="1144" spans="1:25" ht="60" customHeight="1" x14ac:dyDescent="0.25">
      <c r="A1144"/>
      <c r="B1144" t="s">
        <v>621</v>
      </c>
      <c r="C1144" t="s">
        <v>5</v>
      </c>
      <c r="D1144" t="s">
        <v>618</v>
      </c>
      <c r="E1144" t="s">
        <v>2498</v>
      </c>
      <c r="F1144" t="s">
        <v>2002</v>
      </c>
      <c r="G1144" t="s">
        <v>620</v>
      </c>
      <c r="H1144" s="11">
        <v>186.5</v>
      </c>
      <c r="I1144" s="48">
        <f>H1144*(1-IFERROR(VLOOKUP(G1144,Rabat!$C$9:$D$43,2,0),0))</f>
        <v>186.5</v>
      </c>
      <c r="J1144" t="s">
        <v>1815</v>
      </c>
      <c r="K1144" t="s">
        <v>2094</v>
      </c>
      <c r="L1144" t="s">
        <v>1813</v>
      </c>
      <c r="M1144">
        <v>1</v>
      </c>
      <c r="N1144"/>
      <c r="O1144" t="s">
        <v>1818</v>
      </c>
      <c r="P1144" s="12" t="str">
        <f>HYPERLINK("https://b2b.kobi.pl/pl/product/12813,modul-zasilacza-wodoodporny-24v-100w-4-17a?currency=PLN")</f>
        <v>https://b2b.kobi.pl/pl/product/12813,modul-zasilacza-wodoodporny-24v-100w-4-17a?currency=PLN</v>
      </c>
      <c r="Q1144" t="s">
        <v>14</v>
      </c>
      <c r="R1144"/>
      <c r="S1144" t="s">
        <v>2572</v>
      </c>
      <c r="T1144">
        <v>0</v>
      </c>
      <c r="U1144">
        <v>0.35</v>
      </c>
      <c r="V1144">
        <v>0.37</v>
      </c>
      <c r="W1144">
        <v>24</v>
      </c>
      <c r="X1144">
        <v>7</v>
      </c>
      <c r="Y1144">
        <v>2.1</v>
      </c>
    </row>
    <row r="1145" spans="1:25" ht="60" customHeight="1" x14ac:dyDescent="0.25">
      <c r="A1145"/>
      <c r="B1145" t="s">
        <v>621</v>
      </c>
      <c r="C1145" t="s">
        <v>5</v>
      </c>
      <c r="D1145" t="s">
        <v>618</v>
      </c>
      <c r="E1145" t="s">
        <v>1990</v>
      </c>
      <c r="F1145" t="s">
        <v>3580</v>
      </c>
      <c r="G1145" t="s">
        <v>620</v>
      </c>
      <c r="H1145" s="11">
        <v>96.12</v>
      </c>
      <c r="I1145" s="48">
        <f>H1145*(1-IFERROR(VLOOKUP(G1145,Rabat!$C$9:$D$43,2,0),0))</f>
        <v>96.12</v>
      </c>
      <c r="J1145" t="s">
        <v>1815</v>
      </c>
      <c r="K1145" t="s">
        <v>3590</v>
      </c>
      <c r="L1145" t="s">
        <v>1813</v>
      </c>
      <c r="M1145">
        <v>1</v>
      </c>
      <c r="N1145"/>
      <c r="O1145" t="s">
        <v>1818</v>
      </c>
      <c r="P1145" s="12" t="str">
        <f>HYPERLINK("https://b2b.kobi.pl/pl/product/13560,modul-zasilacza-montazowy-24v-100w-4-16a?currency=PLN")</f>
        <v>https://b2b.kobi.pl/pl/product/13560,modul-zasilacza-montazowy-24v-100w-4-16a?currency=PLN</v>
      </c>
      <c r="Q1145" t="s">
        <v>14</v>
      </c>
      <c r="R1145"/>
      <c r="S1145" t="s">
        <v>2572</v>
      </c>
      <c r="T1145">
        <v>0</v>
      </c>
      <c r="U1145">
        <v>0.19</v>
      </c>
      <c r="V1145">
        <v>0.21</v>
      </c>
      <c r="W1145">
        <v>11.5</v>
      </c>
      <c r="X1145">
        <v>8.5</v>
      </c>
      <c r="Y1145">
        <v>3.5</v>
      </c>
    </row>
    <row r="1146" spans="1:25" ht="60" customHeight="1" x14ac:dyDescent="0.25">
      <c r="A1146"/>
      <c r="B1146" t="s">
        <v>621</v>
      </c>
      <c r="C1146" t="s">
        <v>5</v>
      </c>
      <c r="D1146" t="s">
        <v>618</v>
      </c>
      <c r="E1146" t="s">
        <v>2499</v>
      </c>
      <c r="F1146" t="s">
        <v>2003</v>
      </c>
      <c r="G1146" t="s">
        <v>620</v>
      </c>
      <c r="H1146" s="11">
        <v>298.83</v>
      </c>
      <c r="I1146" s="48">
        <f>H1146*(1-IFERROR(VLOOKUP(G1146,Rabat!$C$9:$D$43,2,0),0))</f>
        <v>298.83</v>
      </c>
      <c r="J1146" t="s">
        <v>1815</v>
      </c>
      <c r="K1146" t="s">
        <v>2095</v>
      </c>
      <c r="L1146" t="s">
        <v>1813</v>
      </c>
      <c r="M1146">
        <v>1</v>
      </c>
      <c r="N1146"/>
      <c r="O1146" t="s">
        <v>1818</v>
      </c>
      <c r="P1146" s="12" t="str">
        <f>HYPERLINK("https://b2b.kobi.pl/pl/product/12814,modul-zasilacza-wodoodporny-24v-150w-6-25a?currency=PLN")</f>
        <v>https://b2b.kobi.pl/pl/product/12814,modul-zasilacza-wodoodporny-24v-150w-6-25a?currency=PLN</v>
      </c>
      <c r="Q1146" t="s">
        <v>14</v>
      </c>
      <c r="R1146"/>
      <c r="S1146" t="s">
        <v>2572</v>
      </c>
      <c r="T1146">
        <v>0</v>
      </c>
      <c r="U1146">
        <v>0.61</v>
      </c>
      <c r="V1146">
        <v>0.64</v>
      </c>
      <c r="W1146">
        <v>26</v>
      </c>
      <c r="X1146">
        <v>8.6999999999999993</v>
      </c>
      <c r="Y1146">
        <v>3</v>
      </c>
    </row>
    <row r="1147" spans="1:25" ht="60" customHeight="1" x14ac:dyDescent="0.25">
      <c r="A1147"/>
      <c r="B1147" t="s">
        <v>621</v>
      </c>
      <c r="C1147" t="s">
        <v>5</v>
      </c>
      <c r="D1147" t="s">
        <v>618</v>
      </c>
      <c r="E1147" t="s">
        <v>2500</v>
      </c>
      <c r="F1147" t="s">
        <v>2004</v>
      </c>
      <c r="G1147" t="s">
        <v>620</v>
      </c>
      <c r="H1147" s="11">
        <v>352.75</v>
      </c>
      <c r="I1147" s="48">
        <f>H1147*(1-IFERROR(VLOOKUP(G1147,Rabat!$C$9:$D$43,2,0),0))</f>
        <v>352.75</v>
      </c>
      <c r="J1147" t="s">
        <v>1815</v>
      </c>
      <c r="K1147" t="s">
        <v>2096</v>
      </c>
      <c r="L1147" t="s">
        <v>1813</v>
      </c>
      <c r="M1147">
        <v>1</v>
      </c>
      <c r="N1147"/>
      <c r="O1147" t="s">
        <v>1818</v>
      </c>
      <c r="P1147" s="12" t="str">
        <f>HYPERLINK("https://b2b.kobi.pl/pl/product/12815,modul-zasilacza-wodoodporny-24v-200w-8-30a?currency=PLN")</f>
        <v>https://b2b.kobi.pl/pl/product/12815,modul-zasilacza-wodoodporny-24v-200w-8-30a?currency=PLN</v>
      </c>
      <c r="Q1147" t="s">
        <v>14</v>
      </c>
      <c r="R1147"/>
      <c r="S1147" t="s">
        <v>2572</v>
      </c>
      <c r="T1147">
        <v>0</v>
      </c>
      <c r="U1147">
        <v>0.75</v>
      </c>
      <c r="V1147">
        <v>0.78</v>
      </c>
      <c r="W1147">
        <v>26</v>
      </c>
      <c r="X1147">
        <v>9</v>
      </c>
      <c r="Y1147">
        <v>3.1</v>
      </c>
    </row>
    <row r="1148" spans="1:25" ht="60" customHeight="1" x14ac:dyDescent="0.25">
      <c r="A1148"/>
      <c r="B1148" t="s">
        <v>621</v>
      </c>
      <c r="C1148" t="s">
        <v>5</v>
      </c>
      <c r="D1148" t="s">
        <v>618</v>
      </c>
      <c r="E1148" t="s">
        <v>2005</v>
      </c>
      <c r="F1148" t="s">
        <v>2006</v>
      </c>
      <c r="G1148" t="s">
        <v>620</v>
      </c>
      <c r="H1148" s="11">
        <v>48.27</v>
      </c>
      <c r="I1148" s="48">
        <f>H1148*(1-IFERROR(VLOOKUP(G1148,Rabat!$C$9:$D$43,2,0),0))</f>
        <v>48.27</v>
      </c>
      <c r="J1148" t="s">
        <v>1815</v>
      </c>
      <c r="K1148" t="s">
        <v>2097</v>
      </c>
      <c r="L1148" t="s">
        <v>1813</v>
      </c>
      <c r="M1148">
        <v>1</v>
      </c>
      <c r="N1148"/>
      <c r="O1148" t="s">
        <v>1818</v>
      </c>
      <c r="P1148" s="12" t="str">
        <f>HYPERLINK("https://b2b.kobi.pl/pl/product/12816,zasilacz-desktop-24v-24w-1-00a-wtyk-dc-2-1x5-5?currency=PLN")</f>
        <v>https://b2b.kobi.pl/pl/product/12816,zasilacz-desktop-24v-24w-1-00a-wtyk-dc-2-1x5-5?currency=PLN</v>
      </c>
      <c r="Q1148" t="s">
        <v>14</v>
      </c>
      <c r="R1148"/>
      <c r="S1148" t="s">
        <v>2572</v>
      </c>
      <c r="T1148">
        <v>0</v>
      </c>
      <c r="U1148">
        <v>0.17</v>
      </c>
      <c r="V1148">
        <v>0.19</v>
      </c>
      <c r="W1148">
        <v>12</v>
      </c>
      <c r="X1148">
        <v>6</v>
      </c>
      <c r="Y1148">
        <v>7.5</v>
      </c>
    </row>
    <row r="1149" spans="1:25" ht="60" customHeight="1" x14ac:dyDescent="0.25">
      <c r="A1149"/>
      <c r="B1149" t="s">
        <v>621</v>
      </c>
      <c r="C1149" t="s">
        <v>5</v>
      </c>
      <c r="D1149" t="s">
        <v>618</v>
      </c>
      <c r="E1149" t="s">
        <v>2007</v>
      </c>
      <c r="F1149" t="s">
        <v>2008</v>
      </c>
      <c r="G1149" t="s">
        <v>620</v>
      </c>
      <c r="H1149" s="11">
        <v>81.61</v>
      </c>
      <c r="I1149" s="48">
        <f>H1149*(1-IFERROR(VLOOKUP(G1149,Rabat!$C$9:$D$43,2,0),0))</f>
        <v>81.61</v>
      </c>
      <c r="J1149" t="s">
        <v>1815</v>
      </c>
      <c r="K1149" t="s">
        <v>2098</v>
      </c>
      <c r="L1149" t="s">
        <v>1813</v>
      </c>
      <c r="M1149">
        <v>1</v>
      </c>
      <c r="N1149"/>
      <c r="O1149" t="s">
        <v>1818</v>
      </c>
      <c r="P1149" s="12" t="str">
        <f>HYPERLINK("https://b2b.kobi.pl/pl/product/12818,zasilacz-desktop-24v-60w-2-50a-wtyk-dc-2-1x5-5?currency=PLN")</f>
        <v>https://b2b.kobi.pl/pl/product/12818,zasilacz-desktop-24v-60w-2-50a-wtyk-dc-2-1x5-5?currency=PLN</v>
      </c>
      <c r="Q1149" t="s">
        <v>14</v>
      </c>
      <c r="R1149"/>
      <c r="S1149" t="s">
        <v>2572</v>
      </c>
      <c r="T1149">
        <v>0</v>
      </c>
      <c r="U1149">
        <v>0.24</v>
      </c>
      <c r="V1149">
        <v>0.26</v>
      </c>
      <c r="W1149">
        <v>15</v>
      </c>
      <c r="X1149">
        <v>7</v>
      </c>
      <c r="Y1149">
        <v>6.5</v>
      </c>
    </row>
    <row r="1150" spans="1:25" ht="60" customHeight="1" x14ac:dyDescent="0.25">
      <c r="A1150"/>
      <c r="B1150" t="s">
        <v>621</v>
      </c>
      <c r="C1150" t="s">
        <v>5</v>
      </c>
      <c r="D1150" t="s">
        <v>618</v>
      </c>
      <c r="E1150" t="s">
        <v>2010</v>
      </c>
      <c r="F1150" t="s">
        <v>2011</v>
      </c>
      <c r="G1150" t="s">
        <v>620</v>
      </c>
      <c r="H1150" s="11">
        <v>162.12</v>
      </c>
      <c r="I1150" s="48">
        <f>H1150*(1-IFERROR(VLOOKUP(G1150,Rabat!$C$9:$D$43,2,0),0))</f>
        <v>162.12</v>
      </c>
      <c r="J1150" t="s">
        <v>1815</v>
      </c>
      <c r="K1150" t="s">
        <v>2099</v>
      </c>
      <c r="L1150" t="s">
        <v>1813</v>
      </c>
      <c r="M1150">
        <v>1</v>
      </c>
      <c r="N1150"/>
      <c r="O1150" t="s">
        <v>1818</v>
      </c>
      <c r="P1150" s="12" t="str">
        <f>HYPERLINK("https://b2b.kobi.pl/pl/product/12822,zasilacz-desktop-24v-120w-5-00a-wtyk-dc-2-1x5-5?currency=PLN")</f>
        <v>https://b2b.kobi.pl/pl/product/12822,zasilacz-desktop-24v-120w-5-00a-wtyk-dc-2-1x5-5?currency=PLN</v>
      </c>
      <c r="Q1150" t="s">
        <v>14</v>
      </c>
      <c r="R1150"/>
      <c r="S1150" t="s">
        <v>2572</v>
      </c>
      <c r="T1150">
        <v>0</v>
      </c>
      <c r="U1150">
        <v>0.35</v>
      </c>
      <c r="V1150">
        <v>0.37</v>
      </c>
      <c r="W1150">
        <v>15.5</v>
      </c>
      <c r="X1150">
        <v>7</v>
      </c>
      <c r="Y1150">
        <v>6.5</v>
      </c>
    </row>
    <row r="1151" spans="1:25" ht="60" customHeight="1" x14ac:dyDescent="0.25">
      <c r="A1151"/>
      <c r="B1151" t="s">
        <v>621</v>
      </c>
      <c r="C1151" t="s">
        <v>5</v>
      </c>
      <c r="D1151" t="s">
        <v>618</v>
      </c>
      <c r="E1151" t="s">
        <v>2565</v>
      </c>
      <c r="F1151" t="s">
        <v>2566</v>
      </c>
      <c r="G1151" t="s">
        <v>620</v>
      </c>
      <c r="H1151" s="11">
        <v>155</v>
      </c>
      <c r="I1151" s="48">
        <f>H1151*(1-IFERROR(VLOOKUP(G1151,Rabat!$C$9:$D$43,2,0),0))</f>
        <v>155</v>
      </c>
      <c r="J1151" t="s">
        <v>1815</v>
      </c>
      <c r="K1151" t="s">
        <v>2631</v>
      </c>
      <c r="L1151" t="s">
        <v>1813</v>
      </c>
      <c r="M1151">
        <v>1</v>
      </c>
      <c r="N1151"/>
      <c r="O1151" t="s">
        <v>1818</v>
      </c>
      <c r="P1151" s="12" t="str">
        <f>HYPERLINK("https://b2b.kobi.pl/pl/product/13054,modul-zasilacza-montazowy-12v-150w-12-5a?currency=PLN")</f>
        <v>https://b2b.kobi.pl/pl/product/13054,modul-zasilacza-montazowy-12v-150w-12-5a?currency=PLN</v>
      </c>
      <c r="Q1151" t="s">
        <v>14</v>
      </c>
      <c r="R1151"/>
      <c r="S1151" t="s">
        <v>2572</v>
      </c>
      <c r="T1151">
        <v>0</v>
      </c>
      <c r="U1151">
        <v>0.30199999999999999</v>
      </c>
      <c r="V1151">
        <v>0.33100000000000002</v>
      </c>
      <c r="W1151">
        <v>13.9</v>
      </c>
      <c r="X1151">
        <v>10.4</v>
      </c>
      <c r="Y1151">
        <v>4.4000000000000004</v>
      </c>
    </row>
    <row r="1152" spans="1:25" ht="60" customHeight="1" x14ac:dyDescent="0.25">
      <c r="A1152"/>
      <c r="B1152" t="s">
        <v>621</v>
      </c>
      <c r="C1152" t="s">
        <v>5</v>
      </c>
      <c r="D1152" t="s">
        <v>618</v>
      </c>
      <c r="E1152" t="s">
        <v>2567</v>
      </c>
      <c r="F1152" t="s">
        <v>2568</v>
      </c>
      <c r="G1152" t="s">
        <v>620</v>
      </c>
      <c r="H1152" s="11">
        <v>270</v>
      </c>
      <c r="I1152" s="48">
        <f>H1152*(1-IFERROR(VLOOKUP(G1152,Rabat!$C$9:$D$43,2,0),0))</f>
        <v>270</v>
      </c>
      <c r="J1152" t="s">
        <v>1815</v>
      </c>
      <c r="K1152" t="s">
        <v>2632</v>
      </c>
      <c r="L1152" t="s">
        <v>1813</v>
      </c>
      <c r="M1152">
        <v>1</v>
      </c>
      <c r="N1152"/>
      <c r="O1152" t="s">
        <v>1818</v>
      </c>
      <c r="P1152" s="12" t="str">
        <f>HYPERLINK("https://b2b.kobi.pl/pl/product/13055,modul-zasilacza-wodoodporny-12v-120w-10-0a-ip67?currency=PLN")</f>
        <v>https://b2b.kobi.pl/pl/product/13055,modul-zasilacza-wodoodporny-12v-120w-10-0a-ip67?currency=PLN</v>
      </c>
      <c r="Q1152" t="s">
        <v>14</v>
      </c>
      <c r="R1152"/>
      <c r="S1152" t="s">
        <v>2572</v>
      </c>
      <c r="T1152">
        <v>0</v>
      </c>
      <c r="U1152">
        <v>0.83399999999999996</v>
      </c>
      <c r="V1152">
        <v>1.2170000000000001</v>
      </c>
      <c r="W1152">
        <v>6</v>
      </c>
      <c r="X1152">
        <v>25</v>
      </c>
      <c r="Y1152">
        <v>8</v>
      </c>
    </row>
    <row r="1153" spans="1:25" ht="60" customHeight="1" x14ac:dyDescent="0.25">
      <c r="A1153"/>
      <c r="B1153" t="s">
        <v>621</v>
      </c>
      <c r="C1153" t="s">
        <v>5</v>
      </c>
      <c r="D1153" t="s">
        <v>618</v>
      </c>
      <c r="E1153" t="s">
        <v>2498</v>
      </c>
      <c r="F1153" t="s">
        <v>3503</v>
      </c>
      <c r="G1153" t="s">
        <v>620</v>
      </c>
      <c r="H1153" s="11">
        <v>186.5</v>
      </c>
      <c r="I1153" s="48">
        <f>H1153*(1-IFERROR(VLOOKUP(G1153,Rabat!$C$9:$D$43,2,0),0))</f>
        <v>186.5</v>
      </c>
      <c r="J1153" t="s">
        <v>1815</v>
      </c>
      <c r="K1153" t="s">
        <v>3530</v>
      </c>
      <c r="L1153" t="s">
        <v>1813</v>
      </c>
      <c r="M1153">
        <v>1</v>
      </c>
      <c r="N1153"/>
      <c r="O1153" t="s">
        <v>1818</v>
      </c>
      <c r="P1153" s="12" t="str">
        <f>HYPERLINK("https://b2b.kobi.pl/pl/product/13391,modul-zasilacza-wodoodporny-24v-100w-4-17a-ip67?currency=PLN")</f>
        <v>https://b2b.kobi.pl/pl/product/13391,modul-zasilacza-wodoodporny-24v-100w-4-17a-ip67?currency=PLN</v>
      </c>
      <c r="Q1153" t="s">
        <v>14</v>
      </c>
      <c r="R1153" t="s">
        <v>4101</v>
      </c>
      <c r="S1153" t="s">
        <v>2572</v>
      </c>
      <c r="T1153">
        <v>0</v>
      </c>
      <c r="U1153">
        <v>0.35</v>
      </c>
      <c r="V1153">
        <v>0.37</v>
      </c>
      <c r="W1153">
        <v>24</v>
      </c>
      <c r="X1153">
        <v>7</v>
      </c>
      <c r="Y1153">
        <v>2.1</v>
      </c>
    </row>
    <row r="1154" spans="1:25" ht="60" customHeight="1" x14ac:dyDescent="0.25">
      <c r="A1154"/>
      <c r="B1154" t="s">
        <v>621</v>
      </c>
      <c r="C1154" t="s">
        <v>5</v>
      </c>
      <c r="D1154" t="s">
        <v>618</v>
      </c>
      <c r="E1154" t="s">
        <v>3628</v>
      </c>
      <c r="F1154" t="s">
        <v>3629</v>
      </c>
      <c r="G1154" t="s">
        <v>620</v>
      </c>
      <c r="H1154" s="11">
        <v>97.05</v>
      </c>
      <c r="I1154" s="48">
        <f>H1154*(1-IFERROR(VLOOKUP(G1154,Rabat!$C$9:$D$43,2,0),0))</f>
        <v>97.05</v>
      </c>
      <c r="J1154" t="s">
        <v>1815</v>
      </c>
      <c r="K1154" t="s">
        <v>3659</v>
      </c>
      <c r="L1154" t="s">
        <v>1813</v>
      </c>
      <c r="M1154">
        <v>1</v>
      </c>
      <c r="N1154"/>
      <c r="O1154" t="s">
        <v>1818</v>
      </c>
      <c r="P1154" s="12" t="str">
        <f>HYPERLINK("https://b2b.kobi.pl/pl/product/13030,modul-zasilacza-puszkowy-12v-45w-3-75a-ip67?currency=PLN")</f>
        <v>https://b2b.kobi.pl/pl/product/13030,modul-zasilacza-puszkowy-12v-45w-3-75a-ip67?currency=PLN</v>
      </c>
      <c r="Q1154" t="s">
        <v>14</v>
      </c>
      <c r="R1154"/>
      <c r="S1154" t="s">
        <v>2572</v>
      </c>
      <c r="T1154">
        <v>0</v>
      </c>
      <c r="U1154">
        <v>0.08</v>
      </c>
      <c r="V1154">
        <v>0.09</v>
      </c>
      <c r="W1154">
        <v>0</v>
      </c>
      <c r="X1154">
        <v>0</v>
      </c>
      <c r="Y1154">
        <v>0</v>
      </c>
    </row>
    <row r="1155" spans="1:25" ht="60" customHeight="1" x14ac:dyDescent="0.25">
      <c r="A1155"/>
      <c r="B1155" t="s">
        <v>621</v>
      </c>
      <c r="C1155" t="s">
        <v>5</v>
      </c>
      <c r="D1155" t="s">
        <v>618</v>
      </c>
      <c r="E1155" t="s">
        <v>3630</v>
      </c>
      <c r="F1155" t="s">
        <v>3631</v>
      </c>
      <c r="G1155" t="s">
        <v>620</v>
      </c>
      <c r="H1155" s="11">
        <v>115.82</v>
      </c>
      <c r="I1155" s="48">
        <f>H1155*(1-IFERROR(VLOOKUP(G1155,Rabat!$C$9:$D$43,2,0),0))</f>
        <v>115.82</v>
      </c>
      <c r="J1155" t="s">
        <v>1815</v>
      </c>
      <c r="K1155" t="s">
        <v>3660</v>
      </c>
      <c r="L1155" t="s">
        <v>1813</v>
      </c>
      <c r="M1155">
        <v>1</v>
      </c>
      <c r="N1155"/>
      <c r="O1155" t="s">
        <v>1818</v>
      </c>
      <c r="P1155" s="12" t="str">
        <f>HYPERLINK("https://b2b.kobi.pl/pl/product/13032,modul-zasilacza-puszkowy-12v-60w-5-00a-ip67?currency=PLN")</f>
        <v>https://b2b.kobi.pl/pl/product/13032,modul-zasilacza-puszkowy-12v-60w-5-00a-ip67?currency=PLN</v>
      </c>
      <c r="Q1155" t="s">
        <v>14</v>
      </c>
      <c r="R1155"/>
      <c r="S1155" t="s">
        <v>2572</v>
      </c>
      <c r="T1155">
        <v>0</v>
      </c>
      <c r="U1155">
        <v>0.13200000000000001</v>
      </c>
      <c r="V1155">
        <v>0.14199999999999999</v>
      </c>
      <c r="W1155">
        <v>0</v>
      </c>
      <c r="X1155">
        <v>0</v>
      </c>
      <c r="Y1155">
        <v>0</v>
      </c>
    </row>
    <row r="1156" spans="1:25" ht="60" customHeight="1" x14ac:dyDescent="0.25">
      <c r="A1156"/>
      <c r="B1156" t="s">
        <v>621</v>
      </c>
      <c r="C1156" t="s">
        <v>5</v>
      </c>
      <c r="D1156" t="s">
        <v>618</v>
      </c>
      <c r="E1156" t="s">
        <v>3632</v>
      </c>
      <c r="F1156" t="s">
        <v>3633</v>
      </c>
      <c r="G1156" t="s">
        <v>620</v>
      </c>
      <c r="H1156" s="11">
        <v>115.82</v>
      </c>
      <c r="I1156" s="48">
        <f>H1156*(1-IFERROR(VLOOKUP(G1156,Rabat!$C$9:$D$43,2,0),0))</f>
        <v>115.82</v>
      </c>
      <c r="J1156" t="s">
        <v>1815</v>
      </c>
      <c r="K1156" t="s">
        <v>3661</v>
      </c>
      <c r="L1156" t="s">
        <v>1813</v>
      </c>
      <c r="M1156">
        <v>1</v>
      </c>
      <c r="N1156"/>
      <c r="O1156" t="s">
        <v>1818</v>
      </c>
      <c r="P1156" s="12" t="str">
        <f>HYPERLINK("https://b2b.kobi.pl/pl/product/13036,modul-zasilacza-puszkowy-24v-60w-2-50a-ip67?currency=PLN")</f>
        <v>https://b2b.kobi.pl/pl/product/13036,modul-zasilacza-puszkowy-24v-60w-2-50a-ip67?currency=PLN</v>
      </c>
      <c r="Q1156" t="s">
        <v>14</v>
      </c>
      <c r="R1156"/>
      <c r="S1156" t="s">
        <v>2572</v>
      </c>
      <c r="T1156">
        <v>0</v>
      </c>
      <c r="U1156">
        <v>0.13200000000000001</v>
      </c>
      <c r="V1156">
        <v>0.14199999999999999</v>
      </c>
      <c r="W1156">
        <v>0</v>
      </c>
      <c r="X1156">
        <v>0</v>
      </c>
      <c r="Y1156">
        <v>0</v>
      </c>
    </row>
    <row r="1157" spans="1:25" ht="60" customHeight="1" x14ac:dyDescent="0.25">
      <c r="A1157"/>
      <c r="B1157" t="s">
        <v>621</v>
      </c>
      <c r="C1157" t="s">
        <v>5</v>
      </c>
      <c r="D1157" t="s">
        <v>618</v>
      </c>
      <c r="E1157" t="s">
        <v>3634</v>
      </c>
      <c r="F1157" t="s">
        <v>3635</v>
      </c>
      <c r="G1157" t="s">
        <v>620</v>
      </c>
      <c r="H1157" s="11">
        <v>65.73</v>
      </c>
      <c r="I1157" s="48">
        <f>H1157*(1-IFERROR(VLOOKUP(G1157,Rabat!$C$9:$D$43,2,0),0))</f>
        <v>65.73</v>
      </c>
      <c r="J1157" t="s">
        <v>1815</v>
      </c>
      <c r="K1157" t="s">
        <v>3662</v>
      </c>
      <c r="L1157" t="s">
        <v>1813</v>
      </c>
      <c r="M1157">
        <v>1</v>
      </c>
      <c r="N1157"/>
      <c r="O1157" t="s">
        <v>1818</v>
      </c>
      <c r="P1157" s="12" t="str">
        <f>HYPERLINK("https://b2b.kobi.pl/pl/product/13027,modul-zasilacza-puszkowy-12v-20w-1-67a-ip67?currency=PLN")</f>
        <v>https://b2b.kobi.pl/pl/product/13027,modul-zasilacza-puszkowy-12v-20w-1-67a-ip67?currency=PLN</v>
      </c>
      <c r="Q1157" t="s">
        <v>14</v>
      </c>
      <c r="R1157"/>
      <c r="S1157" t="s">
        <v>2572</v>
      </c>
      <c r="T1157">
        <v>0</v>
      </c>
      <c r="U1157">
        <v>0.11</v>
      </c>
      <c r="V1157">
        <v>0.12</v>
      </c>
      <c r="W1157">
        <v>0</v>
      </c>
      <c r="X1157">
        <v>0</v>
      </c>
      <c r="Y1157">
        <v>0</v>
      </c>
    </row>
    <row r="1158" spans="1:25" ht="60" customHeight="1" x14ac:dyDescent="0.25">
      <c r="A1158"/>
      <c r="B1158" t="s">
        <v>621</v>
      </c>
      <c r="C1158" t="s">
        <v>5</v>
      </c>
      <c r="D1158" t="s">
        <v>618</v>
      </c>
      <c r="E1158" t="s">
        <v>3636</v>
      </c>
      <c r="F1158" t="s">
        <v>3637</v>
      </c>
      <c r="G1158" t="s">
        <v>620</v>
      </c>
      <c r="H1158" s="11">
        <v>78.27</v>
      </c>
      <c r="I1158" s="48">
        <f>H1158*(1-IFERROR(VLOOKUP(G1158,Rabat!$C$9:$D$43,2,0),0))</f>
        <v>78.27</v>
      </c>
      <c r="J1158" t="s">
        <v>1815</v>
      </c>
      <c r="K1158" t="s">
        <v>3663</v>
      </c>
      <c r="L1158" t="s">
        <v>1813</v>
      </c>
      <c r="M1158">
        <v>1</v>
      </c>
      <c r="N1158"/>
      <c r="O1158" t="s">
        <v>1818</v>
      </c>
      <c r="P1158" s="12" t="str">
        <f>HYPERLINK("https://b2b.kobi.pl/pl/product/13028,modul-zasilacza-puszkowy-12v-30w-2-50a-ip67?currency=PLN")</f>
        <v>https://b2b.kobi.pl/pl/product/13028,modul-zasilacza-puszkowy-12v-30w-2-50a-ip67?currency=PLN</v>
      </c>
      <c r="Q1158" t="s">
        <v>14</v>
      </c>
      <c r="R1158" t="s">
        <v>4101</v>
      </c>
      <c r="S1158" t="s">
        <v>2572</v>
      </c>
      <c r="T1158">
        <v>0</v>
      </c>
      <c r="U1158">
        <v>0.125</v>
      </c>
      <c r="V1158">
        <v>0.13500000000000001</v>
      </c>
      <c r="W1158">
        <v>0</v>
      </c>
      <c r="X1158">
        <v>0</v>
      </c>
      <c r="Y1158">
        <v>0</v>
      </c>
    </row>
    <row r="1159" spans="1:25" ht="60" customHeight="1" x14ac:dyDescent="0.25">
      <c r="A1159"/>
      <c r="B1159" t="s">
        <v>621</v>
      </c>
      <c r="C1159" t="s">
        <v>5</v>
      </c>
      <c r="D1159" t="s">
        <v>618</v>
      </c>
      <c r="E1159" t="s">
        <v>3638</v>
      </c>
      <c r="F1159" t="s">
        <v>3639</v>
      </c>
      <c r="G1159" t="s">
        <v>620</v>
      </c>
      <c r="H1159" s="11">
        <v>65.73</v>
      </c>
      <c r="I1159" s="48">
        <f>H1159*(1-IFERROR(VLOOKUP(G1159,Rabat!$C$9:$D$43,2,0),0))</f>
        <v>65.73</v>
      </c>
      <c r="J1159" t="s">
        <v>1815</v>
      </c>
      <c r="K1159" t="s">
        <v>3664</v>
      </c>
      <c r="L1159" t="s">
        <v>1813</v>
      </c>
      <c r="M1159">
        <v>1</v>
      </c>
      <c r="N1159"/>
      <c r="O1159" t="s">
        <v>1818</v>
      </c>
      <c r="P1159" s="12" t="str">
        <f>HYPERLINK("https://b2b.kobi.pl/pl/product/13033,modul-zasilacza-puszkowy-24v-20w-0-83a-ip67?currency=PLN")</f>
        <v>https://b2b.kobi.pl/pl/product/13033,modul-zasilacza-puszkowy-24v-20w-0-83a-ip67?currency=PLN</v>
      </c>
      <c r="Q1159" t="s">
        <v>14</v>
      </c>
      <c r="R1159" t="s">
        <v>4101</v>
      </c>
      <c r="S1159" t="s">
        <v>2572</v>
      </c>
      <c r="T1159">
        <v>0</v>
      </c>
      <c r="U1159">
        <v>0.11</v>
      </c>
      <c r="V1159">
        <v>0.12</v>
      </c>
      <c r="W1159">
        <v>0</v>
      </c>
      <c r="X1159">
        <v>0</v>
      </c>
      <c r="Y1159">
        <v>0</v>
      </c>
    </row>
    <row r="1160" spans="1:25" ht="60" customHeight="1" x14ac:dyDescent="0.25">
      <c r="A1160"/>
      <c r="B1160" t="s">
        <v>621</v>
      </c>
      <c r="C1160" t="s">
        <v>5</v>
      </c>
      <c r="D1160" t="s">
        <v>618</v>
      </c>
      <c r="E1160" t="s">
        <v>3640</v>
      </c>
      <c r="F1160" t="s">
        <v>3641</v>
      </c>
      <c r="G1160" t="s">
        <v>620</v>
      </c>
      <c r="H1160" s="11">
        <v>78.27</v>
      </c>
      <c r="I1160" s="48">
        <f>H1160*(1-IFERROR(VLOOKUP(G1160,Rabat!$C$9:$D$43,2,0),0))</f>
        <v>78.27</v>
      </c>
      <c r="J1160" t="s">
        <v>1815</v>
      </c>
      <c r="K1160" t="s">
        <v>3665</v>
      </c>
      <c r="L1160" t="s">
        <v>1813</v>
      </c>
      <c r="M1160">
        <v>1</v>
      </c>
      <c r="N1160"/>
      <c r="O1160" t="s">
        <v>1818</v>
      </c>
      <c r="P1160" s="12" t="str">
        <f>HYPERLINK("https://b2b.kobi.pl/pl/product/13034,modul-zasilacza-puszkowy-24v-30w-1-25a-ip67?currency=PLN")</f>
        <v>https://b2b.kobi.pl/pl/product/13034,modul-zasilacza-puszkowy-24v-30w-1-25a-ip67?currency=PLN</v>
      </c>
      <c r="Q1160" t="s">
        <v>14</v>
      </c>
      <c r="R1160" t="s">
        <v>4101</v>
      </c>
      <c r="S1160" t="s">
        <v>2572</v>
      </c>
      <c r="T1160">
        <v>0</v>
      </c>
      <c r="U1160">
        <v>0.125</v>
      </c>
      <c r="V1160">
        <v>0.13500000000000001</v>
      </c>
      <c r="W1160">
        <v>0</v>
      </c>
      <c r="X1160">
        <v>0</v>
      </c>
      <c r="Y1160">
        <v>0</v>
      </c>
    </row>
    <row r="1161" spans="1:25" ht="60" customHeight="1" x14ac:dyDescent="0.25">
      <c r="A1161"/>
      <c r="B1161" t="s">
        <v>621</v>
      </c>
      <c r="C1161" t="s">
        <v>5</v>
      </c>
      <c r="D1161" t="s">
        <v>618</v>
      </c>
      <c r="E1161" t="s">
        <v>3642</v>
      </c>
      <c r="F1161" t="s">
        <v>3643</v>
      </c>
      <c r="G1161" t="s">
        <v>620</v>
      </c>
      <c r="H1161" s="11">
        <v>97.05</v>
      </c>
      <c r="I1161" s="48">
        <f>H1161*(1-IFERROR(VLOOKUP(G1161,Rabat!$C$9:$D$43,2,0),0))</f>
        <v>97.05</v>
      </c>
      <c r="J1161" t="s">
        <v>1815</v>
      </c>
      <c r="K1161" t="s">
        <v>3666</v>
      </c>
      <c r="L1161" t="s">
        <v>1813</v>
      </c>
      <c r="M1161">
        <v>1</v>
      </c>
      <c r="N1161"/>
      <c r="O1161" t="s">
        <v>1818</v>
      </c>
      <c r="P1161" s="12" t="str">
        <f>HYPERLINK("https://b2b.kobi.pl/pl/product/13035,modul-zasilacza-puszkowy-24v-45w-1-88a-ip67?currency=PLN")</f>
        <v>https://b2b.kobi.pl/pl/product/13035,modul-zasilacza-puszkowy-24v-45w-1-88a-ip67?currency=PLN</v>
      </c>
      <c r="Q1161" t="s">
        <v>14</v>
      </c>
      <c r="R1161" t="s">
        <v>4101</v>
      </c>
      <c r="S1161" t="s">
        <v>2572</v>
      </c>
      <c r="T1161">
        <v>0</v>
      </c>
      <c r="U1161">
        <v>0.08</v>
      </c>
      <c r="V1161">
        <v>0.09</v>
      </c>
      <c r="W1161">
        <v>0</v>
      </c>
      <c r="X1161">
        <v>0</v>
      </c>
      <c r="Y1161">
        <v>0</v>
      </c>
    </row>
    <row r="1162" spans="1:25" ht="60" customHeight="1" x14ac:dyDescent="0.25">
      <c r="A1162"/>
      <c r="B1162" t="s">
        <v>621</v>
      </c>
      <c r="C1162" t="s">
        <v>5</v>
      </c>
      <c r="D1162" t="s">
        <v>618</v>
      </c>
      <c r="E1162" t="s">
        <v>3644</v>
      </c>
      <c r="F1162" t="s">
        <v>3645</v>
      </c>
      <c r="G1162" t="s">
        <v>620</v>
      </c>
      <c r="H1162" s="11">
        <v>62</v>
      </c>
      <c r="I1162" s="48">
        <f>H1162*(1-IFERROR(VLOOKUP(G1162,Rabat!$C$9:$D$43,2,0),0))</f>
        <v>62</v>
      </c>
      <c r="J1162" t="s">
        <v>1815</v>
      </c>
      <c r="K1162" t="s">
        <v>3667</v>
      </c>
      <c r="L1162" t="s">
        <v>1813</v>
      </c>
      <c r="M1162">
        <v>1</v>
      </c>
      <c r="N1162"/>
      <c r="O1162" t="s">
        <v>1818</v>
      </c>
      <c r="P1162" s="12" t="str">
        <f>HYPERLINK("https://b2b.kobi.pl/pl/product/10749,zasilacz-desktop-12v-48w-4-0a?currency=PLN")</f>
        <v>https://b2b.kobi.pl/pl/product/10749,zasilacz-desktop-12v-48w-4-0a?currency=PLN</v>
      </c>
      <c r="Q1162" t="s">
        <v>14</v>
      </c>
      <c r="R1162"/>
      <c r="S1162" t="s">
        <v>2572</v>
      </c>
      <c r="T1162">
        <v>0</v>
      </c>
      <c r="U1162">
        <v>0.25</v>
      </c>
      <c r="V1162">
        <v>0.25600000000000001</v>
      </c>
      <c r="W1162">
        <v>15</v>
      </c>
      <c r="X1162">
        <v>6</v>
      </c>
      <c r="Y1162">
        <v>6</v>
      </c>
    </row>
    <row r="1163" spans="1:25" ht="60" customHeight="1" x14ac:dyDescent="0.25">
      <c r="A1163"/>
      <c r="B1163" t="s">
        <v>621</v>
      </c>
      <c r="C1163" t="s">
        <v>5</v>
      </c>
      <c r="D1163" t="s">
        <v>618</v>
      </c>
      <c r="E1163" t="s">
        <v>1996</v>
      </c>
      <c r="F1163" t="s">
        <v>3646</v>
      </c>
      <c r="G1163" t="s">
        <v>620</v>
      </c>
      <c r="H1163" s="11">
        <v>178.12</v>
      </c>
      <c r="I1163" s="48">
        <f>H1163*(1-IFERROR(VLOOKUP(G1163,Rabat!$C$9:$D$43,2,0),0))</f>
        <v>178.12</v>
      </c>
      <c r="J1163" t="s">
        <v>1815</v>
      </c>
      <c r="K1163" t="s">
        <v>3668</v>
      </c>
      <c r="L1163" t="s">
        <v>1813</v>
      </c>
      <c r="M1163">
        <v>1</v>
      </c>
      <c r="N1163"/>
      <c r="O1163" t="s">
        <v>1818</v>
      </c>
      <c r="P1163" s="12" t="str">
        <f>HYPERLINK("https://b2b.kobi.pl/pl/product/13600,modul-zasilacza-montazowy-24v-250w-10-40a?currency=PLN")</f>
        <v>https://b2b.kobi.pl/pl/product/13600,modul-zasilacza-montazowy-24v-250w-10-40a?currency=PLN</v>
      </c>
      <c r="Q1163" t="s">
        <v>14</v>
      </c>
      <c r="R1163"/>
      <c r="S1163" t="s">
        <v>2572</v>
      </c>
      <c r="T1163">
        <v>0</v>
      </c>
      <c r="U1163">
        <v>0.45</v>
      </c>
      <c r="V1163">
        <v>0.48</v>
      </c>
      <c r="W1163">
        <v>16.5</v>
      </c>
      <c r="X1163">
        <v>10.5</v>
      </c>
      <c r="Y1163">
        <v>4.7</v>
      </c>
    </row>
    <row r="1164" spans="1:25" ht="60" customHeight="1" x14ac:dyDescent="0.25">
      <c r="A1164"/>
      <c r="B1164" t="s">
        <v>621</v>
      </c>
      <c r="C1164" t="s">
        <v>5</v>
      </c>
      <c r="D1164" t="s">
        <v>618</v>
      </c>
      <c r="E1164" t="s">
        <v>2496</v>
      </c>
      <c r="F1164" t="s">
        <v>3647</v>
      </c>
      <c r="G1164" t="s">
        <v>620</v>
      </c>
      <c r="H1164" s="11">
        <v>68.16</v>
      </c>
      <c r="I1164" s="48">
        <f>H1164*(1-IFERROR(VLOOKUP(G1164,Rabat!$C$9:$D$43,2,0),0))</f>
        <v>68.16</v>
      </c>
      <c r="J1164" t="s">
        <v>1815</v>
      </c>
      <c r="K1164" t="s">
        <v>3669</v>
      </c>
      <c r="L1164" t="s">
        <v>1813</v>
      </c>
      <c r="M1164">
        <v>1</v>
      </c>
      <c r="N1164"/>
      <c r="O1164" t="s">
        <v>1818</v>
      </c>
      <c r="P1164" s="12" t="str">
        <f>HYPERLINK("https://b2b.kobi.pl/pl/product/13601,modul-zasilacza-wodoodporny-24v-30w-1-25a-ip67?currency=PLN")</f>
        <v>https://b2b.kobi.pl/pl/product/13601,modul-zasilacza-wodoodporny-24v-30w-1-25a-ip67?currency=PLN</v>
      </c>
      <c r="Q1164" t="s">
        <v>14</v>
      </c>
      <c r="R1164"/>
      <c r="S1164" t="s">
        <v>2572</v>
      </c>
      <c r="T1164">
        <v>0</v>
      </c>
      <c r="U1164">
        <v>0.14000000000000001</v>
      </c>
      <c r="V1164">
        <v>0.15</v>
      </c>
      <c r="W1164">
        <v>15.5</v>
      </c>
      <c r="X1164">
        <v>4.0999999999999996</v>
      </c>
      <c r="Y1164">
        <v>2.7</v>
      </c>
    </row>
    <row r="1165" spans="1:25" ht="60" customHeight="1" x14ac:dyDescent="0.25">
      <c r="A1165"/>
      <c r="B1165" t="s">
        <v>621</v>
      </c>
      <c r="C1165" t="s">
        <v>5</v>
      </c>
      <c r="D1165" t="s">
        <v>618</v>
      </c>
      <c r="E1165" t="s">
        <v>2661</v>
      </c>
      <c r="F1165" t="s">
        <v>3648</v>
      </c>
      <c r="G1165" t="s">
        <v>620</v>
      </c>
      <c r="H1165" s="11">
        <v>52</v>
      </c>
      <c r="I1165" s="48">
        <f>H1165*(1-IFERROR(VLOOKUP(G1165,Rabat!$C$9:$D$43,2,0),0))</f>
        <v>52</v>
      </c>
      <c r="J1165" t="s">
        <v>1815</v>
      </c>
      <c r="K1165" t="s">
        <v>3670</v>
      </c>
      <c r="L1165" t="s">
        <v>1813</v>
      </c>
      <c r="M1165">
        <v>1</v>
      </c>
      <c r="N1165"/>
      <c r="O1165" t="s">
        <v>1818</v>
      </c>
      <c r="P1165"/>
      <c r="Q1165" t="s">
        <v>14</v>
      </c>
      <c r="R1165"/>
      <c r="S1165" t="s">
        <v>2572</v>
      </c>
      <c r="T1165">
        <v>0</v>
      </c>
      <c r="U1165">
        <v>0.18</v>
      </c>
      <c r="V1165">
        <v>0.25</v>
      </c>
      <c r="W1165">
        <v>0</v>
      </c>
      <c r="X1165">
        <v>0</v>
      </c>
      <c r="Y1165">
        <v>0</v>
      </c>
    </row>
    <row r="1166" spans="1:25" ht="60" customHeight="1" x14ac:dyDescent="0.25">
      <c r="A1166"/>
      <c r="B1166" t="s">
        <v>621</v>
      </c>
      <c r="C1166" t="s">
        <v>5</v>
      </c>
      <c r="D1166" t="s">
        <v>618</v>
      </c>
      <c r="E1166" t="s">
        <v>1988</v>
      </c>
      <c r="F1166" t="s">
        <v>4047</v>
      </c>
      <c r="G1166" t="s">
        <v>620</v>
      </c>
      <c r="H1166" s="11">
        <v>59.9</v>
      </c>
      <c r="I1166" s="48">
        <f>H1166*(1-IFERROR(VLOOKUP(G1166,Rabat!$C$9:$D$43,2,0),0))</f>
        <v>59.9</v>
      </c>
      <c r="J1166" t="s">
        <v>1815</v>
      </c>
      <c r="K1166" t="s">
        <v>4243</v>
      </c>
      <c r="L1166" t="s">
        <v>1813</v>
      </c>
      <c r="M1166">
        <v>1</v>
      </c>
      <c r="N1166"/>
      <c r="O1166" t="s">
        <v>1818</v>
      </c>
      <c r="P1166" s="12" t="str">
        <f>HYPERLINK("https://b2b.kobi.pl/pl/product/13663,modul-zasilacza-montazowy-24v-60w-2-50a?currency=PLN")</f>
        <v>https://b2b.kobi.pl/pl/product/13663,modul-zasilacza-montazowy-24v-60w-2-50a?currency=PLN</v>
      </c>
      <c r="Q1166" t="s">
        <v>14</v>
      </c>
      <c r="R1166"/>
      <c r="S1166" t="s">
        <v>2572</v>
      </c>
      <c r="T1166">
        <v>0</v>
      </c>
      <c r="U1166">
        <v>0.18</v>
      </c>
      <c r="V1166">
        <v>0.2</v>
      </c>
      <c r="W1166">
        <v>11.5</v>
      </c>
      <c r="X1166">
        <v>8.5</v>
      </c>
      <c r="Y1166">
        <v>3.2</v>
      </c>
    </row>
    <row r="1167" spans="1:25" ht="60" customHeight="1" x14ac:dyDescent="0.25">
      <c r="A1167"/>
      <c r="B1167" t="s">
        <v>621</v>
      </c>
      <c r="C1167" t="s">
        <v>5</v>
      </c>
      <c r="D1167" t="s">
        <v>618</v>
      </c>
      <c r="E1167" t="s">
        <v>1992</v>
      </c>
      <c r="F1167" t="s">
        <v>4048</v>
      </c>
      <c r="G1167" t="s">
        <v>620</v>
      </c>
      <c r="H1167" s="11">
        <v>120.01</v>
      </c>
      <c r="I1167" s="48">
        <f>H1167*(1-IFERROR(VLOOKUP(G1167,Rabat!$C$9:$D$43,2,0),0))</f>
        <v>120.01</v>
      </c>
      <c r="J1167" t="s">
        <v>1815</v>
      </c>
      <c r="K1167" t="s">
        <v>4244</v>
      </c>
      <c r="L1167" t="s">
        <v>1813</v>
      </c>
      <c r="M1167">
        <v>1</v>
      </c>
      <c r="N1167"/>
      <c r="O1167" t="s">
        <v>1818</v>
      </c>
      <c r="P1167" s="12" t="str">
        <f>HYPERLINK("https://b2b.kobi.pl/pl/product/13662,modul-zasilacza-montazowy-24v-150w-6-25a?currency=PLN")</f>
        <v>https://b2b.kobi.pl/pl/product/13662,modul-zasilacza-montazowy-24v-150w-6-25a?currency=PLN</v>
      </c>
      <c r="Q1167" t="s">
        <v>14</v>
      </c>
      <c r="R1167"/>
      <c r="S1167" t="s">
        <v>2572</v>
      </c>
      <c r="T1167">
        <v>0</v>
      </c>
      <c r="U1167">
        <v>0.3</v>
      </c>
      <c r="V1167">
        <v>0.32</v>
      </c>
      <c r="W1167">
        <v>13.5</v>
      </c>
      <c r="X1167">
        <v>10</v>
      </c>
      <c r="Y1167">
        <v>4</v>
      </c>
    </row>
    <row r="1168" spans="1:25" ht="60" customHeight="1" x14ac:dyDescent="0.25">
      <c r="A1168"/>
      <c r="B1168" t="s">
        <v>621</v>
      </c>
      <c r="C1168" t="s">
        <v>5</v>
      </c>
      <c r="D1168" t="s">
        <v>618</v>
      </c>
      <c r="E1168" t="s">
        <v>1994</v>
      </c>
      <c r="F1168" t="s">
        <v>4049</v>
      </c>
      <c r="G1168" t="s">
        <v>620</v>
      </c>
      <c r="H1168" s="11">
        <v>157.66</v>
      </c>
      <c r="I1168" s="48">
        <f>H1168*(1-IFERROR(VLOOKUP(G1168,Rabat!$C$9:$D$43,2,0),0))</f>
        <v>157.66</v>
      </c>
      <c r="J1168" t="s">
        <v>1815</v>
      </c>
      <c r="K1168" t="s">
        <v>4245</v>
      </c>
      <c r="L1168" t="s">
        <v>1813</v>
      </c>
      <c r="M1168">
        <v>1</v>
      </c>
      <c r="N1168"/>
      <c r="O1168" t="s">
        <v>1818</v>
      </c>
      <c r="P1168" s="12" t="str">
        <f>HYPERLINK("https://b2b.kobi.pl/pl/product/13661,modul-zasilacza-montazowy-24v-200w-8-30a?currency=PLN")</f>
        <v>https://b2b.kobi.pl/pl/product/13661,modul-zasilacza-montazowy-24v-200w-8-30a?currency=PLN</v>
      </c>
      <c r="Q1168" t="s">
        <v>14</v>
      </c>
      <c r="R1168"/>
      <c r="S1168" t="s">
        <v>2572</v>
      </c>
      <c r="T1168">
        <v>0</v>
      </c>
      <c r="U1168">
        <v>0.45</v>
      </c>
      <c r="V1168">
        <v>0.48</v>
      </c>
      <c r="W1168">
        <v>16.5</v>
      </c>
      <c r="X1168">
        <v>10.5</v>
      </c>
      <c r="Y1168">
        <v>4.7</v>
      </c>
    </row>
    <row r="1169" spans="1:25" ht="60" customHeight="1" x14ac:dyDescent="0.25">
      <c r="A1169"/>
      <c r="B1169" t="s">
        <v>621</v>
      </c>
      <c r="C1169" t="s">
        <v>5</v>
      </c>
      <c r="D1169" t="s">
        <v>618</v>
      </c>
      <c r="E1169" t="s">
        <v>2500</v>
      </c>
      <c r="F1169" t="s">
        <v>4050</v>
      </c>
      <c r="G1169" t="s">
        <v>620</v>
      </c>
      <c r="H1169" s="11">
        <v>352.75</v>
      </c>
      <c r="I1169" s="48">
        <f>H1169*(1-IFERROR(VLOOKUP(G1169,Rabat!$C$9:$D$43,2,0),0))</f>
        <v>352.75</v>
      </c>
      <c r="J1169" t="s">
        <v>1815</v>
      </c>
      <c r="K1169" t="s">
        <v>4246</v>
      </c>
      <c r="L1169" t="s">
        <v>1813</v>
      </c>
      <c r="M1169">
        <v>1</v>
      </c>
      <c r="N1169"/>
      <c r="O1169" t="s">
        <v>1818</v>
      </c>
      <c r="P1169" s="12" t="str">
        <f>HYPERLINK("https://b2b.kobi.pl/pl/product/14104,modul-zasilacza-wodoodporny-24v-200w-8-30a-ip67?currency=PLN")</f>
        <v>https://b2b.kobi.pl/pl/product/14104,modul-zasilacza-wodoodporny-24v-200w-8-30a-ip67?currency=PLN</v>
      </c>
      <c r="Q1169" t="s">
        <v>14</v>
      </c>
      <c r="R1169"/>
      <c r="S1169" t="s">
        <v>2572</v>
      </c>
      <c r="T1169">
        <v>0</v>
      </c>
      <c r="U1169">
        <v>0.75</v>
      </c>
      <c r="V1169">
        <v>0.78</v>
      </c>
      <c r="W1169">
        <v>26</v>
      </c>
      <c r="X1169">
        <v>9</v>
      </c>
      <c r="Y1169">
        <v>3.1</v>
      </c>
    </row>
    <row r="1170" spans="1:25" ht="60" customHeight="1" x14ac:dyDescent="0.25">
      <c r="A1170"/>
      <c r="B1170" t="s">
        <v>621</v>
      </c>
      <c r="C1170" t="s">
        <v>5</v>
      </c>
      <c r="D1170" t="s">
        <v>618</v>
      </c>
      <c r="E1170" t="s">
        <v>2556</v>
      </c>
      <c r="F1170" t="s">
        <v>4051</v>
      </c>
      <c r="G1170" t="s">
        <v>620</v>
      </c>
      <c r="H1170" s="11">
        <v>184.5</v>
      </c>
      <c r="I1170" s="48">
        <f>H1170*(1-IFERROR(VLOOKUP(G1170,Rabat!$C$9:$D$43,2,0),0))</f>
        <v>184.5</v>
      </c>
      <c r="J1170" t="s">
        <v>1815</v>
      </c>
      <c r="K1170" t="s">
        <v>4247</v>
      </c>
      <c r="L1170" t="s">
        <v>1813</v>
      </c>
      <c r="M1170">
        <v>1</v>
      </c>
      <c r="N1170"/>
      <c r="O1170" t="s">
        <v>1818</v>
      </c>
      <c r="P1170" s="12" t="str">
        <f>HYPERLINK("https://b2b.kobi.pl/pl/product/13734,modul-zasilacza-wodoodporny-12v-80w-6-67a-ip67?currency=PLN")</f>
        <v>https://b2b.kobi.pl/pl/product/13734,modul-zasilacza-wodoodporny-12v-80w-6-67a-ip67?currency=PLN</v>
      </c>
      <c r="Q1170" t="s">
        <v>14</v>
      </c>
      <c r="R1170"/>
      <c r="S1170" t="s">
        <v>2572</v>
      </c>
      <c r="T1170">
        <v>0</v>
      </c>
      <c r="U1170">
        <v>0.81</v>
      </c>
      <c r="V1170">
        <v>0.85</v>
      </c>
      <c r="W1170">
        <v>4.5</v>
      </c>
      <c r="X1170">
        <v>20</v>
      </c>
      <c r="Y1170">
        <v>7.5</v>
      </c>
    </row>
    <row r="1171" spans="1:25" ht="60" customHeight="1" x14ac:dyDescent="0.25">
      <c r="A1171"/>
      <c r="B1171" t="s">
        <v>621</v>
      </c>
      <c r="C1171" t="s">
        <v>5</v>
      </c>
      <c r="D1171" t="s">
        <v>618</v>
      </c>
      <c r="E1171" t="s">
        <v>2499</v>
      </c>
      <c r="F1171" t="s">
        <v>4052</v>
      </c>
      <c r="G1171" t="s">
        <v>620</v>
      </c>
      <c r="H1171" s="11">
        <v>298.83</v>
      </c>
      <c r="I1171" s="48">
        <f>H1171*(1-IFERROR(VLOOKUP(G1171,Rabat!$C$9:$D$43,2,0),0))</f>
        <v>298.83</v>
      </c>
      <c r="J1171" t="s">
        <v>1815</v>
      </c>
      <c r="K1171" t="s">
        <v>4248</v>
      </c>
      <c r="L1171" t="s">
        <v>1813</v>
      </c>
      <c r="M1171">
        <v>1</v>
      </c>
      <c r="N1171"/>
      <c r="O1171" t="s">
        <v>1818</v>
      </c>
      <c r="P1171" s="12" t="str">
        <f>HYPERLINK("https://b2b.kobi.pl/pl/product/14141,modul-zasilacza-wodoodporny-24v-150w-6-25a-ip67?currency=PLN")</f>
        <v>https://b2b.kobi.pl/pl/product/14141,modul-zasilacza-wodoodporny-24v-150w-6-25a-ip67?currency=PLN</v>
      </c>
      <c r="Q1171" t="s">
        <v>14</v>
      </c>
      <c r="R1171"/>
      <c r="S1171" t="s">
        <v>2572</v>
      </c>
      <c r="T1171">
        <v>0</v>
      </c>
      <c r="U1171">
        <v>0.61</v>
      </c>
      <c r="V1171">
        <v>0.64</v>
      </c>
      <c r="W1171">
        <v>26</v>
      </c>
      <c r="X1171">
        <v>8.6999999999999993</v>
      </c>
      <c r="Y1171">
        <v>3</v>
      </c>
    </row>
    <row r="1172" spans="1:25" ht="60" customHeight="1" x14ac:dyDescent="0.25">
      <c r="A1172"/>
      <c r="B1172" t="s">
        <v>621</v>
      </c>
      <c r="C1172" t="s">
        <v>5</v>
      </c>
      <c r="D1172" t="s">
        <v>618</v>
      </c>
      <c r="E1172" t="s">
        <v>2658</v>
      </c>
      <c r="F1172" t="s">
        <v>4053</v>
      </c>
      <c r="G1172" t="s">
        <v>620</v>
      </c>
      <c r="H1172" s="11">
        <v>57</v>
      </c>
      <c r="I1172" s="48">
        <f>H1172*(1-IFERROR(VLOOKUP(G1172,Rabat!$C$9:$D$43,2,0),0))</f>
        <v>57</v>
      </c>
      <c r="J1172" t="s">
        <v>1815</v>
      </c>
      <c r="K1172" t="s">
        <v>4249</v>
      </c>
      <c r="L1172" t="s">
        <v>1813</v>
      </c>
      <c r="M1172">
        <v>1</v>
      </c>
      <c r="N1172"/>
      <c r="O1172" t="s">
        <v>1818</v>
      </c>
      <c r="P1172" s="12" t="str">
        <f>HYPERLINK("https://b2b.kobi.pl/pl/product/14140,modul-zasilacza-montazowy-12v-35w-3-0a?currency=PLN")</f>
        <v>https://b2b.kobi.pl/pl/product/14140,modul-zasilacza-montazowy-12v-35w-3-0a?currency=PLN</v>
      </c>
      <c r="Q1172" t="s">
        <v>14</v>
      </c>
      <c r="R1172"/>
      <c r="S1172" t="s">
        <v>2572</v>
      </c>
      <c r="T1172">
        <v>0</v>
      </c>
      <c r="U1172">
        <v>0.104</v>
      </c>
      <c r="V1172">
        <v>0.11899999999999999</v>
      </c>
      <c r="W1172">
        <v>6.4</v>
      </c>
      <c r="X1172">
        <v>9.4</v>
      </c>
      <c r="Y1172">
        <v>4</v>
      </c>
    </row>
    <row r="1173" spans="1:25" ht="60" customHeight="1" x14ac:dyDescent="0.25">
      <c r="A1173"/>
      <c r="B1173" t="s">
        <v>621</v>
      </c>
      <c r="C1173" t="s">
        <v>5</v>
      </c>
      <c r="D1173" t="s">
        <v>618</v>
      </c>
      <c r="E1173" t="s">
        <v>2662</v>
      </c>
      <c r="F1173" t="s">
        <v>4054</v>
      </c>
      <c r="G1173" t="s">
        <v>620</v>
      </c>
      <c r="H1173" s="11">
        <v>59.5</v>
      </c>
      <c r="I1173" s="48">
        <f>H1173*(1-IFERROR(VLOOKUP(G1173,Rabat!$C$9:$D$43,2,0),0))</f>
        <v>59.5</v>
      </c>
      <c r="J1173" t="s">
        <v>1815</v>
      </c>
      <c r="K1173" t="s">
        <v>4250</v>
      </c>
      <c r="L1173" t="s">
        <v>1813</v>
      </c>
      <c r="M1173">
        <v>1</v>
      </c>
      <c r="N1173"/>
      <c r="O1173" t="s">
        <v>1818</v>
      </c>
      <c r="P1173" s="12" t="str">
        <f>HYPERLINK("https://b2b.kobi.pl/pl/product/13931,zasilacz-desktop-12v-36w-3-0a-wtyk-dc-2-1x5-5?currency=PLN")</f>
        <v>https://b2b.kobi.pl/pl/product/13931,zasilacz-desktop-12v-36w-3-0a-wtyk-dc-2-1x5-5?currency=PLN</v>
      </c>
      <c r="Q1173" t="s">
        <v>14</v>
      </c>
      <c r="R1173"/>
      <c r="S1173" t="s">
        <v>2572</v>
      </c>
      <c r="T1173">
        <v>0</v>
      </c>
      <c r="U1173">
        <v>0.25</v>
      </c>
      <c r="V1173">
        <v>0.27600000000000002</v>
      </c>
      <c r="W1173">
        <v>16</v>
      </c>
      <c r="X1173">
        <v>10</v>
      </c>
      <c r="Y1173">
        <v>4</v>
      </c>
    </row>
    <row r="1174" spans="1:25" ht="60" customHeight="1" x14ac:dyDescent="0.25">
      <c r="A1174"/>
      <c r="B1174" t="s">
        <v>621</v>
      </c>
      <c r="C1174" t="s">
        <v>5</v>
      </c>
      <c r="D1174" t="s">
        <v>618</v>
      </c>
      <c r="E1174" t="s">
        <v>2559</v>
      </c>
      <c r="F1174" t="s">
        <v>4055</v>
      </c>
      <c r="G1174" t="s">
        <v>620</v>
      </c>
      <c r="H1174" s="11">
        <v>137</v>
      </c>
      <c r="I1174" s="48">
        <f>H1174*(1-IFERROR(VLOOKUP(G1174,Rabat!$C$9:$D$43,2,0),0))</f>
        <v>137</v>
      </c>
      <c r="J1174" t="s">
        <v>1815</v>
      </c>
      <c r="K1174" t="s">
        <v>4251</v>
      </c>
      <c r="L1174" t="s">
        <v>1813</v>
      </c>
      <c r="M1174">
        <v>1</v>
      </c>
      <c r="N1174"/>
      <c r="O1174" t="s">
        <v>1818</v>
      </c>
      <c r="P1174"/>
      <c r="Q1174" t="s">
        <v>14</v>
      </c>
      <c r="R1174"/>
      <c r="S1174" t="s">
        <v>2572</v>
      </c>
      <c r="T1174">
        <v>0</v>
      </c>
      <c r="U1174">
        <v>0.25</v>
      </c>
      <c r="V1174">
        <v>0.27</v>
      </c>
      <c r="W1174">
        <v>7</v>
      </c>
      <c r="X1174">
        <v>20</v>
      </c>
      <c r="Y1174">
        <v>5</v>
      </c>
    </row>
    <row r="1175" spans="1:25" ht="60" customHeight="1" x14ac:dyDescent="0.25">
      <c r="A1175"/>
      <c r="B1175" t="s">
        <v>3743</v>
      </c>
      <c r="C1175" t="s">
        <v>3868</v>
      </c>
      <c r="D1175" t="s">
        <v>618</v>
      </c>
      <c r="E1175" t="s">
        <v>3412</v>
      </c>
      <c r="F1175" t="s">
        <v>3413</v>
      </c>
      <c r="G1175" t="s">
        <v>3414</v>
      </c>
      <c r="H1175" s="11">
        <v>18.38</v>
      </c>
      <c r="I1175" s="48">
        <f>H1175*(1-IFERROR(VLOOKUP(G1175,Rabat!$C$9:$D$43,2,0),0))</f>
        <v>18.38</v>
      </c>
      <c r="J1175"/>
      <c r="K1175" t="s">
        <v>3445</v>
      </c>
      <c r="L1175" t="s">
        <v>1813</v>
      </c>
      <c r="M1175">
        <v>50</v>
      </c>
      <c r="N1175"/>
      <c r="O1175" t="s">
        <v>1818</v>
      </c>
      <c r="P1175" s="12" t="str">
        <f>HYPERLINK("https://b2b.kobi.pl/pl/product/13079,profil-p01-natynkowy-anodowany-srebrny-przeslona-mleczna-2m-kobi?currency=PLN")</f>
        <v>https://b2b.kobi.pl/pl/product/13079,profil-p01-natynkowy-anodowany-srebrny-przeslona-mleczna-2m-kobi?currency=PLN</v>
      </c>
      <c r="Q1175" t="s">
        <v>14</v>
      </c>
      <c r="R1175"/>
      <c r="S1175" t="s">
        <v>2574</v>
      </c>
      <c r="T1175">
        <v>0</v>
      </c>
      <c r="U1175">
        <v>0.158</v>
      </c>
      <c r="V1175">
        <v>0.19600000000000001</v>
      </c>
      <c r="W1175">
        <v>208</v>
      </c>
      <c r="X1175">
        <v>4</v>
      </c>
      <c r="Y1175">
        <v>0.6</v>
      </c>
    </row>
    <row r="1176" spans="1:25" ht="60" customHeight="1" x14ac:dyDescent="0.25">
      <c r="A1176"/>
      <c r="B1176" t="s">
        <v>3743</v>
      </c>
      <c r="C1176" t="s">
        <v>3868</v>
      </c>
      <c r="D1176" t="s">
        <v>618</v>
      </c>
      <c r="E1176" t="s">
        <v>3415</v>
      </c>
      <c r="F1176" t="s">
        <v>3416</v>
      </c>
      <c r="G1176" t="s">
        <v>3414</v>
      </c>
      <c r="H1176" s="11">
        <v>19.16</v>
      </c>
      <c r="I1176" s="48">
        <f>H1176*(1-IFERROR(VLOOKUP(G1176,Rabat!$C$9:$D$43,2,0),0))</f>
        <v>19.16</v>
      </c>
      <c r="J1176"/>
      <c r="K1176" t="s">
        <v>3446</v>
      </c>
      <c r="L1176" t="s">
        <v>1813</v>
      </c>
      <c r="M1176">
        <v>50</v>
      </c>
      <c r="N1176"/>
      <c r="O1176" t="s">
        <v>1818</v>
      </c>
      <c r="P1176" s="12" t="str">
        <f>HYPERLINK("https://b2b.kobi.pl/pl/product/13080,profil-p01-natynkowy-czarny-przeslona-mleczna-2m-kobi?currency=PLN")</f>
        <v>https://b2b.kobi.pl/pl/product/13080,profil-p01-natynkowy-czarny-przeslona-mleczna-2m-kobi?currency=PLN</v>
      </c>
      <c r="Q1176" t="s">
        <v>14</v>
      </c>
      <c r="R1176"/>
      <c r="S1176" t="s">
        <v>2574</v>
      </c>
      <c r="T1176">
        <v>0</v>
      </c>
      <c r="U1176">
        <v>0.155</v>
      </c>
      <c r="V1176">
        <v>0.19</v>
      </c>
      <c r="W1176">
        <v>208</v>
      </c>
      <c r="X1176">
        <v>4</v>
      </c>
      <c r="Y1176">
        <v>0.6</v>
      </c>
    </row>
    <row r="1177" spans="1:25" ht="60" customHeight="1" x14ac:dyDescent="0.25">
      <c r="A1177"/>
      <c r="B1177" t="s">
        <v>3743</v>
      </c>
      <c r="C1177" t="s">
        <v>3868</v>
      </c>
      <c r="D1177" t="s">
        <v>618</v>
      </c>
      <c r="E1177" t="s">
        <v>3417</v>
      </c>
      <c r="F1177" t="s">
        <v>3418</v>
      </c>
      <c r="G1177" t="s">
        <v>3414</v>
      </c>
      <c r="H1177" s="11">
        <v>19.16</v>
      </c>
      <c r="I1177" s="48">
        <f>H1177*(1-IFERROR(VLOOKUP(G1177,Rabat!$C$9:$D$43,2,0),0))</f>
        <v>19.16</v>
      </c>
      <c r="J1177"/>
      <c r="K1177" t="s">
        <v>3447</v>
      </c>
      <c r="L1177" t="s">
        <v>1813</v>
      </c>
      <c r="M1177">
        <v>50</v>
      </c>
      <c r="N1177"/>
      <c r="O1177" t="s">
        <v>1818</v>
      </c>
      <c r="P1177" s="12" t="str">
        <f>HYPERLINK("https://b2b.kobi.pl/pl/product/13081,profil-p01-natynkowy-bialy-przeslona-mleczna-2m-kobi?currency=PLN")</f>
        <v>https://b2b.kobi.pl/pl/product/13081,profil-p01-natynkowy-bialy-przeslona-mleczna-2m-kobi?currency=PLN</v>
      </c>
      <c r="Q1177" t="s">
        <v>14</v>
      </c>
      <c r="R1177"/>
      <c r="S1177" t="s">
        <v>2574</v>
      </c>
      <c r="T1177">
        <v>0</v>
      </c>
      <c r="U1177">
        <v>0.155</v>
      </c>
      <c r="V1177">
        <v>0.193</v>
      </c>
      <c r="W1177">
        <v>208</v>
      </c>
      <c r="X1177">
        <v>4</v>
      </c>
      <c r="Y1177">
        <v>0.6</v>
      </c>
    </row>
    <row r="1178" spans="1:25" ht="60" customHeight="1" x14ac:dyDescent="0.25">
      <c r="A1178"/>
      <c r="B1178" t="s">
        <v>3743</v>
      </c>
      <c r="C1178" t="s">
        <v>3868</v>
      </c>
      <c r="D1178" t="s">
        <v>618</v>
      </c>
      <c r="E1178" t="s">
        <v>3419</v>
      </c>
      <c r="F1178" t="s">
        <v>3420</v>
      </c>
      <c r="G1178" t="s">
        <v>3414</v>
      </c>
      <c r="H1178" s="11">
        <v>18.79</v>
      </c>
      <c r="I1178" s="48">
        <f>H1178*(1-IFERROR(VLOOKUP(G1178,Rabat!$C$9:$D$43,2,0),0))</f>
        <v>18.79</v>
      </c>
      <c r="J1178"/>
      <c r="K1178" t="s">
        <v>3448</v>
      </c>
      <c r="L1178" t="s">
        <v>1813</v>
      </c>
      <c r="M1178">
        <v>50</v>
      </c>
      <c r="N1178"/>
      <c r="O1178" t="s">
        <v>1818</v>
      </c>
      <c r="P1178" s="12" t="str">
        <f>HYPERLINK("https://b2b.kobi.pl/pl/product/13082,profil-p02-podtynkowy-anodowany-srebrny-przeslona-mleczna-2m-kobi?currency=PLN")</f>
        <v>https://b2b.kobi.pl/pl/product/13082,profil-p02-podtynkowy-anodowany-srebrny-przeslona-mleczna-2m-kobi?currency=PLN</v>
      </c>
      <c r="Q1178" t="s">
        <v>14</v>
      </c>
      <c r="R1178"/>
      <c r="S1178" t="s">
        <v>2574</v>
      </c>
      <c r="T1178">
        <v>0</v>
      </c>
      <c r="U1178">
        <v>0.16500000000000001</v>
      </c>
      <c r="V1178">
        <v>0.20300000000000001</v>
      </c>
      <c r="W1178">
        <v>208</v>
      </c>
      <c r="X1178">
        <v>4</v>
      </c>
      <c r="Y1178">
        <v>0.6</v>
      </c>
    </row>
    <row r="1179" spans="1:25" ht="60" customHeight="1" x14ac:dyDescent="0.25">
      <c r="A1179"/>
      <c r="B1179" t="s">
        <v>3743</v>
      </c>
      <c r="C1179" t="s">
        <v>3868</v>
      </c>
      <c r="D1179" t="s">
        <v>618</v>
      </c>
      <c r="E1179" t="s">
        <v>3421</v>
      </c>
      <c r="F1179" t="s">
        <v>3422</v>
      </c>
      <c r="G1179" t="s">
        <v>3414</v>
      </c>
      <c r="H1179" s="11">
        <v>19.53</v>
      </c>
      <c r="I1179" s="48">
        <f>H1179*(1-IFERROR(VLOOKUP(G1179,Rabat!$C$9:$D$43,2,0),0))</f>
        <v>19.53</v>
      </c>
      <c r="J1179"/>
      <c r="K1179" t="s">
        <v>3449</v>
      </c>
      <c r="L1179" t="s">
        <v>1813</v>
      </c>
      <c r="M1179">
        <v>50</v>
      </c>
      <c r="N1179"/>
      <c r="O1179" t="s">
        <v>1818</v>
      </c>
      <c r="P1179" s="12" t="str">
        <f>HYPERLINK("https://b2b.kobi.pl/pl/product/13083,profil-p02-podtynkowy-czarny-przeslona-mleczna-2m-kobi?currency=PLN")</f>
        <v>https://b2b.kobi.pl/pl/product/13083,profil-p02-podtynkowy-czarny-przeslona-mleczna-2m-kobi?currency=PLN</v>
      </c>
      <c r="Q1179" t="s">
        <v>14</v>
      </c>
      <c r="R1179"/>
      <c r="S1179" t="s">
        <v>2574</v>
      </c>
      <c r="T1179">
        <v>0</v>
      </c>
      <c r="U1179">
        <v>0.17399999999999999</v>
      </c>
      <c r="V1179">
        <v>0.21199999999999999</v>
      </c>
      <c r="W1179">
        <v>208</v>
      </c>
      <c r="X1179">
        <v>4</v>
      </c>
      <c r="Y1179">
        <v>0.6</v>
      </c>
    </row>
    <row r="1180" spans="1:25" ht="60" customHeight="1" x14ac:dyDescent="0.25">
      <c r="A1180"/>
      <c r="B1180" t="s">
        <v>3743</v>
      </c>
      <c r="C1180" t="s">
        <v>3868</v>
      </c>
      <c r="D1180" t="s">
        <v>618</v>
      </c>
      <c r="E1180" t="s">
        <v>3423</v>
      </c>
      <c r="F1180" t="s">
        <v>3424</v>
      </c>
      <c r="G1180" t="s">
        <v>3414</v>
      </c>
      <c r="H1180" s="11">
        <v>19.53</v>
      </c>
      <c r="I1180" s="48">
        <f>H1180*(1-IFERROR(VLOOKUP(G1180,Rabat!$C$9:$D$43,2,0),0))</f>
        <v>19.53</v>
      </c>
      <c r="J1180"/>
      <c r="K1180" t="s">
        <v>3450</v>
      </c>
      <c r="L1180" t="s">
        <v>1813</v>
      </c>
      <c r="M1180">
        <v>50</v>
      </c>
      <c r="N1180"/>
      <c r="O1180" t="s">
        <v>1818</v>
      </c>
      <c r="P1180" s="12" t="str">
        <f>HYPERLINK("https://b2b.kobi.pl/pl/product/13084,profil-p02-podtynkowy-bialy-przeslona-mleczna-2m-kobi?currency=PLN")</f>
        <v>https://b2b.kobi.pl/pl/product/13084,profil-p02-podtynkowy-bialy-przeslona-mleczna-2m-kobi?currency=PLN</v>
      </c>
      <c r="Q1180" t="s">
        <v>14</v>
      </c>
      <c r="R1180"/>
      <c r="S1180" t="s">
        <v>2574</v>
      </c>
      <c r="T1180">
        <v>0</v>
      </c>
      <c r="U1180">
        <v>0.17399999999999999</v>
      </c>
      <c r="V1180">
        <v>0.21199999999999999</v>
      </c>
      <c r="W1180">
        <v>208</v>
      </c>
      <c r="X1180">
        <v>4</v>
      </c>
      <c r="Y1180">
        <v>0.6</v>
      </c>
    </row>
    <row r="1181" spans="1:25" ht="60" customHeight="1" x14ac:dyDescent="0.25">
      <c r="A1181"/>
      <c r="B1181" t="s">
        <v>3743</v>
      </c>
      <c r="C1181" t="s">
        <v>3868</v>
      </c>
      <c r="D1181" t="s">
        <v>618</v>
      </c>
      <c r="E1181" t="s">
        <v>3425</v>
      </c>
      <c r="F1181" t="s">
        <v>3426</v>
      </c>
      <c r="G1181" t="s">
        <v>3414</v>
      </c>
      <c r="H1181" s="11">
        <v>24.8</v>
      </c>
      <c r="I1181" s="48">
        <f>H1181*(1-IFERROR(VLOOKUP(G1181,Rabat!$C$9:$D$43,2,0),0))</f>
        <v>24.8</v>
      </c>
      <c r="J1181"/>
      <c r="K1181" t="s">
        <v>3451</v>
      </c>
      <c r="L1181" t="s">
        <v>1813</v>
      </c>
      <c r="M1181">
        <v>50</v>
      </c>
      <c r="N1181"/>
      <c r="O1181" t="s">
        <v>1818</v>
      </c>
      <c r="P1181" s="12" t="str">
        <f>HYPERLINK("https://b2b.kobi.pl/pl/product/13085,profil-n01-narozny-anodowany-srebrny-przeslona-mleczna-2m-kobi?currency=PLN")</f>
        <v>https://b2b.kobi.pl/pl/product/13085,profil-n01-narozny-anodowany-srebrny-przeslona-mleczna-2m-kobi?currency=PLN</v>
      </c>
      <c r="Q1181" t="s">
        <v>14</v>
      </c>
      <c r="R1181"/>
      <c r="S1181" t="s">
        <v>2574</v>
      </c>
      <c r="T1181">
        <v>0</v>
      </c>
      <c r="U1181">
        <v>0.25</v>
      </c>
      <c r="V1181">
        <v>0.28799999999999998</v>
      </c>
      <c r="W1181">
        <v>208</v>
      </c>
      <c r="X1181">
        <v>4</v>
      </c>
      <c r="Y1181">
        <v>1.5</v>
      </c>
    </row>
    <row r="1182" spans="1:25" ht="60" customHeight="1" x14ac:dyDescent="0.25">
      <c r="A1182"/>
      <c r="B1182" t="s">
        <v>3743</v>
      </c>
      <c r="C1182" t="s">
        <v>3868</v>
      </c>
      <c r="D1182" t="s">
        <v>618</v>
      </c>
      <c r="E1182" t="s">
        <v>3427</v>
      </c>
      <c r="F1182" t="s">
        <v>3428</v>
      </c>
      <c r="G1182" t="s">
        <v>3414</v>
      </c>
      <c r="H1182" s="11">
        <v>25.94</v>
      </c>
      <c r="I1182" s="48">
        <f>H1182*(1-IFERROR(VLOOKUP(G1182,Rabat!$C$9:$D$43,2,0),0))</f>
        <v>25.94</v>
      </c>
      <c r="J1182"/>
      <c r="K1182" t="s">
        <v>3452</v>
      </c>
      <c r="L1182" t="s">
        <v>1813</v>
      </c>
      <c r="M1182">
        <v>50</v>
      </c>
      <c r="N1182"/>
      <c r="O1182" t="s">
        <v>1818</v>
      </c>
      <c r="P1182" s="12" t="str">
        <f>HYPERLINK("https://b2b.kobi.pl/pl/product/13086,profil-n01-narozny-czarny-przeslona-mleczna-2m-kobi?currency=PLN")</f>
        <v>https://b2b.kobi.pl/pl/product/13086,profil-n01-narozny-czarny-przeslona-mleczna-2m-kobi?currency=PLN</v>
      </c>
      <c r="Q1182" t="s">
        <v>14</v>
      </c>
      <c r="R1182"/>
      <c r="S1182" t="s">
        <v>2574</v>
      </c>
      <c r="T1182">
        <v>0</v>
      </c>
      <c r="U1182">
        <v>0.26800000000000002</v>
      </c>
      <c r="V1182">
        <v>0.30599999999999999</v>
      </c>
      <c r="W1182">
        <v>208</v>
      </c>
      <c r="X1182">
        <v>4</v>
      </c>
      <c r="Y1182">
        <v>1.5</v>
      </c>
    </row>
    <row r="1183" spans="1:25" ht="60" customHeight="1" x14ac:dyDescent="0.25">
      <c r="A1183"/>
      <c r="B1183" t="s">
        <v>3743</v>
      </c>
      <c r="C1183" t="s">
        <v>3868</v>
      </c>
      <c r="D1183" t="s">
        <v>618</v>
      </c>
      <c r="E1183" t="s">
        <v>3429</v>
      </c>
      <c r="F1183" t="s">
        <v>3430</v>
      </c>
      <c r="G1183" t="s">
        <v>3414</v>
      </c>
      <c r="H1183" s="11">
        <v>25.94</v>
      </c>
      <c r="I1183" s="48">
        <f>H1183*(1-IFERROR(VLOOKUP(G1183,Rabat!$C$9:$D$43,2,0),0))</f>
        <v>25.94</v>
      </c>
      <c r="J1183"/>
      <c r="K1183" t="s">
        <v>3453</v>
      </c>
      <c r="L1183" t="s">
        <v>1813</v>
      </c>
      <c r="M1183">
        <v>50</v>
      </c>
      <c r="N1183"/>
      <c r="O1183" t="s">
        <v>1818</v>
      </c>
      <c r="P1183" s="12" t="str">
        <f>HYPERLINK("https://b2b.kobi.pl/pl/product/13087,profil-n01-narozny-bialy-przeslona-mleczna-2m-kobi?currency=PLN")</f>
        <v>https://b2b.kobi.pl/pl/product/13087,profil-n01-narozny-bialy-przeslona-mleczna-2m-kobi?currency=PLN</v>
      </c>
      <c r="Q1183" t="s">
        <v>14</v>
      </c>
      <c r="R1183"/>
      <c r="S1183" t="s">
        <v>2574</v>
      </c>
      <c r="T1183">
        <v>0</v>
      </c>
      <c r="U1183">
        <v>0.26500000000000001</v>
      </c>
      <c r="V1183">
        <v>0.30299999999999999</v>
      </c>
      <c r="W1183">
        <v>208</v>
      </c>
      <c r="X1183">
        <v>4</v>
      </c>
      <c r="Y1183">
        <v>1.5</v>
      </c>
    </row>
    <row r="1184" spans="1:25" ht="60" customHeight="1" x14ac:dyDescent="0.25">
      <c r="A1184"/>
      <c r="B1184" t="s">
        <v>3743</v>
      </c>
      <c r="C1184" t="s">
        <v>3868</v>
      </c>
      <c r="D1184" t="s">
        <v>618</v>
      </c>
      <c r="E1184" t="s">
        <v>3431</v>
      </c>
      <c r="F1184" t="s">
        <v>3432</v>
      </c>
      <c r="G1184" t="s">
        <v>3414</v>
      </c>
      <c r="H1184" s="11">
        <v>39.1</v>
      </c>
      <c r="I1184" s="48">
        <f>H1184*(1-IFERROR(VLOOKUP(G1184,Rabat!$C$9:$D$43,2,0),0))</f>
        <v>39.1</v>
      </c>
      <c r="J1184"/>
      <c r="K1184" t="s">
        <v>3454</v>
      </c>
      <c r="L1184" t="s">
        <v>1813</v>
      </c>
      <c r="M1184">
        <v>50</v>
      </c>
      <c r="N1184"/>
      <c r="O1184" t="s">
        <v>1818</v>
      </c>
      <c r="P1184" s="12" t="str">
        <f>HYPERLINK("https://b2b.kobi.pl/pl/product/13088,profil-kg01-podtynkowy-anodowany-srebrny-przeslona-mleczna-2m-kobi?currency=PLN")</f>
        <v>https://b2b.kobi.pl/pl/product/13088,profil-kg01-podtynkowy-anodowany-srebrny-przeslona-mleczna-2m-kobi?currency=PLN</v>
      </c>
      <c r="Q1184" t="s">
        <v>14</v>
      </c>
      <c r="R1184"/>
      <c r="S1184" t="s">
        <v>2574</v>
      </c>
      <c r="T1184">
        <v>0</v>
      </c>
      <c r="U1184">
        <v>0.38700000000000001</v>
      </c>
      <c r="V1184">
        <v>0.42499999999999999</v>
      </c>
      <c r="W1184">
        <v>208</v>
      </c>
      <c r="X1184">
        <v>4</v>
      </c>
      <c r="Y1184">
        <v>1.3</v>
      </c>
    </row>
    <row r="1185" spans="1:25" ht="60" customHeight="1" x14ac:dyDescent="0.25">
      <c r="A1185"/>
      <c r="B1185" t="s">
        <v>3743</v>
      </c>
      <c r="C1185" t="s">
        <v>3868</v>
      </c>
      <c r="D1185" t="s">
        <v>618</v>
      </c>
      <c r="E1185" t="s">
        <v>4056</v>
      </c>
      <c r="F1185" t="s">
        <v>4057</v>
      </c>
      <c r="G1185" t="s">
        <v>3414</v>
      </c>
      <c r="H1185" s="11">
        <v>9.17</v>
      </c>
      <c r="I1185" s="48">
        <f>H1185*(1-IFERROR(VLOOKUP(G1185,Rabat!$C$9:$D$43,2,0),0))</f>
        <v>9.17</v>
      </c>
      <c r="J1185"/>
      <c r="K1185" t="s">
        <v>4252</v>
      </c>
      <c r="L1185" t="s">
        <v>1813</v>
      </c>
      <c r="M1185">
        <v>50</v>
      </c>
      <c r="N1185"/>
      <c r="O1185" t="s">
        <v>1818</v>
      </c>
      <c r="P1185" s="12" t="str">
        <f>HYPERLINK("https://b2b.kobi.pl/pl/product/13535,profil-p01-natynkowy-anodowany-srebrny-przeslona-mleczna-1m-kobi?currency=PLN")</f>
        <v>https://b2b.kobi.pl/pl/product/13535,profil-p01-natynkowy-anodowany-srebrny-przeslona-mleczna-1m-kobi?currency=PLN</v>
      </c>
      <c r="Q1185" t="s">
        <v>14</v>
      </c>
      <c r="R1185" t="s">
        <v>4101</v>
      </c>
      <c r="S1185" t="s">
        <v>2574</v>
      </c>
      <c r="T1185">
        <v>0</v>
      </c>
      <c r="U1185">
        <v>0.09</v>
      </c>
      <c r="V1185">
        <v>0.109</v>
      </c>
      <c r="W1185">
        <v>108</v>
      </c>
      <c r="X1185">
        <v>4</v>
      </c>
      <c r="Y1185">
        <v>0.6</v>
      </c>
    </row>
    <row r="1186" spans="1:25" ht="60" customHeight="1" x14ac:dyDescent="0.25">
      <c r="A1186"/>
      <c r="B1186" t="s">
        <v>3743</v>
      </c>
      <c r="C1186" t="s">
        <v>3868</v>
      </c>
      <c r="D1186" t="s">
        <v>618</v>
      </c>
      <c r="E1186" t="s">
        <v>4058</v>
      </c>
      <c r="F1186" t="s">
        <v>4059</v>
      </c>
      <c r="G1186" t="s">
        <v>3414</v>
      </c>
      <c r="H1186" s="11">
        <v>9.5299999999999994</v>
      </c>
      <c r="I1186" s="48">
        <f>H1186*(1-IFERROR(VLOOKUP(G1186,Rabat!$C$9:$D$43,2,0),0))</f>
        <v>9.5299999999999994</v>
      </c>
      <c r="J1186"/>
      <c r="K1186" t="s">
        <v>4253</v>
      </c>
      <c r="L1186" t="s">
        <v>1813</v>
      </c>
      <c r="M1186">
        <v>50</v>
      </c>
      <c r="N1186"/>
      <c r="O1186" t="s">
        <v>1818</v>
      </c>
      <c r="P1186" s="12" t="str">
        <f>HYPERLINK("https://b2b.kobi.pl/pl/product/13536,profil-p01-natynkowy-czarny-przeslona-mleczna-1m-kobi?currency=PLN")</f>
        <v>https://b2b.kobi.pl/pl/product/13536,profil-p01-natynkowy-czarny-przeslona-mleczna-1m-kobi?currency=PLN</v>
      </c>
      <c r="Q1186" t="s">
        <v>14</v>
      </c>
      <c r="R1186" t="s">
        <v>4101</v>
      </c>
      <c r="S1186" t="s">
        <v>2574</v>
      </c>
      <c r="T1186">
        <v>0</v>
      </c>
      <c r="U1186">
        <v>8.8999999999999996E-2</v>
      </c>
      <c r="V1186">
        <v>0.108</v>
      </c>
      <c r="W1186">
        <v>108</v>
      </c>
      <c r="X1186">
        <v>4</v>
      </c>
      <c r="Y1186">
        <v>0.6</v>
      </c>
    </row>
    <row r="1187" spans="1:25" ht="60" customHeight="1" x14ac:dyDescent="0.25">
      <c r="A1187"/>
      <c r="B1187" t="s">
        <v>3743</v>
      </c>
      <c r="C1187" t="s">
        <v>3868</v>
      </c>
      <c r="D1187" t="s">
        <v>618</v>
      </c>
      <c r="E1187" t="s">
        <v>4060</v>
      </c>
      <c r="F1187" t="s">
        <v>4061</v>
      </c>
      <c r="G1187" t="s">
        <v>3414</v>
      </c>
      <c r="H1187" s="11">
        <v>9.5299999999999994</v>
      </c>
      <c r="I1187" s="48">
        <f>H1187*(1-IFERROR(VLOOKUP(G1187,Rabat!$C$9:$D$43,2,0),0))</f>
        <v>9.5299999999999994</v>
      </c>
      <c r="J1187"/>
      <c r="K1187" t="s">
        <v>4254</v>
      </c>
      <c r="L1187" t="s">
        <v>1813</v>
      </c>
      <c r="M1187">
        <v>50</v>
      </c>
      <c r="N1187"/>
      <c r="O1187" t="s">
        <v>1818</v>
      </c>
      <c r="P1187" s="12" t="str">
        <f>HYPERLINK("https://b2b.kobi.pl/pl/product/13537,profil-p01-natynkowy-bialy-przeslona-mleczna-1m-kobi?currency=PLN")</f>
        <v>https://b2b.kobi.pl/pl/product/13537,profil-p01-natynkowy-bialy-przeslona-mleczna-1m-kobi?currency=PLN</v>
      </c>
      <c r="Q1187" t="s">
        <v>14</v>
      </c>
      <c r="R1187" t="s">
        <v>4101</v>
      </c>
      <c r="S1187" t="s">
        <v>2574</v>
      </c>
      <c r="T1187">
        <v>0</v>
      </c>
      <c r="U1187">
        <v>8.8999999999999996E-2</v>
      </c>
      <c r="V1187">
        <v>0.108</v>
      </c>
      <c r="W1187">
        <v>108</v>
      </c>
      <c r="X1187">
        <v>4</v>
      </c>
      <c r="Y1187">
        <v>0.6</v>
      </c>
    </row>
    <row r="1188" spans="1:25" ht="60" customHeight="1" x14ac:dyDescent="0.25">
      <c r="A1188"/>
      <c r="B1188" t="s">
        <v>3743</v>
      </c>
      <c r="C1188" t="s">
        <v>3868</v>
      </c>
      <c r="D1188" t="s">
        <v>618</v>
      </c>
      <c r="E1188" t="s">
        <v>4062</v>
      </c>
      <c r="F1188" t="s">
        <v>4063</v>
      </c>
      <c r="G1188" t="s">
        <v>3414</v>
      </c>
      <c r="H1188" s="11">
        <v>9.35</v>
      </c>
      <c r="I1188" s="48">
        <f>H1188*(1-IFERROR(VLOOKUP(G1188,Rabat!$C$9:$D$43,2,0),0))</f>
        <v>9.35</v>
      </c>
      <c r="J1188"/>
      <c r="K1188" t="s">
        <v>4255</v>
      </c>
      <c r="L1188" t="s">
        <v>1813</v>
      </c>
      <c r="M1188">
        <v>50</v>
      </c>
      <c r="N1188"/>
      <c r="O1188" t="s">
        <v>1818</v>
      </c>
      <c r="P1188" s="12" t="str">
        <f>HYPERLINK("https://b2b.kobi.pl/pl/product/13538,profil-p02-podtynkowy-anodowany-srebrny-przeslona-mleczna-1m-kobi?currency=PLN")</f>
        <v>https://b2b.kobi.pl/pl/product/13538,profil-p02-podtynkowy-anodowany-srebrny-przeslona-mleczna-1m-kobi?currency=PLN</v>
      </c>
      <c r="Q1188" t="s">
        <v>14</v>
      </c>
      <c r="R1188" t="s">
        <v>4101</v>
      </c>
      <c r="S1188" t="s">
        <v>2574</v>
      </c>
      <c r="T1188">
        <v>0</v>
      </c>
      <c r="U1188">
        <v>8.8999999999999996E-2</v>
      </c>
      <c r="V1188">
        <v>0.108</v>
      </c>
      <c r="W1188">
        <v>108</v>
      </c>
      <c r="X1188">
        <v>4</v>
      </c>
      <c r="Y1188">
        <v>0.6</v>
      </c>
    </row>
    <row r="1189" spans="1:25" ht="60" customHeight="1" x14ac:dyDescent="0.25">
      <c r="A1189"/>
      <c r="B1189" t="s">
        <v>3743</v>
      </c>
      <c r="C1189" t="s">
        <v>3868</v>
      </c>
      <c r="D1189" t="s">
        <v>618</v>
      </c>
      <c r="E1189" t="s">
        <v>4064</v>
      </c>
      <c r="F1189" t="s">
        <v>4065</v>
      </c>
      <c r="G1189" t="s">
        <v>3414</v>
      </c>
      <c r="H1189" s="11">
        <v>9.7200000000000006</v>
      </c>
      <c r="I1189" s="48">
        <f>H1189*(1-IFERROR(VLOOKUP(G1189,Rabat!$C$9:$D$43,2,0),0))</f>
        <v>9.7200000000000006</v>
      </c>
      <c r="J1189"/>
      <c r="K1189" t="s">
        <v>4256</v>
      </c>
      <c r="L1189" t="s">
        <v>1813</v>
      </c>
      <c r="M1189">
        <v>50</v>
      </c>
      <c r="N1189"/>
      <c r="O1189" t="s">
        <v>1818</v>
      </c>
      <c r="P1189" s="12" t="str">
        <f>HYPERLINK("https://b2b.kobi.pl/pl/product/13539,profil-p02-podtynkowy-czarny-przeslona-mleczna-1m-kobi?currency=PLN")</f>
        <v>https://b2b.kobi.pl/pl/product/13539,profil-p02-podtynkowy-czarny-przeslona-mleczna-1m-kobi?currency=PLN</v>
      </c>
      <c r="Q1189" t="s">
        <v>14</v>
      </c>
      <c r="R1189" t="s">
        <v>4101</v>
      </c>
      <c r="S1189" t="s">
        <v>2574</v>
      </c>
      <c r="T1189">
        <v>0</v>
      </c>
      <c r="U1189">
        <v>7.6999999999999999E-2</v>
      </c>
      <c r="V1189">
        <v>9.6000000000000002E-2</v>
      </c>
      <c r="W1189">
        <v>108</v>
      </c>
      <c r="X1189">
        <v>4</v>
      </c>
      <c r="Y1189">
        <v>0.6</v>
      </c>
    </row>
    <row r="1190" spans="1:25" ht="60" customHeight="1" x14ac:dyDescent="0.25">
      <c r="A1190"/>
      <c r="B1190" t="s">
        <v>3743</v>
      </c>
      <c r="C1190" t="s">
        <v>3868</v>
      </c>
      <c r="D1190" t="s">
        <v>618</v>
      </c>
      <c r="E1190" t="s">
        <v>4066</v>
      </c>
      <c r="F1190" t="s">
        <v>4067</v>
      </c>
      <c r="G1190" t="s">
        <v>3414</v>
      </c>
      <c r="H1190" s="11">
        <v>9.7200000000000006</v>
      </c>
      <c r="I1190" s="48">
        <f>H1190*(1-IFERROR(VLOOKUP(G1190,Rabat!$C$9:$D$43,2,0),0))</f>
        <v>9.7200000000000006</v>
      </c>
      <c r="J1190"/>
      <c r="K1190" t="s">
        <v>4257</v>
      </c>
      <c r="L1190" t="s">
        <v>1813</v>
      </c>
      <c r="M1190">
        <v>50</v>
      </c>
      <c r="N1190"/>
      <c r="O1190" t="s">
        <v>1818</v>
      </c>
      <c r="P1190" s="12" t="str">
        <f>HYPERLINK("https://b2b.kobi.pl/pl/product/13540,profil-p02-podtynkowy-bialy-przeslona-mleczna-1m-kobi?currency=PLN")</f>
        <v>https://b2b.kobi.pl/pl/product/13540,profil-p02-podtynkowy-bialy-przeslona-mleczna-1m-kobi?currency=PLN</v>
      </c>
      <c r="Q1190" t="s">
        <v>14</v>
      </c>
      <c r="R1190" t="s">
        <v>4101</v>
      </c>
      <c r="S1190" t="s">
        <v>2574</v>
      </c>
      <c r="T1190">
        <v>0</v>
      </c>
      <c r="U1190">
        <v>7.3999999999999996E-2</v>
      </c>
      <c r="V1190">
        <v>9.2999999999999999E-2</v>
      </c>
      <c r="W1190">
        <v>108</v>
      </c>
      <c r="X1190">
        <v>4</v>
      </c>
      <c r="Y1190">
        <v>0.6</v>
      </c>
    </row>
    <row r="1191" spans="1:25" ht="60" customHeight="1" x14ac:dyDescent="0.25">
      <c r="A1191"/>
      <c r="B1191" t="s">
        <v>3743</v>
      </c>
      <c r="C1191" t="s">
        <v>3868</v>
      </c>
      <c r="D1191" t="s">
        <v>618</v>
      </c>
      <c r="E1191" t="s">
        <v>4068</v>
      </c>
      <c r="F1191" t="s">
        <v>4069</v>
      </c>
      <c r="G1191" t="s">
        <v>3414</v>
      </c>
      <c r="H1191" s="11">
        <v>12.42</v>
      </c>
      <c r="I1191" s="48">
        <f>H1191*(1-IFERROR(VLOOKUP(G1191,Rabat!$C$9:$D$43,2,0),0))</f>
        <v>12.42</v>
      </c>
      <c r="J1191"/>
      <c r="K1191" t="s">
        <v>4258</v>
      </c>
      <c r="L1191" t="s">
        <v>1813</v>
      </c>
      <c r="M1191">
        <v>50</v>
      </c>
      <c r="N1191"/>
      <c r="O1191" t="s">
        <v>1818</v>
      </c>
      <c r="P1191" s="12" t="str">
        <f>HYPERLINK("https://b2b.kobi.pl/pl/product/13541,profil-n01-narozny-anodowany-srebrny-przeslona-mleczna-1m-kobi?currency=PLN")</f>
        <v>https://b2b.kobi.pl/pl/product/13541,profil-n01-narozny-anodowany-srebrny-przeslona-mleczna-1m-kobi?currency=PLN</v>
      </c>
      <c r="Q1191" t="s">
        <v>14</v>
      </c>
      <c r="R1191" t="s">
        <v>4101</v>
      </c>
      <c r="S1191" t="s">
        <v>2574</v>
      </c>
      <c r="T1191">
        <v>0</v>
      </c>
      <c r="U1191">
        <v>0.11600000000000001</v>
      </c>
      <c r="V1191">
        <v>0.13500000000000001</v>
      </c>
      <c r="W1191">
        <v>108</v>
      </c>
      <c r="X1191">
        <v>4</v>
      </c>
      <c r="Y1191">
        <v>1.5</v>
      </c>
    </row>
    <row r="1192" spans="1:25" ht="60" customHeight="1" x14ac:dyDescent="0.25">
      <c r="A1192"/>
      <c r="B1192" t="s">
        <v>3743</v>
      </c>
      <c r="C1192" t="s">
        <v>3868</v>
      </c>
      <c r="D1192" t="s">
        <v>618</v>
      </c>
      <c r="E1192" t="s">
        <v>4070</v>
      </c>
      <c r="F1192" t="s">
        <v>4071</v>
      </c>
      <c r="G1192" t="s">
        <v>3414</v>
      </c>
      <c r="H1192" s="11">
        <v>12.97</v>
      </c>
      <c r="I1192" s="48">
        <f>H1192*(1-IFERROR(VLOOKUP(G1192,Rabat!$C$9:$D$43,2,0),0))</f>
        <v>12.97</v>
      </c>
      <c r="J1192"/>
      <c r="K1192" t="s">
        <v>4259</v>
      </c>
      <c r="L1192" t="s">
        <v>1813</v>
      </c>
      <c r="M1192">
        <v>50</v>
      </c>
      <c r="N1192"/>
      <c r="O1192" t="s">
        <v>1818</v>
      </c>
      <c r="P1192" s="12" t="str">
        <f>HYPERLINK("https://b2b.kobi.pl/pl/product/13542,profil-n01-narozny-czarny-przeslona-mleczna-1m-kobi?currency=PLN")</f>
        <v>https://b2b.kobi.pl/pl/product/13542,profil-n01-narozny-czarny-przeslona-mleczna-1m-kobi?currency=PLN</v>
      </c>
      <c r="Q1192" t="s">
        <v>14</v>
      </c>
      <c r="R1192" t="s">
        <v>4101</v>
      </c>
      <c r="S1192" t="s">
        <v>2574</v>
      </c>
      <c r="T1192">
        <v>0</v>
      </c>
      <c r="U1192">
        <v>0.123</v>
      </c>
      <c r="V1192">
        <v>0.14199999999999999</v>
      </c>
      <c r="W1192">
        <v>108</v>
      </c>
      <c r="X1192">
        <v>4</v>
      </c>
      <c r="Y1192">
        <v>1.5</v>
      </c>
    </row>
    <row r="1193" spans="1:25" ht="60" customHeight="1" x14ac:dyDescent="0.25">
      <c r="A1193"/>
      <c r="B1193" t="s">
        <v>3743</v>
      </c>
      <c r="C1193" t="s">
        <v>3868</v>
      </c>
      <c r="D1193" t="s">
        <v>618</v>
      </c>
      <c r="E1193" t="s">
        <v>4072</v>
      </c>
      <c r="F1193" t="s">
        <v>4073</v>
      </c>
      <c r="G1193" t="s">
        <v>3414</v>
      </c>
      <c r="H1193" s="11">
        <v>12.97</v>
      </c>
      <c r="I1193" s="48">
        <f>H1193*(1-IFERROR(VLOOKUP(G1193,Rabat!$C$9:$D$43,2,0),0))</f>
        <v>12.97</v>
      </c>
      <c r="J1193"/>
      <c r="K1193" t="s">
        <v>4260</v>
      </c>
      <c r="L1193" t="s">
        <v>1813</v>
      </c>
      <c r="M1193">
        <v>50</v>
      </c>
      <c r="N1193"/>
      <c r="O1193" t="s">
        <v>1818</v>
      </c>
      <c r="P1193" s="12" t="str">
        <f>HYPERLINK("https://b2b.kobi.pl/pl/product/13543,profil-n01-narozny-bialy-przeslona-mleczna-1m-kobi?currency=PLN")</f>
        <v>https://b2b.kobi.pl/pl/product/13543,profil-n01-narozny-bialy-przeslona-mleczna-1m-kobi?currency=PLN</v>
      </c>
      <c r="Q1193" t="s">
        <v>14</v>
      </c>
      <c r="R1193" t="s">
        <v>4101</v>
      </c>
      <c r="S1193" t="s">
        <v>2574</v>
      </c>
      <c r="T1193">
        <v>0</v>
      </c>
      <c r="U1193">
        <v>0.123</v>
      </c>
      <c r="V1193">
        <v>0.14199999999999999</v>
      </c>
      <c r="W1193">
        <v>108</v>
      </c>
      <c r="X1193">
        <v>4</v>
      </c>
      <c r="Y1193">
        <v>1.5</v>
      </c>
    </row>
    <row r="1194" spans="1:25" ht="60" customHeight="1" x14ac:dyDescent="0.25">
      <c r="A1194"/>
      <c r="B1194" t="s">
        <v>3743</v>
      </c>
      <c r="C1194" t="s">
        <v>3868</v>
      </c>
      <c r="D1194" t="s">
        <v>618</v>
      </c>
      <c r="E1194" t="s">
        <v>4074</v>
      </c>
      <c r="F1194" t="s">
        <v>4075</v>
      </c>
      <c r="G1194" t="s">
        <v>3414</v>
      </c>
      <c r="H1194" s="11">
        <v>19.62</v>
      </c>
      <c r="I1194" s="48">
        <f>H1194*(1-IFERROR(VLOOKUP(G1194,Rabat!$C$9:$D$43,2,0),0))</f>
        <v>19.62</v>
      </c>
      <c r="J1194"/>
      <c r="K1194" t="s">
        <v>4261</v>
      </c>
      <c r="L1194" t="s">
        <v>1813</v>
      </c>
      <c r="M1194">
        <v>50</v>
      </c>
      <c r="N1194"/>
      <c r="O1194" t="s">
        <v>1818</v>
      </c>
      <c r="P1194" s="12" t="str">
        <f>HYPERLINK("https://b2b.kobi.pl/pl/product/13544,profil-kg01-podtynkowy-anodowany-srebrny-przeslona-mleczna-1m-kobi?currency=PLN")</f>
        <v>https://b2b.kobi.pl/pl/product/13544,profil-kg01-podtynkowy-anodowany-srebrny-przeslona-mleczna-1m-kobi?currency=PLN</v>
      </c>
      <c r="Q1194" t="s">
        <v>14</v>
      </c>
      <c r="R1194" t="s">
        <v>4101</v>
      </c>
      <c r="S1194" t="s">
        <v>2574</v>
      </c>
      <c r="T1194">
        <v>0</v>
      </c>
      <c r="U1194">
        <v>0.187</v>
      </c>
      <c r="V1194">
        <v>0.20599999999999999</v>
      </c>
      <c r="W1194">
        <v>108</v>
      </c>
      <c r="X1194">
        <v>4</v>
      </c>
      <c r="Y1194">
        <v>1.3</v>
      </c>
    </row>
    <row r="1195" spans="1:25" ht="60" customHeight="1" x14ac:dyDescent="0.25">
      <c r="A1195"/>
      <c r="B1195" t="s">
        <v>3743</v>
      </c>
      <c r="C1195" t="s">
        <v>3868</v>
      </c>
      <c r="D1195" t="s">
        <v>618</v>
      </c>
      <c r="E1195" t="s">
        <v>4076</v>
      </c>
      <c r="F1195" t="s">
        <v>4077</v>
      </c>
      <c r="G1195" t="s">
        <v>3414</v>
      </c>
      <c r="H1195" s="11">
        <v>20.170000000000002</v>
      </c>
      <c r="I1195" s="48">
        <f>H1195*(1-IFERROR(VLOOKUP(G1195,Rabat!$C$9:$D$43,2,0),0))</f>
        <v>20.170000000000002</v>
      </c>
      <c r="J1195"/>
      <c r="K1195" t="s">
        <v>4262</v>
      </c>
      <c r="L1195" t="s">
        <v>1813</v>
      </c>
      <c r="M1195">
        <v>50</v>
      </c>
      <c r="N1195"/>
      <c r="O1195" t="s">
        <v>1818</v>
      </c>
      <c r="P1195" s="12" t="str">
        <f>HYPERLINK("https://b2b.kobi.pl/pl/product/13545,profil-kg01-podtynkowy-czarny-przeslona-mleczna-1m-kobi?currency=PLN")</f>
        <v>https://b2b.kobi.pl/pl/product/13545,profil-kg01-podtynkowy-czarny-przeslona-mleczna-1m-kobi?currency=PLN</v>
      </c>
      <c r="Q1195" t="s">
        <v>14</v>
      </c>
      <c r="R1195" t="s">
        <v>4101</v>
      </c>
      <c r="S1195" t="s">
        <v>2574</v>
      </c>
      <c r="T1195">
        <v>0</v>
      </c>
      <c r="U1195">
        <v>0.189</v>
      </c>
      <c r="V1195">
        <v>0.20799999999999999</v>
      </c>
      <c r="W1195">
        <v>108</v>
      </c>
      <c r="X1195">
        <v>4</v>
      </c>
      <c r="Y1195">
        <v>1.3</v>
      </c>
    </row>
    <row r="1196" spans="1:25" ht="60" customHeight="1" x14ac:dyDescent="0.25">
      <c r="A1196"/>
      <c r="B1196" t="s">
        <v>3743</v>
      </c>
      <c r="C1196" t="s">
        <v>3868</v>
      </c>
      <c r="D1196" t="s">
        <v>618</v>
      </c>
      <c r="E1196" t="s">
        <v>4078</v>
      </c>
      <c r="F1196" t="s">
        <v>4079</v>
      </c>
      <c r="G1196" t="s">
        <v>3414</v>
      </c>
      <c r="H1196" s="11">
        <v>20.170000000000002</v>
      </c>
      <c r="I1196" s="48">
        <f>H1196*(1-IFERROR(VLOOKUP(G1196,Rabat!$C$9:$D$43,2,0),0))</f>
        <v>20.170000000000002</v>
      </c>
      <c r="J1196"/>
      <c r="K1196" t="s">
        <v>4263</v>
      </c>
      <c r="L1196" t="s">
        <v>1813</v>
      </c>
      <c r="M1196">
        <v>50</v>
      </c>
      <c r="N1196"/>
      <c r="O1196" t="s">
        <v>1818</v>
      </c>
      <c r="P1196" s="12" t="str">
        <f>HYPERLINK("https://b2b.kobi.pl/pl/product/13546,profil-kg01-podtynkowy-bialy-przeslona-mleczna-1m-kobi?currency=PLN")</f>
        <v>https://b2b.kobi.pl/pl/product/13546,profil-kg01-podtynkowy-bialy-przeslona-mleczna-1m-kobi?currency=PLN</v>
      </c>
      <c r="Q1196" t="s">
        <v>14</v>
      </c>
      <c r="R1196" t="s">
        <v>4101</v>
      </c>
      <c r="S1196" t="s">
        <v>2574</v>
      </c>
      <c r="T1196">
        <v>0</v>
      </c>
      <c r="U1196">
        <v>0.19600000000000001</v>
      </c>
      <c r="V1196">
        <v>0.215</v>
      </c>
      <c r="W1196">
        <v>108</v>
      </c>
      <c r="X1196">
        <v>4</v>
      </c>
      <c r="Y1196">
        <v>1.3</v>
      </c>
    </row>
    <row r="1197" spans="1:25" ht="60" customHeight="1" x14ac:dyDescent="0.25">
      <c r="A1197"/>
      <c r="B1197" t="s">
        <v>3743</v>
      </c>
      <c r="C1197" t="s">
        <v>3868</v>
      </c>
      <c r="D1197" t="s">
        <v>618</v>
      </c>
      <c r="E1197" t="s">
        <v>4080</v>
      </c>
      <c r="F1197" t="s">
        <v>4081</v>
      </c>
      <c r="G1197" t="s">
        <v>3414</v>
      </c>
      <c r="H1197" s="11">
        <v>19.62</v>
      </c>
      <c r="I1197" s="48">
        <f>H1197*(1-IFERROR(VLOOKUP(G1197,Rabat!$C$9:$D$43,2,0),0))</f>
        <v>19.62</v>
      </c>
      <c r="J1197"/>
      <c r="K1197" t="s">
        <v>4264</v>
      </c>
      <c r="L1197" t="s">
        <v>1813</v>
      </c>
      <c r="M1197">
        <v>50</v>
      </c>
      <c r="N1197"/>
      <c r="O1197" t="s">
        <v>1818</v>
      </c>
      <c r="P1197" s="12" t="str">
        <f>HYPERLINK("https://b2b.kobi.pl/pl/product/13547,profil-kg02-podtynkowy-anodowany-srebrny-przeslona-mleczna-1m-kobi?currency=PLN")</f>
        <v>https://b2b.kobi.pl/pl/product/13547,profil-kg02-podtynkowy-anodowany-srebrny-przeslona-mleczna-1m-kobi?currency=PLN</v>
      </c>
      <c r="Q1197" t="s">
        <v>14</v>
      </c>
      <c r="R1197" t="s">
        <v>4101</v>
      </c>
      <c r="S1197" t="s">
        <v>2574</v>
      </c>
      <c r="T1197">
        <v>0</v>
      </c>
      <c r="U1197">
        <v>0.188</v>
      </c>
      <c r="V1197">
        <v>0.20699999999999999</v>
      </c>
      <c r="W1197">
        <v>108</v>
      </c>
      <c r="X1197">
        <v>4</v>
      </c>
      <c r="Y1197">
        <v>1.5</v>
      </c>
    </row>
    <row r="1198" spans="1:25" ht="60" customHeight="1" x14ac:dyDescent="0.25">
      <c r="A1198"/>
      <c r="B1198" t="s">
        <v>3743</v>
      </c>
      <c r="C1198" t="s">
        <v>3868</v>
      </c>
      <c r="D1198" t="s">
        <v>618</v>
      </c>
      <c r="E1198" t="s">
        <v>4082</v>
      </c>
      <c r="F1198" t="s">
        <v>4083</v>
      </c>
      <c r="G1198" t="s">
        <v>3414</v>
      </c>
      <c r="H1198" s="11">
        <v>20.170000000000002</v>
      </c>
      <c r="I1198" s="48">
        <f>H1198*(1-IFERROR(VLOOKUP(G1198,Rabat!$C$9:$D$43,2,0),0))</f>
        <v>20.170000000000002</v>
      </c>
      <c r="J1198"/>
      <c r="K1198" t="s">
        <v>4265</v>
      </c>
      <c r="L1198" t="s">
        <v>1813</v>
      </c>
      <c r="M1198">
        <v>50</v>
      </c>
      <c r="N1198"/>
      <c r="O1198" t="s">
        <v>1818</v>
      </c>
      <c r="P1198" s="12" t="str">
        <f>HYPERLINK("https://b2b.kobi.pl/pl/product/13548,profil-kg02-podtynkowy-czarny-przeslona-mleczna-1m-kobi?currency=PLN")</f>
        <v>https://b2b.kobi.pl/pl/product/13548,profil-kg02-podtynkowy-czarny-przeslona-mleczna-1m-kobi?currency=PLN</v>
      </c>
      <c r="Q1198" t="s">
        <v>14</v>
      </c>
      <c r="R1198" t="s">
        <v>4101</v>
      </c>
      <c r="S1198" t="s">
        <v>2574</v>
      </c>
      <c r="T1198">
        <v>0</v>
      </c>
      <c r="U1198">
        <v>0.188</v>
      </c>
      <c r="V1198">
        <v>0.20699999999999999</v>
      </c>
      <c r="W1198">
        <v>108</v>
      </c>
      <c r="X1198">
        <v>4</v>
      </c>
      <c r="Y1198">
        <v>1.5</v>
      </c>
    </row>
    <row r="1199" spans="1:25" ht="60" customHeight="1" x14ac:dyDescent="0.25">
      <c r="A1199"/>
      <c r="B1199" t="s">
        <v>3743</v>
      </c>
      <c r="C1199" t="s">
        <v>3868</v>
      </c>
      <c r="D1199" t="s">
        <v>618</v>
      </c>
      <c r="E1199" t="s">
        <v>4084</v>
      </c>
      <c r="F1199" t="s">
        <v>4085</v>
      </c>
      <c r="G1199" t="s">
        <v>3414</v>
      </c>
      <c r="H1199" s="11">
        <v>20.170000000000002</v>
      </c>
      <c r="I1199" s="48">
        <f>H1199*(1-IFERROR(VLOOKUP(G1199,Rabat!$C$9:$D$43,2,0),0))</f>
        <v>20.170000000000002</v>
      </c>
      <c r="J1199"/>
      <c r="K1199" t="s">
        <v>4266</v>
      </c>
      <c r="L1199" t="s">
        <v>1813</v>
      </c>
      <c r="M1199">
        <v>50</v>
      </c>
      <c r="N1199"/>
      <c r="O1199" t="s">
        <v>1818</v>
      </c>
      <c r="P1199" s="12" t="str">
        <f>HYPERLINK("https://b2b.kobi.pl/pl/product/13549,profil-kg02-podtynkowy-bialy-przeslona-mleczna-1m-kobi?currency=PLN")</f>
        <v>https://b2b.kobi.pl/pl/product/13549,profil-kg02-podtynkowy-bialy-przeslona-mleczna-1m-kobi?currency=PLN</v>
      </c>
      <c r="Q1199" t="s">
        <v>14</v>
      </c>
      <c r="R1199" t="s">
        <v>4101</v>
      </c>
      <c r="S1199" t="s">
        <v>2574</v>
      </c>
      <c r="T1199">
        <v>0</v>
      </c>
      <c r="U1199">
        <v>0.19600000000000001</v>
      </c>
      <c r="V1199">
        <v>0.215</v>
      </c>
      <c r="W1199">
        <v>108</v>
      </c>
      <c r="X1199">
        <v>4</v>
      </c>
      <c r="Y1199">
        <v>1.5</v>
      </c>
    </row>
    <row r="1200" spans="1:25" ht="60" customHeight="1" x14ac:dyDescent="0.25">
      <c r="A1200"/>
      <c r="B1200" t="s">
        <v>3743</v>
      </c>
      <c r="C1200" t="s">
        <v>3868</v>
      </c>
      <c r="D1200" t="s">
        <v>618</v>
      </c>
      <c r="E1200" t="s">
        <v>4086</v>
      </c>
      <c r="F1200" t="s">
        <v>4087</v>
      </c>
      <c r="G1200" t="s">
        <v>3414</v>
      </c>
      <c r="H1200" s="11">
        <v>40.33</v>
      </c>
      <c r="I1200" s="48">
        <f>H1200*(1-IFERROR(VLOOKUP(G1200,Rabat!$C$9:$D$43,2,0),0))</f>
        <v>40.33</v>
      </c>
      <c r="J1200"/>
      <c r="K1200" t="s">
        <v>4267</v>
      </c>
      <c r="L1200" t="s">
        <v>1813</v>
      </c>
      <c r="M1200">
        <v>50</v>
      </c>
      <c r="N1200"/>
      <c r="O1200" t="s">
        <v>1818</v>
      </c>
      <c r="P1200" s="12" t="str">
        <f>HYPERLINK("https://b2b.kobi.pl/pl/product/13550,profil-kg01-podtynkowy-czarny-przeslona-mleczna-2m-kobi?currency=PLN")</f>
        <v>https://b2b.kobi.pl/pl/product/13550,profil-kg01-podtynkowy-czarny-przeslona-mleczna-2m-kobi?currency=PLN</v>
      </c>
      <c r="Q1200" t="s">
        <v>14</v>
      </c>
      <c r="R1200" t="s">
        <v>4101</v>
      </c>
      <c r="S1200" t="s">
        <v>2574</v>
      </c>
      <c r="T1200">
        <v>0</v>
      </c>
      <c r="U1200">
        <v>0.38700000000000001</v>
      </c>
      <c r="V1200">
        <v>0.42499999999999999</v>
      </c>
      <c r="W1200">
        <v>208</v>
      </c>
      <c r="X1200">
        <v>4</v>
      </c>
      <c r="Y1200">
        <v>1.3</v>
      </c>
    </row>
    <row r="1201" spans="1:25" ht="60" customHeight="1" x14ac:dyDescent="0.25">
      <c r="A1201"/>
      <c r="B1201" t="s">
        <v>3743</v>
      </c>
      <c r="C1201" t="s">
        <v>3868</v>
      </c>
      <c r="D1201" t="s">
        <v>618</v>
      </c>
      <c r="E1201" t="s">
        <v>4088</v>
      </c>
      <c r="F1201" t="s">
        <v>4089</v>
      </c>
      <c r="G1201" t="s">
        <v>3414</v>
      </c>
      <c r="H1201" s="11">
        <v>40.33</v>
      </c>
      <c r="I1201" s="48">
        <f>H1201*(1-IFERROR(VLOOKUP(G1201,Rabat!$C$9:$D$43,2,0),0))</f>
        <v>40.33</v>
      </c>
      <c r="J1201"/>
      <c r="K1201" t="s">
        <v>4268</v>
      </c>
      <c r="L1201" t="s">
        <v>1813</v>
      </c>
      <c r="M1201">
        <v>50</v>
      </c>
      <c r="N1201"/>
      <c r="O1201" t="s">
        <v>1818</v>
      </c>
      <c r="P1201" s="12" t="str">
        <f>HYPERLINK("https://b2b.kobi.pl/pl/product/13551,profil-kg01-podtynkowy-bialy-przeslona-mleczna-2m-kobi?currency=PLN")</f>
        <v>https://b2b.kobi.pl/pl/product/13551,profil-kg01-podtynkowy-bialy-przeslona-mleczna-2m-kobi?currency=PLN</v>
      </c>
      <c r="Q1201" t="s">
        <v>14</v>
      </c>
      <c r="R1201" t="s">
        <v>4101</v>
      </c>
      <c r="S1201" t="s">
        <v>2574</v>
      </c>
      <c r="T1201">
        <v>0</v>
      </c>
      <c r="U1201">
        <v>0.40500000000000003</v>
      </c>
      <c r="V1201">
        <v>0.443</v>
      </c>
      <c r="W1201">
        <v>208</v>
      </c>
      <c r="X1201">
        <v>4</v>
      </c>
      <c r="Y1201">
        <v>1.3</v>
      </c>
    </row>
    <row r="1202" spans="1:25" ht="60" customHeight="1" x14ac:dyDescent="0.25">
      <c r="A1202"/>
      <c r="B1202" t="s">
        <v>3743</v>
      </c>
      <c r="C1202" t="s">
        <v>3868</v>
      </c>
      <c r="D1202" t="s">
        <v>618</v>
      </c>
      <c r="E1202" t="s">
        <v>4090</v>
      </c>
      <c r="F1202" t="s">
        <v>4091</v>
      </c>
      <c r="G1202" t="s">
        <v>3414</v>
      </c>
      <c r="H1202" s="11">
        <v>39.28</v>
      </c>
      <c r="I1202" s="48">
        <f>H1202*(1-IFERROR(VLOOKUP(G1202,Rabat!$C$9:$D$43,2,0),0))</f>
        <v>39.28</v>
      </c>
      <c r="J1202"/>
      <c r="K1202" t="s">
        <v>4269</v>
      </c>
      <c r="L1202" t="s">
        <v>1813</v>
      </c>
      <c r="M1202">
        <v>50</v>
      </c>
      <c r="N1202"/>
      <c r="O1202" t="s">
        <v>1818</v>
      </c>
      <c r="P1202" s="12" t="str">
        <f>HYPERLINK("https://b2b.kobi.pl/pl/product/13552,profil-kg02-podtynkowy-anodowany-srebrny-przeslona-mleczna-2m-kobi?currency=PLN")</f>
        <v>https://b2b.kobi.pl/pl/product/13552,profil-kg02-podtynkowy-anodowany-srebrny-przeslona-mleczna-2m-kobi?currency=PLN</v>
      </c>
      <c r="Q1202" t="s">
        <v>14</v>
      </c>
      <c r="R1202" t="s">
        <v>4101</v>
      </c>
      <c r="S1202" t="s">
        <v>2574</v>
      </c>
      <c r="T1202">
        <v>0</v>
      </c>
      <c r="U1202">
        <v>0.39600000000000002</v>
      </c>
      <c r="V1202">
        <v>0.434</v>
      </c>
      <c r="W1202">
        <v>208</v>
      </c>
      <c r="X1202">
        <v>4</v>
      </c>
      <c r="Y1202">
        <v>1.5</v>
      </c>
    </row>
    <row r="1203" spans="1:25" ht="60" customHeight="1" x14ac:dyDescent="0.25">
      <c r="A1203"/>
      <c r="B1203" t="s">
        <v>3743</v>
      </c>
      <c r="C1203" t="s">
        <v>3868</v>
      </c>
      <c r="D1203" t="s">
        <v>618</v>
      </c>
      <c r="E1203" t="s">
        <v>4092</v>
      </c>
      <c r="F1203" t="s">
        <v>4093</v>
      </c>
      <c r="G1203" t="s">
        <v>3414</v>
      </c>
      <c r="H1203" s="11">
        <v>40.33</v>
      </c>
      <c r="I1203" s="48">
        <f>H1203*(1-IFERROR(VLOOKUP(G1203,Rabat!$C$9:$D$43,2,0),0))</f>
        <v>40.33</v>
      </c>
      <c r="J1203"/>
      <c r="K1203" t="s">
        <v>4270</v>
      </c>
      <c r="L1203" t="s">
        <v>1813</v>
      </c>
      <c r="M1203">
        <v>50</v>
      </c>
      <c r="N1203"/>
      <c r="O1203" t="s">
        <v>1818</v>
      </c>
      <c r="P1203" s="12" t="str">
        <f>HYPERLINK("https://b2b.kobi.pl/pl/product/13553,profil-kg02-podtynkowy-czarny-przeslona-mleczna-2m-kobi?currency=PLN")</f>
        <v>https://b2b.kobi.pl/pl/product/13553,profil-kg02-podtynkowy-czarny-przeslona-mleczna-2m-kobi?currency=PLN</v>
      </c>
      <c r="Q1203" t="s">
        <v>14</v>
      </c>
      <c r="R1203" t="s">
        <v>4101</v>
      </c>
      <c r="S1203" t="s">
        <v>2574</v>
      </c>
      <c r="T1203">
        <v>0</v>
      </c>
      <c r="U1203">
        <v>0.41199999999999998</v>
      </c>
      <c r="V1203">
        <v>0.45</v>
      </c>
      <c r="W1203">
        <v>208</v>
      </c>
      <c r="X1203">
        <v>4</v>
      </c>
      <c r="Y1203">
        <v>1.5</v>
      </c>
    </row>
    <row r="1204" spans="1:25" ht="60" customHeight="1" x14ac:dyDescent="0.25">
      <c r="A1204"/>
      <c r="B1204" t="s">
        <v>3743</v>
      </c>
      <c r="C1204" t="s">
        <v>3868</v>
      </c>
      <c r="D1204" t="s">
        <v>618</v>
      </c>
      <c r="E1204" t="s">
        <v>4094</v>
      </c>
      <c r="F1204" t="s">
        <v>4095</v>
      </c>
      <c r="G1204" t="s">
        <v>3414</v>
      </c>
      <c r="H1204" s="11">
        <v>40.33</v>
      </c>
      <c r="I1204" s="48">
        <f>H1204*(1-IFERROR(VLOOKUP(G1204,Rabat!$C$9:$D$43,2,0),0))</f>
        <v>40.33</v>
      </c>
      <c r="J1204"/>
      <c r="K1204" t="s">
        <v>4271</v>
      </c>
      <c r="L1204" t="s">
        <v>1813</v>
      </c>
      <c r="M1204">
        <v>50</v>
      </c>
      <c r="N1204"/>
      <c r="O1204" t="s">
        <v>1818</v>
      </c>
      <c r="P1204" s="12" t="str">
        <f>HYPERLINK("https://b2b.kobi.pl/pl/product/13554,profil-kg02-podtynkowy-bialy-przeslona-mleczna-2m-kobi?currency=PLN")</f>
        <v>https://b2b.kobi.pl/pl/product/13554,profil-kg02-podtynkowy-bialy-przeslona-mleczna-2m-kobi?currency=PLN</v>
      </c>
      <c r="Q1204" t="s">
        <v>14</v>
      </c>
      <c r="R1204" t="s">
        <v>4101</v>
      </c>
      <c r="S1204" t="s">
        <v>2574</v>
      </c>
      <c r="T1204">
        <v>0</v>
      </c>
      <c r="U1204">
        <v>0.40899999999999997</v>
      </c>
      <c r="V1204">
        <v>0.44700000000000001</v>
      </c>
      <c r="W1204">
        <v>208</v>
      </c>
      <c r="X1204">
        <v>4</v>
      </c>
      <c r="Y1204">
        <v>1.5</v>
      </c>
    </row>
    <row r="1205" spans="1:25" ht="60" customHeight="1" x14ac:dyDescent="0.25">
      <c r="A1205"/>
      <c r="B1205" t="s">
        <v>3743</v>
      </c>
      <c r="C1205" t="s">
        <v>3868</v>
      </c>
      <c r="D1205" t="s">
        <v>618</v>
      </c>
      <c r="E1205" t="s">
        <v>4096</v>
      </c>
      <c r="F1205" t="s">
        <v>4097</v>
      </c>
      <c r="G1205" t="s">
        <v>3414</v>
      </c>
      <c r="H1205" s="11">
        <v>44.32</v>
      </c>
      <c r="I1205" s="48">
        <f>H1205*(1-IFERROR(VLOOKUP(G1205,Rabat!$C$9:$D$43,2,0),0))</f>
        <v>44.32</v>
      </c>
      <c r="J1205"/>
      <c r="K1205" t="s">
        <v>4272</v>
      </c>
      <c r="L1205" t="s">
        <v>1813</v>
      </c>
      <c r="M1205">
        <v>50</v>
      </c>
      <c r="N1205"/>
      <c r="O1205" t="s">
        <v>1818</v>
      </c>
      <c r="P1205" s="12" t="str">
        <f>HYPERLINK("https://b2b.kobi.pl/pl/product/13555,profil-kg03-podtynkowy-anodowany-srebrny-przeslona-mleczna-2m-kobi?currency=PLN")</f>
        <v>https://b2b.kobi.pl/pl/product/13555,profil-kg03-podtynkowy-anodowany-srebrny-przeslona-mleczna-2m-kobi?currency=PLN</v>
      </c>
      <c r="Q1205" t="s">
        <v>14</v>
      </c>
      <c r="R1205" t="s">
        <v>4101</v>
      </c>
      <c r="S1205" t="s">
        <v>2574</v>
      </c>
      <c r="T1205">
        <v>0</v>
      </c>
      <c r="U1205">
        <v>0.45400000000000001</v>
      </c>
      <c r="V1205">
        <v>0.49199999999999999</v>
      </c>
      <c r="W1205">
        <v>208</v>
      </c>
      <c r="X1205">
        <v>4</v>
      </c>
      <c r="Y1205">
        <v>1.5</v>
      </c>
    </row>
    <row r="1206" spans="1:25" ht="60" customHeight="1" x14ac:dyDescent="0.25">
      <c r="A1206"/>
      <c r="B1206" t="s">
        <v>3743</v>
      </c>
      <c r="C1206" t="s">
        <v>3868</v>
      </c>
      <c r="D1206" t="s">
        <v>618</v>
      </c>
      <c r="E1206" t="s">
        <v>4098</v>
      </c>
      <c r="F1206" t="s">
        <v>4099</v>
      </c>
      <c r="G1206" t="s">
        <v>3414</v>
      </c>
      <c r="H1206" s="11">
        <v>1.79</v>
      </c>
      <c r="I1206" s="48">
        <f>H1206*(1-IFERROR(VLOOKUP(G1206,Rabat!$C$9:$D$43,2,0),0))</f>
        <v>1.79</v>
      </c>
      <c r="J1206"/>
      <c r="K1206" t="s">
        <v>4273</v>
      </c>
      <c r="L1206" t="s">
        <v>1813</v>
      </c>
      <c r="M1206">
        <v>200</v>
      </c>
      <c r="N1206"/>
      <c r="O1206" t="s">
        <v>1818</v>
      </c>
      <c r="P1206"/>
      <c r="Q1206" t="s">
        <v>14</v>
      </c>
      <c r="R1206" t="s">
        <v>4101</v>
      </c>
      <c r="S1206" t="s">
        <v>4274</v>
      </c>
      <c r="T1206">
        <v>0</v>
      </c>
      <c r="U1206">
        <v>3.2000000000000001E-2</v>
      </c>
      <c r="V1206">
        <v>3.2000000000000001E-2</v>
      </c>
      <c r="W1206">
        <v>200</v>
      </c>
      <c r="X1206">
        <v>1.2</v>
      </c>
      <c r="Y1206">
        <v>0.3</v>
      </c>
    </row>
  </sheetData>
  <sheetProtection algorithmName="SHA-512" hashValue="OFkn6cfXc3aBsNJwaJSOGoSiNCCn0jUTRpNElRbGqapnRoAZHcuHzC1esPdxhFf8lCSQQP/E62X7AFCLE+Wk9g==" saltValue="fOo5OdWktc9BOvmYaAQXKw==" spinCount="100000" sheet="1" scenarios="1" autoFilter="0"/>
  <conditionalFormatting sqref="B3:G1000">
    <cfRule type="expression" dxfId="1" priority="1">
      <formula>$R3="do wyczerpania zapasów"</formula>
    </cfRule>
  </conditionalFormatting>
  <conditionalFormatting sqref="B899:R908 H1:I1048576">
    <cfRule type="cellIs" dxfId="0" priority="20" operator="equal">
      <formula>0</formula>
    </cfRule>
  </conditionalFormatting>
  <hyperlinks>
    <hyperlink ref="E1" r:id="rId1" xr:uid="{135D9DD9-562F-461B-8E89-A2572D3AF8AB}"/>
  </hyperlinks>
  <pageMargins left="0.7" right="0.7" top="0.75" bottom="0.75" header="0.3" footer="0.3"/>
  <pageSetup paperSize="9" orientation="portrait" horizontalDpi="4294967294" verticalDpi="4294967294" r:id="rId2"/>
  <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9FCB57-0A25-4F2D-A251-0D34565A06FA}">
  <sheetPr codeName="Arkusz3"/>
  <dimension ref="A1:S292"/>
  <sheetViews>
    <sheetView showGridLines="0" zoomScale="90" zoomScaleNormal="90" workbookViewId="0">
      <selection activeCell="B3" sqref="B3"/>
    </sheetView>
  </sheetViews>
  <sheetFormatPr defaultRowHeight="15" x14ac:dyDescent="0.25"/>
  <cols>
    <col min="1" max="1" width="14.7109375" customWidth="1"/>
    <col min="2" max="2" width="68.42578125" bestFit="1" customWidth="1"/>
    <col min="3" max="3" width="14.5703125" customWidth="1"/>
    <col min="4" max="4" width="12.7109375" customWidth="1"/>
    <col min="5" max="5" width="11" bestFit="1" customWidth="1"/>
    <col min="6" max="6" width="14.140625" bestFit="1" customWidth="1"/>
    <col min="7" max="7" width="8.5703125" bestFit="1" customWidth="1"/>
    <col min="8" max="8" width="9.5703125" customWidth="1"/>
    <col min="9" max="9" width="10.28515625" customWidth="1"/>
    <col min="10" max="10" width="5.7109375" bestFit="1" customWidth="1"/>
    <col min="11" max="11" width="116" bestFit="1" customWidth="1"/>
    <col min="12" max="12" width="36.28515625" bestFit="1" customWidth="1"/>
    <col min="13" max="13" width="9" bestFit="1" customWidth="1"/>
    <col min="14" max="19" width="10.7109375" customWidth="1"/>
    <col min="20" max="20" width="6.85546875" bestFit="1" customWidth="1"/>
    <col min="21" max="22" width="8.5703125" bestFit="1" customWidth="1"/>
  </cols>
  <sheetData>
    <row r="1" spans="1:19" ht="46.5" customHeight="1" x14ac:dyDescent="0.25">
      <c r="C1" s="8" t="s">
        <v>10</v>
      </c>
      <c r="D1" s="16">
        <f>Rabat!C6</f>
        <v>46267</v>
      </c>
    </row>
    <row r="2" spans="1:19" ht="51" x14ac:dyDescent="0.25">
      <c r="A2" s="6" t="s">
        <v>3734</v>
      </c>
      <c r="B2" s="6" t="s">
        <v>565</v>
      </c>
      <c r="C2" s="6" t="s">
        <v>562</v>
      </c>
      <c r="D2" s="6" t="s">
        <v>2782</v>
      </c>
      <c r="E2" s="6" t="s">
        <v>12</v>
      </c>
      <c r="F2" s="6" t="s">
        <v>569</v>
      </c>
      <c r="G2" s="6" t="s">
        <v>570</v>
      </c>
      <c r="H2" s="6" t="s">
        <v>571</v>
      </c>
      <c r="I2" s="6" t="s">
        <v>572</v>
      </c>
      <c r="J2" s="6" t="s">
        <v>573</v>
      </c>
      <c r="K2" s="6" t="s">
        <v>3164</v>
      </c>
      <c r="L2" s="6" t="s">
        <v>574</v>
      </c>
      <c r="M2" s="6" t="s">
        <v>2494</v>
      </c>
      <c r="N2" s="6" t="s">
        <v>2495</v>
      </c>
      <c r="O2" s="6" t="s">
        <v>2492</v>
      </c>
      <c r="P2" s="6" t="s">
        <v>2493</v>
      </c>
      <c r="Q2" s="6" t="s">
        <v>2633</v>
      </c>
      <c r="R2" s="6" t="s">
        <v>2634</v>
      </c>
      <c r="S2" s="6" t="s">
        <v>2635</v>
      </c>
    </row>
    <row r="3" spans="1:19" ht="60" customHeight="1" x14ac:dyDescent="0.25">
      <c r="B3" t="s">
        <v>2998</v>
      </c>
      <c r="C3" t="s">
        <v>3000</v>
      </c>
      <c r="D3" s="11">
        <v>49</v>
      </c>
      <c r="F3" t="s">
        <v>3148</v>
      </c>
      <c r="G3" t="s">
        <v>1813</v>
      </c>
      <c r="H3" s="11">
        <v>20</v>
      </c>
      <c r="I3" s="13">
        <f>H3*(1-IFERROR(VLOOKUP(G3,Rabat!$C$9:$D$43,2,0),0))</f>
        <v>20</v>
      </c>
      <c r="J3" t="s">
        <v>1814</v>
      </c>
      <c r="K3" s="12" t="str">
        <f>HYPERLINK("https://b2b.kobi.pl/pl/product/8438,reflektor-szynowy-led-nextrack-nt4-mini-20w-4000k-36-bialy-kobi-pro?currency=PLN")</f>
        <v>https://b2b.kobi.pl/pl/product/8438,reflektor-szynowy-led-nextrack-nt4-mini-20w-4000k-36-bialy-kobi-pro?currency=PLN</v>
      </c>
      <c r="L3" s="12" t="str">
        <f>HYPERLINK("https://eprel.ec.europa.eu/qr/930192")</f>
        <v>https://eprel.ec.europa.eu/qr/930192</v>
      </c>
      <c r="M3" t="s">
        <v>2610</v>
      </c>
      <c r="N3">
        <v>0.69</v>
      </c>
      <c r="O3">
        <v>0.82</v>
      </c>
      <c r="P3">
        <v>0.90200000000000002</v>
      </c>
      <c r="Q3">
        <v>0</v>
      </c>
      <c r="R3">
        <v>0</v>
      </c>
      <c r="S3">
        <v>0</v>
      </c>
    </row>
    <row r="4" spans="1:19" ht="60" customHeight="1" x14ac:dyDescent="0.25">
      <c r="B4" t="s">
        <v>2989</v>
      </c>
      <c r="C4" t="s">
        <v>2990</v>
      </c>
      <c r="D4" s="11">
        <v>59</v>
      </c>
      <c r="E4" t="s">
        <v>1820</v>
      </c>
      <c r="F4" t="s">
        <v>3142</v>
      </c>
      <c r="G4" t="s">
        <v>1813</v>
      </c>
      <c r="H4" s="11">
        <v>8</v>
      </c>
      <c r="I4" s="13">
        <f>H4*(1-IFERROR(VLOOKUP(G4,Rabat!$C$9:$D$43,2,0),0))</f>
        <v>8</v>
      </c>
      <c r="J4" t="s">
        <v>1814</v>
      </c>
      <c r="K4" s="12" t="str">
        <f>HYPERLINK("https://b2b.kobi.pl/pl/product/8444,reflektor-szynowy-led-nextrack-nt1-30w-3400k-45-bialy-kobi-pro?currency=PLN")</f>
        <v>https://b2b.kobi.pl/pl/product/8444,reflektor-szynowy-led-nextrack-nt1-30w-3400k-45-bialy-kobi-pro?currency=PLN</v>
      </c>
      <c r="L4" s="12" t="str">
        <f>HYPERLINK("https://eprel.ec.europa.eu/qr/930827")</f>
        <v>https://eprel.ec.europa.eu/qr/930827</v>
      </c>
      <c r="M4" t="s">
        <v>2573</v>
      </c>
      <c r="N4">
        <v>0.7</v>
      </c>
      <c r="O4">
        <v>0.83</v>
      </c>
      <c r="P4">
        <v>0.91300000000000003</v>
      </c>
      <c r="Q4">
        <v>0</v>
      </c>
      <c r="R4">
        <v>0</v>
      </c>
      <c r="S4">
        <v>0</v>
      </c>
    </row>
    <row r="5" spans="1:19" ht="60" customHeight="1" x14ac:dyDescent="0.25">
      <c r="B5" t="s">
        <v>4275</v>
      </c>
      <c r="C5" t="s">
        <v>2995</v>
      </c>
      <c r="D5" s="11">
        <v>59</v>
      </c>
      <c r="E5" t="s">
        <v>1816</v>
      </c>
      <c r="F5" t="s">
        <v>3145</v>
      </c>
      <c r="G5" t="s">
        <v>1813</v>
      </c>
      <c r="H5" s="11">
        <v>12</v>
      </c>
      <c r="I5" s="13">
        <f>H5*(1-IFERROR(VLOOKUP(G5,Rabat!$C$9:$D$43,2,0),0))</f>
        <v>12</v>
      </c>
      <c r="J5" t="s">
        <v>1814</v>
      </c>
      <c r="K5" s="12" t="str">
        <f>HYPERLINK("https://b2b.kobi.pl/pl/product/8449,reflektor-szynowy-led-nextrack-nt4-38w-3000k-60-czarny-kobi-pro?currency=PLN")</f>
        <v>https://b2b.kobi.pl/pl/product/8449,reflektor-szynowy-led-nextrack-nt4-38w-3000k-60-czarny-kobi-pro?currency=PLN</v>
      </c>
      <c r="L5" s="12" t="str">
        <f>HYPERLINK("https://eprel.ec.europa.eu/qr/930688")</f>
        <v>https://eprel.ec.europa.eu/qr/930688</v>
      </c>
      <c r="M5" t="s">
        <v>2573</v>
      </c>
      <c r="N5">
        <v>1.06</v>
      </c>
      <c r="O5">
        <v>1.25</v>
      </c>
      <c r="P5">
        <v>1.375</v>
      </c>
      <c r="Q5">
        <v>0</v>
      </c>
      <c r="R5">
        <v>0</v>
      </c>
      <c r="S5">
        <v>0</v>
      </c>
    </row>
    <row r="6" spans="1:19" ht="60" customHeight="1" x14ac:dyDescent="0.25">
      <c r="B6" t="s">
        <v>2993</v>
      </c>
      <c r="C6" t="s">
        <v>2994</v>
      </c>
      <c r="D6" s="11">
        <v>59</v>
      </c>
      <c r="E6" t="s">
        <v>1816</v>
      </c>
      <c r="F6" t="s">
        <v>3144</v>
      </c>
      <c r="G6" t="s">
        <v>1813</v>
      </c>
      <c r="H6" s="11">
        <v>12</v>
      </c>
      <c r="I6" s="13">
        <f>H6*(1-IFERROR(VLOOKUP(G6,Rabat!$C$9:$D$43,2,0),0))</f>
        <v>12</v>
      </c>
      <c r="J6" t="s">
        <v>1814</v>
      </c>
      <c r="K6" s="12" t="str">
        <f>HYPERLINK("https://b2b.kobi.pl/pl/product/8450,reflektor-szynowy-led-nextrack-nt4-38w-3000k-24-czarny-kobi-pro?currency=PLN")</f>
        <v>https://b2b.kobi.pl/pl/product/8450,reflektor-szynowy-led-nextrack-nt4-38w-3000k-24-czarny-kobi-pro?currency=PLN</v>
      </c>
      <c r="L6" s="12" t="str">
        <f>HYPERLINK("https://eprel.ec.europa.eu/qr/930568")</f>
        <v>https://eprel.ec.europa.eu/qr/930568</v>
      </c>
      <c r="M6" t="s">
        <v>2573</v>
      </c>
      <c r="N6">
        <v>1.06</v>
      </c>
      <c r="O6">
        <v>1.25</v>
      </c>
      <c r="P6">
        <v>1.375</v>
      </c>
      <c r="Q6">
        <v>0</v>
      </c>
      <c r="R6">
        <v>0</v>
      </c>
      <c r="S6">
        <v>0</v>
      </c>
    </row>
    <row r="7" spans="1:19" ht="60" customHeight="1" x14ac:dyDescent="0.25">
      <c r="B7" t="s">
        <v>2991</v>
      </c>
      <c r="C7" t="s">
        <v>2992</v>
      </c>
      <c r="D7" s="11">
        <v>85.9</v>
      </c>
      <c r="E7" t="s">
        <v>1816</v>
      </c>
      <c r="F7" t="s">
        <v>3143</v>
      </c>
      <c r="G7" t="s">
        <v>1813</v>
      </c>
      <c r="H7" s="11">
        <v>8</v>
      </c>
      <c r="I7" s="13">
        <f>H7*(1-IFERROR(VLOOKUP(G7,Rabat!$C$9:$D$43,2,0),0))</f>
        <v>8</v>
      </c>
      <c r="J7" t="s">
        <v>1814</v>
      </c>
      <c r="K7" s="12" t="str">
        <f>HYPERLINK("https://b2b.kobi.pl/pl/product/8446,reflektor-szynowy-led-nextrack-nt3-35w-3000k-25-czarny-kobi-pro?currency=PLN")</f>
        <v>https://b2b.kobi.pl/pl/product/8446,reflektor-szynowy-led-nextrack-nt3-35w-3000k-25-czarny-kobi-pro?currency=PLN</v>
      </c>
      <c r="L7" s="12" t="str">
        <f>HYPERLINK("https://eprel.ec.europa.eu/qr/930750")</f>
        <v>https://eprel.ec.europa.eu/qr/930750</v>
      </c>
      <c r="M7" t="s">
        <v>2573</v>
      </c>
      <c r="N7">
        <v>0.9</v>
      </c>
      <c r="O7">
        <v>1.07</v>
      </c>
      <c r="P7">
        <v>1.53</v>
      </c>
      <c r="Q7">
        <v>30</v>
      </c>
      <c r="R7">
        <v>15</v>
      </c>
      <c r="S7">
        <v>20</v>
      </c>
    </row>
    <row r="8" spans="1:19" ht="60" customHeight="1" x14ac:dyDescent="0.25">
      <c r="B8" t="s">
        <v>3001</v>
      </c>
      <c r="C8" t="s">
        <v>3002</v>
      </c>
      <c r="D8" s="11">
        <v>49</v>
      </c>
      <c r="E8" t="s">
        <v>1812</v>
      </c>
      <c r="F8" t="s">
        <v>3149</v>
      </c>
      <c r="G8" t="s">
        <v>1813</v>
      </c>
      <c r="H8" s="11">
        <v>12</v>
      </c>
      <c r="I8" s="13">
        <f>H8*(1-IFERROR(VLOOKUP(G8,Rabat!$C$9:$D$43,2,0),0))</f>
        <v>12</v>
      </c>
      <c r="J8" t="s">
        <v>1814</v>
      </c>
      <c r="K8" s="12" t="str">
        <f>HYPERLINK("https://b2b.kobi.pl/pl/product/8453,reflektor-szynowy-led-nextrack-nt5-28w-3000k-15-czarny-kobi-pro?currency=PLN")</f>
        <v>https://b2b.kobi.pl/pl/product/8453,reflektor-szynowy-led-nextrack-nt5-28w-3000k-15-czarny-kobi-pro?currency=PLN</v>
      </c>
      <c r="L8" s="12" t="str">
        <f>HYPERLINK("https://eprel.ec.europa.eu/qr/930096")</f>
        <v>https://eprel.ec.europa.eu/qr/930096</v>
      </c>
      <c r="M8" t="s">
        <v>2573</v>
      </c>
      <c r="N8">
        <v>1.17</v>
      </c>
      <c r="O8">
        <v>1.38</v>
      </c>
      <c r="P8">
        <v>1.3109999999999999</v>
      </c>
      <c r="Q8">
        <v>27</v>
      </c>
      <c r="R8">
        <v>18</v>
      </c>
      <c r="S8">
        <v>10</v>
      </c>
    </row>
    <row r="9" spans="1:19" ht="60" customHeight="1" x14ac:dyDescent="0.25">
      <c r="B9" t="s">
        <v>3003</v>
      </c>
      <c r="C9" t="s">
        <v>3004</v>
      </c>
      <c r="D9" s="11">
        <v>49</v>
      </c>
      <c r="E9" t="s">
        <v>1812</v>
      </c>
      <c r="F9" t="s">
        <v>3150</v>
      </c>
      <c r="G9" t="s">
        <v>1813</v>
      </c>
      <c r="H9" s="11">
        <v>12</v>
      </c>
      <c r="I9" s="13">
        <f>H9*(1-IFERROR(VLOOKUP(G9,Rabat!$C$9:$D$43,2,0),0))</f>
        <v>12</v>
      </c>
      <c r="J9" t="s">
        <v>1814</v>
      </c>
      <c r="K9" s="12" t="str">
        <f>HYPERLINK("https://b2b.kobi.pl/pl/product/8454,reflektor-szynowy-led-nextrack-nt5-28w-3000k-24-czarny-kobi-pro?currency=PLN")</f>
        <v>https://b2b.kobi.pl/pl/product/8454,reflektor-szynowy-led-nextrack-nt5-28w-3000k-24-czarny-kobi-pro?currency=PLN</v>
      </c>
      <c r="L9" s="12" t="str">
        <f>HYPERLINK("https://eprel.ec.europa.eu/qr/930079")</f>
        <v>https://eprel.ec.europa.eu/qr/930079</v>
      </c>
      <c r="M9" t="s">
        <v>2573</v>
      </c>
      <c r="N9">
        <v>1.17</v>
      </c>
      <c r="O9">
        <v>1.38</v>
      </c>
      <c r="P9">
        <v>1.3109999999999999</v>
      </c>
      <c r="Q9">
        <v>27</v>
      </c>
      <c r="R9">
        <v>18</v>
      </c>
      <c r="S9">
        <v>10</v>
      </c>
    </row>
    <row r="10" spans="1:19" ht="60" customHeight="1" x14ac:dyDescent="0.25">
      <c r="B10" t="s">
        <v>3559</v>
      </c>
      <c r="C10" t="s">
        <v>3560</v>
      </c>
      <c r="D10" s="11">
        <v>5.5</v>
      </c>
      <c r="E10" t="s">
        <v>1812</v>
      </c>
      <c r="F10" t="s">
        <v>3561</v>
      </c>
      <c r="G10" t="s">
        <v>1813</v>
      </c>
      <c r="H10" s="11">
        <v>25</v>
      </c>
      <c r="I10" s="13">
        <f>H10*(1-IFERROR(VLOOKUP(G10,Rabat!$C$9:$D$43,2,0),0))</f>
        <v>25</v>
      </c>
      <c r="J10" t="s">
        <v>1819</v>
      </c>
      <c r="K10" s="12" t="str">
        <f>HYPERLINK("https://b2b.kobi.pl/pl/product/9717,swietlowka-led-t8-18w-120cm-3000k-kobi-premium?currency=PLN")</f>
        <v>https://b2b.kobi.pl/pl/product/9717,swietlowka-led-t8-18w-120cm-3000k-kobi-premium?currency=PLN</v>
      </c>
      <c r="L10" s="12" t="str">
        <f>HYPERLINK("https://eprel.ec.europa.eu/qr/1420718")</f>
        <v>https://eprel.ec.europa.eu/qr/1420718</v>
      </c>
      <c r="M10" t="s">
        <v>2569</v>
      </c>
      <c r="N10">
        <v>0.19</v>
      </c>
      <c r="O10">
        <v>0.22</v>
      </c>
      <c r="P10">
        <v>0.27500000000000002</v>
      </c>
      <c r="Q10">
        <v>122.4</v>
      </c>
      <c r="R10">
        <v>3</v>
      </c>
      <c r="S10">
        <v>3</v>
      </c>
    </row>
    <row r="11" spans="1:19" ht="60" customHeight="1" x14ac:dyDescent="0.25">
      <c r="B11" t="s">
        <v>3011</v>
      </c>
      <c r="C11" t="s">
        <v>3012</v>
      </c>
      <c r="D11" s="11">
        <v>3.5</v>
      </c>
      <c r="E11" t="s">
        <v>1816</v>
      </c>
      <c r="F11" t="s">
        <v>3154</v>
      </c>
      <c r="G11" t="s">
        <v>1813</v>
      </c>
      <c r="H11" s="11">
        <v>25</v>
      </c>
      <c r="I11" s="13">
        <f>H11*(1-IFERROR(VLOOKUP(G11,Rabat!$C$9:$D$43,2,0),0))</f>
        <v>25</v>
      </c>
      <c r="J11" t="s">
        <v>1818</v>
      </c>
      <c r="K11" s="12" t="str">
        <f>HYPERLINK("https://b2b.kobi.pl/pl/product/9649,swietlowka-led-t8-22w-150cm-4000k-led2b?currency=PLN")</f>
        <v>https://b2b.kobi.pl/pl/product/9649,swietlowka-led-t8-22w-150cm-4000k-led2b?currency=PLN</v>
      </c>
      <c r="L11" s="12" t="str">
        <f>HYPERLINK("https://eprel.ec.europa.eu/qr/914694")</f>
        <v>https://eprel.ec.europa.eu/qr/914694</v>
      </c>
      <c r="M11" t="s">
        <v>2569</v>
      </c>
      <c r="N11">
        <v>0.18</v>
      </c>
      <c r="O11">
        <v>0.20799999999999999</v>
      </c>
      <c r="P11">
        <v>0.28399999999999997</v>
      </c>
      <c r="Q11">
        <v>150</v>
      </c>
      <c r="R11">
        <v>3.4</v>
      </c>
      <c r="S11">
        <v>3.4</v>
      </c>
    </row>
    <row r="12" spans="1:19" ht="60" customHeight="1" x14ac:dyDescent="0.25">
      <c r="B12" t="s">
        <v>2837</v>
      </c>
      <c r="C12" t="s">
        <v>2838</v>
      </c>
      <c r="D12" s="11">
        <v>13.43</v>
      </c>
      <c r="E12" t="s">
        <v>1820</v>
      </c>
      <c r="F12" t="s">
        <v>3058</v>
      </c>
      <c r="G12" t="s">
        <v>1813</v>
      </c>
      <c r="H12" s="11">
        <v>9</v>
      </c>
      <c r="I12" s="13">
        <f>H12*(1-IFERROR(VLOOKUP(G12,Rabat!$C$9:$D$43,2,0),0))</f>
        <v>9</v>
      </c>
      <c r="J12" t="s">
        <v>1818</v>
      </c>
      <c r="K12" s="12" t="str">
        <f>HYPERLINK("https://b2b.kobi.pl/pl/product/10553,kinkiet-led-raro-4-2w-3000k-bialy-art-of-light?currency=PLN")</f>
        <v>https://b2b.kobi.pl/pl/product/10553,kinkiet-led-raro-4-2w-3000k-bialy-art-of-light?currency=PLN</v>
      </c>
      <c r="L12" s="12" t="str">
        <f>HYPERLINK("https://eprel.ec.europa.eu/qr/941016")</f>
        <v>https://eprel.ec.europa.eu/qr/941016</v>
      </c>
      <c r="M12" t="s">
        <v>2573</v>
      </c>
      <c r="N12">
        <v>0.81</v>
      </c>
      <c r="O12">
        <v>0.96</v>
      </c>
      <c r="P12">
        <v>1.056</v>
      </c>
      <c r="Q12">
        <v>0</v>
      </c>
      <c r="R12">
        <v>0</v>
      </c>
      <c r="S12">
        <v>0</v>
      </c>
    </row>
    <row r="13" spans="1:19" ht="60" customHeight="1" x14ac:dyDescent="0.25">
      <c r="B13" t="s">
        <v>4276</v>
      </c>
      <c r="C13" t="s">
        <v>2893</v>
      </c>
      <c r="D13" s="11">
        <v>10.46</v>
      </c>
      <c r="E13" t="s">
        <v>1815</v>
      </c>
      <c r="F13" t="s">
        <v>3088</v>
      </c>
      <c r="G13" t="s">
        <v>1813</v>
      </c>
      <c r="H13" s="11">
        <v>18</v>
      </c>
      <c r="I13" s="13">
        <f>H13*(1-IFERROR(VLOOKUP(G13,Rabat!$C$9:$D$43,2,0),0))</f>
        <v>18</v>
      </c>
      <c r="J13" t="s">
        <v>1818</v>
      </c>
      <c r="K13" s="12" t="str">
        <f>HYPERLINK("https://b2b.kobi.pl/pl/product/10554,oprawa-do-nabudowania-led-valle-4-2w-3000k-art-of-light?currency=PLN")</f>
        <v>https://b2b.kobi.pl/pl/product/10554,oprawa-do-nabudowania-led-valle-4-2w-3000k-art-of-light?currency=PLN</v>
      </c>
      <c r="L13" s="12" t="str">
        <f>HYPERLINK("https://eprel.ec.europa.eu/qr/929313")</f>
        <v>https://eprel.ec.europa.eu/qr/929313</v>
      </c>
      <c r="M13" t="s">
        <v>2605</v>
      </c>
      <c r="N13">
        <v>0.59</v>
      </c>
      <c r="O13">
        <v>0.7</v>
      </c>
      <c r="P13">
        <v>0.77</v>
      </c>
      <c r="Q13">
        <v>0</v>
      </c>
      <c r="R13">
        <v>0</v>
      </c>
      <c r="S13">
        <v>0</v>
      </c>
    </row>
    <row r="14" spans="1:19" ht="60" customHeight="1" x14ac:dyDescent="0.25">
      <c r="B14" t="s">
        <v>2817</v>
      </c>
      <c r="C14" t="s">
        <v>2818</v>
      </c>
      <c r="D14" s="11">
        <v>10.65</v>
      </c>
      <c r="E14" t="s">
        <v>1815</v>
      </c>
      <c r="F14" t="s">
        <v>3048</v>
      </c>
      <c r="G14" t="s">
        <v>1813</v>
      </c>
      <c r="H14" s="11">
        <v>12</v>
      </c>
      <c r="I14" s="13">
        <f>H14*(1-IFERROR(VLOOKUP(G14,Rabat!$C$9:$D$43,2,0),0))</f>
        <v>12</v>
      </c>
      <c r="J14" t="s">
        <v>1818</v>
      </c>
      <c r="K14" s="12" t="str">
        <f>HYPERLINK("https://b2b.kobi.pl/pl/product/10353,downlight-fresco-2xgu10-art-of-light?currency=PLN")</f>
        <v>https://b2b.kobi.pl/pl/product/10353,downlight-fresco-2xgu10-art-of-light?currency=PLN</v>
      </c>
      <c r="L14" t="s">
        <v>14</v>
      </c>
      <c r="M14" t="s">
        <v>2602</v>
      </c>
      <c r="N14">
        <v>0.53</v>
      </c>
      <c r="O14">
        <v>1.36</v>
      </c>
      <c r="P14">
        <v>1.603</v>
      </c>
      <c r="Q14">
        <v>20</v>
      </c>
      <c r="R14">
        <v>29.5</v>
      </c>
      <c r="S14">
        <v>19.600000000000001</v>
      </c>
    </row>
    <row r="15" spans="1:19" ht="60" customHeight="1" x14ac:dyDescent="0.25">
      <c r="B15" t="s">
        <v>4277</v>
      </c>
      <c r="C15" t="s">
        <v>4278</v>
      </c>
      <c r="D15" s="11">
        <v>135</v>
      </c>
      <c r="E15" t="s">
        <v>1815</v>
      </c>
      <c r="F15" t="s">
        <v>4279</v>
      </c>
      <c r="G15" t="s">
        <v>1813</v>
      </c>
      <c r="H15" s="11"/>
      <c r="I15" s="13">
        <f>H15*(1-IFERROR(VLOOKUP(G15,Rabat!$C$9:$D$43,2,0),0))</f>
        <v>0</v>
      </c>
      <c r="J15" t="s">
        <v>1818</v>
      </c>
      <c r="K15" s="12" t="str">
        <f>HYPERLINK("https://b2b.kobi.pl/pl/product/13608,zestaw-2xvenezia-zasilacz-12v-24w-do-venezia-kabel-47cm-kobi-design?currency=PLN")</f>
        <v>https://b2b.kobi.pl/pl/product/13608,zestaw-2xvenezia-zasilacz-12v-24w-do-venezia-kabel-47cm-kobi-design?currency=PLN</v>
      </c>
      <c r="L15" s="12" t="str">
        <f>HYPERLINK("https://eprel.ec.europa.eu/qr/2032423")</f>
        <v>https://eprel.ec.europa.eu/qr/2032423</v>
      </c>
      <c r="M15" t="s">
        <v>2608</v>
      </c>
      <c r="N15">
        <v>0</v>
      </c>
      <c r="O15">
        <v>0</v>
      </c>
      <c r="P15">
        <v>0</v>
      </c>
      <c r="Q15">
        <v>0</v>
      </c>
      <c r="R15">
        <v>0</v>
      </c>
      <c r="S15">
        <v>0</v>
      </c>
    </row>
    <row r="16" spans="1:19" ht="60" customHeight="1" x14ac:dyDescent="0.25">
      <c r="B16" t="s">
        <v>2787</v>
      </c>
      <c r="C16" t="s">
        <v>2788</v>
      </c>
      <c r="D16" s="11">
        <v>65</v>
      </c>
      <c r="E16" t="s">
        <v>1815</v>
      </c>
      <c r="F16" t="s">
        <v>3033</v>
      </c>
      <c r="G16" t="s">
        <v>1813</v>
      </c>
      <c r="H16" s="11">
        <v>8</v>
      </c>
      <c r="I16" s="13">
        <f>H16*(1-IFERROR(VLOOKUP(G16,Rabat!$C$9:$D$43,2,0),0))</f>
        <v>8</v>
      </c>
      <c r="J16" t="s">
        <v>1818</v>
      </c>
      <c r="K16" s="12" t="str">
        <f>HYPERLINK("https://b2b.kobi.pl/pl/product/9772,girlanda-led-venezia-10w-kobi-design?currency=PLN")</f>
        <v>https://b2b.kobi.pl/pl/product/9772,girlanda-led-venezia-10w-kobi-design?currency=PLN</v>
      </c>
      <c r="L16" s="12" t="str">
        <f>HYPERLINK("https://eprel.ec.europa.eu/qr/2032423")</f>
        <v>https://eprel.ec.europa.eu/qr/2032423</v>
      </c>
      <c r="M16" t="s">
        <v>2608</v>
      </c>
      <c r="N16">
        <v>1.42</v>
      </c>
      <c r="O16">
        <v>1.68</v>
      </c>
      <c r="P16">
        <v>1.92</v>
      </c>
      <c r="Q16">
        <v>51.5</v>
      </c>
      <c r="R16">
        <v>21</v>
      </c>
      <c r="S16">
        <v>12</v>
      </c>
    </row>
    <row r="17" spans="2:19" ht="60" customHeight="1" x14ac:dyDescent="0.25">
      <c r="B17" t="s">
        <v>2481</v>
      </c>
      <c r="C17" t="s">
        <v>2482</v>
      </c>
      <c r="D17" s="11">
        <v>39</v>
      </c>
      <c r="E17" t="s">
        <v>1815</v>
      </c>
      <c r="F17" t="s">
        <v>2488</v>
      </c>
      <c r="G17" t="s">
        <v>1813</v>
      </c>
      <c r="H17" s="11">
        <v>8</v>
      </c>
      <c r="I17" s="13">
        <f>H17*(1-IFERROR(VLOOKUP(G17,Rabat!$C$9:$D$43,2,0),0))</f>
        <v>8</v>
      </c>
      <c r="J17" t="s">
        <v>1818</v>
      </c>
      <c r="K17" s="12" t="str">
        <f>HYPERLINK("https://b2b.kobi.pl/pl/product/9774,lampa-wiszaca-led-venezia-h-1-5w-2500k-kobi-design?currency=PLN")</f>
        <v>https://b2b.kobi.pl/pl/product/9774,lampa-wiszaca-led-venezia-h-1-5w-2500k-kobi-design?currency=PLN</v>
      </c>
      <c r="L17" t="s">
        <v>14</v>
      </c>
      <c r="M17" t="s">
        <v>2569</v>
      </c>
      <c r="N17">
        <v>0.62</v>
      </c>
      <c r="O17">
        <v>0.73</v>
      </c>
      <c r="P17">
        <v>0.8</v>
      </c>
      <c r="Q17">
        <v>23.5</v>
      </c>
      <c r="R17">
        <v>23.5</v>
      </c>
      <c r="S17">
        <v>20</v>
      </c>
    </row>
    <row r="18" spans="2:19" ht="60" customHeight="1" x14ac:dyDescent="0.25">
      <c r="B18" t="s">
        <v>3371</v>
      </c>
      <c r="C18" t="s">
        <v>3372</v>
      </c>
      <c r="D18" s="11">
        <v>9.9</v>
      </c>
      <c r="E18" t="s">
        <v>1815</v>
      </c>
      <c r="F18" t="s">
        <v>3373</v>
      </c>
      <c r="G18" t="s">
        <v>1813</v>
      </c>
      <c r="H18" s="11">
        <v>24</v>
      </c>
      <c r="I18" s="13">
        <f>H18*(1-IFERROR(VLOOKUP(G18,Rabat!$C$9:$D$43,2,0),0))</f>
        <v>24</v>
      </c>
      <c r="J18" t="s">
        <v>1818</v>
      </c>
      <c r="K18" s="12" t="str">
        <f>HYPERLINK("https://b2b.kobi.pl/pl/product/10883,lampa-ogrodowa-kwadratowa-1xgu10-ip44-czarna-lls?currency=PLN")</f>
        <v>https://b2b.kobi.pl/pl/product/10883,lampa-ogrodowa-kwadratowa-1xgu10-ip44-czarna-lls?currency=PLN</v>
      </c>
      <c r="L18" t="s">
        <v>14</v>
      </c>
      <c r="M18" t="s">
        <v>2605</v>
      </c>
      <c r="N18">
        <v>0.15</v>
      </c>
      <c r="O18">
        <v>0.39300000000000002</v>
      </c>
      <c r="P18">
        <v>0.45100000000000001</v>
      </c>
      <c r="Q18">
        <v>10.5</v>
      </c>
      <c r="R18">
        <v>10.5</v>
      </c>
      <c r="S18">
        <v>10.5</v>
      </c>
    </row>
    <row r="19" spans="2:19" ht="60" customHeight="1" x14ac:dyDescent="0.25">
      <c r="B19" t="s">
        <v>3556</v>
      </c>
      <c r="C19" t="s">
        <v>3557</v>
      </c>
      <c r="D19" s="11">
        <v>39.340000000000003</v>
      </c>
      <c r="E19" t="s">
        <v>1815</v>
      </c>
      <c r="F19" t="s">
        <v>3558</v>
      </c>
      <c r="G19" t="s">
        <v>1813</v>
      </c>
      <c r="H19" s="11">
        <v>10</v>
      </c>
      <c r="I19" s="13">
        <f>H19*(1-IFERROR(VLOOKUP(G19,Rabat!$C$9:$D$43,2,0),0))</f>
        <v>10</v>
      </c>
      <c r="J19" t="s">
        <v>1818</v>
      </c>
      <c r="K19" s="12" t="str">
        <f>HYPERLINK("https://b2b.kobi.pl/pl/product/10623,kinkiet-ogrodowy-quazar-5-2xgu10-ip44-czarny-kobi?currency=PLN")</f>
        <v>https://b2b.kobi.pl/pl/product/10623,kinkiet-ogrodowy-quazar-5-2xgu10-ip44-czarny-kobi?currency=PLN</v>
      </c>
      <c r="L19" t="s">
        <v>14</v>
      </c>
      <c r="M19" t="s">
        <v>2602</v>
      </c>
      <c r="N19">
        <v>0.25</v>
      </c>
      <c r="O19">
        <v>0.64100000000000001</v>
      </c>
      <c r="P19">
        <v>0.80700000000000005</v>
      </c>
      <c r="Q19">
        <v>9.5</v>
      </c>
      <c r="R19">
        <v>9.3000000000000007</v>
      </c>
      <c r="S19">
        <v>27</v>
      </c>
    </row>
    <row r="20" spans="2:19" ht="60" customHeight="1" x14ac:dyDescent="0.25">
      <c r="B20" t="s">
        <v>2789</v>
      </c>
      <c r="C20" t="s">
        <v>2790</v>
      </c>
      <c r="D20" s="11">
        <v>18.309999999999999</v>
      </c>
      <c r="E20" t="s">
        <v>1815</v>
      </c>
      <c r="F20" t="s">
        <v>3034</v>
      </c>
      <c r="G20" t="s">
        <v>1833</v>
      </c>
      <c r="H20" s="11">
        <v>20</v>
      </c>
      <c r="I20" s="13">
        <f>H20*(1-IFERROR(VLOOKUP(G20,Rabat!$C$9:$D$43,2,0),0))</f>
        <v>20</v>
      </c>
      <c r="J20" t="s">
        <v>1818</v>
      </c>
      <c r="K20" s="12" t="str">
        <f>HYPERLINK("https://b2b.kobi.pl/pl/product/9778,klosz-do-zestawu-crete-ls-m1-czarny-5-sztuk-kobi-design?currency=PLN")</f>
        <v>https://b2b.kobi.pl/pl/product/9778,klosz-do-zestawu-crete-ls-m1-czarny-5-sztuk-kobi-design?currency=PLN</v>
      </c>
      <c r="L20" t="s">
        <v>14</v>
      </c>
      <c r="M20" t="s">
        <v>2574</v>
      </c>
      <c r="N20">
        <v>0</v>
      </c>
      <c r="O20">
        <v>0.72</v>
      </c>
      <c r="P20">
        <v>0.9</v>
      </c>
      <c r="Q20">
        <v>20.5</v>
      </c>
      <c r="R20">
        <v>20.5</v>
      </c>
      <c r="S20">
        <v>5.5</v>
      </c>
    </row>
    <row r="21" spans="2:19" ht="60" customHeight="1" x14ac:dyDescent="0.25">
      <c r="B21" t="s">
        <v>2791</v>
      </c>
      <c r="C21" t="s">
        <v>2792</v>
      </c>
      <c r="D21" s="11">
        <v>16.760000000000002</v>
      </c>
      <c r="E21" t="s">
        <v>1815</v>
      </c>
      <c r="F21" t="s">
        <v>3035</v>
      </c>
      <c r="G21" t="s">
        <v>1833</v>
      </c>
      <c r="H21" s="11">
        <v>20</v>
      </c>
      <c r="I21" s="13">
        <f>H21*(1-IFERROR(VLOOKUP(G21,Rabat!$C$9:$D$43,2,0),0))</f>
        <v>20</v>
      </c>
      <c r="J21" t="s">
        <v>1818</v>
      </c>
      <c r="K21" s="12" t="str">
        <f>HYPERLINK("https://b2b.kobi.pl/pl/product/9779,klosz-do-zestawu-crete-ls-m2-czarny-5-sztuk-kobi-design?currency=PLN")</f>
        <v>https://b2b.kobi.pl/pl/product/9779,klosz-do-zestawu-crete-ls-m2-czarny-5-sztuk-kobi-design?currency=PLN</v>
      </c>
      <c r="L21" t="s">
        <v>14</v>
      </c>
      <c r="M21" t="s">
        <v>2574</v>
      </c>
      <c r="N21">
        <v>0</v>
      </c>
      <c r="O21">
        <v>0.72</v>
      </c>
      <c r="P21">
        <v>0.89500000000000002</v>
      </c>
      <c r="Q21">
        <v>8</v>
      </c>
      <c r="R21">
        <v>20</v>
      </c>
      <c r="S21">
        <v>19.5</v>
      </c>
    </row>
    <row r="22" spans="2:19" ht="60" customHeight="1" x14ac:dyDescent="0.25">
      <c r="B22" t="s">
        <v>2985</v>
      </c>
      <c r="C22" t="s">
        <v>2986</v>
      </c>
      <c r="D22" s="11">
        <v>10.199999999999999</v>
      </c>
      <c r="E22" t="s">
        <v>1815</v>
      </c>
      <c r="F22" t="s">
        <v>3140</v>
      </c>
      <c r="G22" t="s">
        <v>1813</v>
      </c>
      <c r="H22" s="11">
        <v>40</v>
      </c>
      <c r="I22" s="13">
        <f>H22*(1-IFERROR(VLOOKUP(G22,Rabat!$C$9:$D$43,2,0),0))</f>
        <v>40</v>
      </c>
      <c r="J22" t="s">
        <v>1818</v>
      </c>
      <c r="K22" s="12" t="str">
        <f>HYPERLINK("https://b2b.kobi.pl/pl/product/9775,przewod-zasilajacy-crete-pc-5m-kobi-design?currency=PLN")</f>
        <v>https://b2b.kobi.pl/pl/product/9775,przewod-zasilajacy-crete-pc-5m-kobi-design?currency=PLN</v>
      </c>
      <c r="L22" t="s">
        <v>14</v>
      </c>
      <c r="M22" t="s">
        <v>2615</v>
      </c>
      <c r="N22">
        <v>0.17</v>
      </c>
      <c r="O22">
        <v>0.44</v>
      </c>
      <c r="P22">
        <v>0.53</v>
      </c>
      <c r="Q22">
        <v>30.5</v>
      </c>
      <c r="R22">
        <v>10</v>
      </c>
      <c r="S22">
        <v>5</v>
      </c>
    </row>
    <row r="23" spans="2:19" ht="60" customHeight="1" x14ac:dyDescent="0.25">
      <c r="B23" t="s">
        <v>2987</v>
      </c>
      <c r="C23" t="s">
        <v>2988</v>
      </c>
      <c r="D23" s="11">
        <v>18.440000000000001</v>
      </c>
      <c r="E23" t="s">
        <v>1815</v>
      </c>
      <c r="F23" t="s">
        <v>3141</v>
      </c>
      <c r="G23" t="s">
        <v>1813</v>
      </c>
      <c r="H23" s="11">
        <v>20</v>
      </c>
      <c r="I23" s="13">
        <f>H23*(1-IFERROR(VLOOKUP(G23,Rabat!$C$9:$D$43,2,0),0))</f>
        <v>20</v>
      </c>
      <c r="J23" t="s">
        <v>1818</v>
      </c>
      <c r="K23" s="12" t="str">
        <f>HYPERLINK("https://b2b.kobi.pl/pl/product/9776,przewod-zasilajacy-crete-pc-10m-kobi-design?currency=PLN")</f>
        <v>https://b2b.kobi.pl/pl/product/9776,przewod-zasilajacy-crete-pc-10m-kobi-design?currency=PLN</v>
      </c>
      <c r="L23" t="s">
        <v>14</v>
      </c>
      <c r="M23" t="s">
        <v>2615</v>
      </c>
      <c r="N23">
        <v>0.3</v>
      </c>
      <c r="O23">
        <v>0.78</v>
      </c>
      <c r="P23">
        <v>0.94</v>
      </c>
      <c r="Q23">
        <v>38</v>
      </c>
      <c r="R23">
        <v>12</v>
      </c>
      <c r="S23">
        <v>6</v>
      </c>
    </row>
    <row r="24" spans="2:19" ht="60" customHeight="1" x14ac:dyDescent="0.25">
      <c r="B24" t="s">
        <v>2785</v>
      </c>
      <c r="C24" t="s">
        <v>2786</v>
      </c>
      <c r="D24" s="11">
        <v>25.39</v>
      </c>
      <c r="E24" t="s">
        <v>1815</v>
      </c>
      <c r="F24" t="s">
        <v>3032</v>
      </c>
      <c r="G24" t="s">
        <v>1813</v>
      </c>
      <c r="H24" s="11">
        <v>4</v>
      </c>
      <c r="I24" s="13">
        <f>H24*(1-IFERROR(VLOOKUP(G24,Rabat!$C$9:$D$43,2,0),0))</f>
        <v>4</v>
      </c>
      <c r="J24" t="s">
        <v>1818</v>
      </c>
      <c r="K24" s="12" t="str">
        <f>HYPERLINK("https://b2b.kobi.pl/pl/product/9777,girlanda-crete-5xe27-5m-kobi-design?currency=PLN")</f>
        <v>https://b2b.kobi.pl/pl/product/9777,girlanda-crete-5xe27-5m-kobi-design?currency=PLN</v>
      </c>
      <c r="L24" t="s">
        <v>14</v>
      </c>
      <c r="M24" t="s">
        <v>2605</v>
      </c>
      <c r="N24">
        <v>0.32</v>
      </c>
      <c r="O24">
        <v>0.83</v>
      </c>
      <c r="P24">
        <v>1</v>
      </c>
      <c r="Q24">
        <v>29</v>
      </c>
      <c r="R24">
        <v>12</v>
      </c>
      <c r="S24">
        <v>12</v>
      </c>
    </row>
    <row r="25" spans="2:19" ht="60" customHeight="1" x14ac:dyDescent="0.25">
      <c r="B25" t="s">
        <v>2829</v>
      </c>
      <c r="C25" t="s">
        <v>2830</v>
      </c>
      <c r="D25" s="11">
        <v>19.899999999999999</v>
      </c>
      <c r="E25" t="s">
        <v>1820</v>
      </c>
      <c r="F25" t="s">
        <v>3054</v>
      </c>
      <c r="G25" t="s">
        <v>1813</v>
      </c>
      <c r="H25" s="11">
        <v>24</v>
      </c>
      <c r="I25" s="13">
        <f>H25*(1-IFERROR(VLOOKUP(G25,Rabat!$C$9:$D$43,2,0),0))</f>
        <v>24</v>
      </c>
      <c r="J25" t="s">
        <v>1818</v>
      </c>
      <c r="K25" s="12" t="str">
        <f>HYPERLINK("https://b2b.kobi.pl/pl/product/10481,downlight-oslo-14w-3000k-bialy-art-of-light?currency=PLN")</f>
        <v>https://b2b.kobi.pl/pl/product/10481,downlight-oslo-14w-3000k-bialy-art-of-light?currency=PLN</v>
      </c>
      <c r="L25" s="12" t="str">
        <f>HYPERLINK("https://eprel.ec.europa.eu/qr/929210")</f>
        <v>https://eprel.ec.europa.eu/qr/929210</v>
      </c>
      <c r="M25" t="s">
        <v>2573</v>
      </c>
      <c r="N25">
        <v>0.51</v>
      </c>
      <c r="O25">
        <v>0.6</v>
      </c>
      <c r="P25">
        <v>0.72</v>
      </c>
      <c r="Q25">
        <v>13.2</v>
      </c>
      <c r="R25">
        <v>13</v>
      </c>
      <c r="S25">
        <v>13.4</v>
      </c>
    </row>
    <row r="26" spans="2:19" ht="60" customHeight="1" x14ac:dyDescent="0.25">
      <c r="B26" t="s">
        <v>2927</v>
      </c>
      <c r="C26" t="s">
        <v>2928</v>
      </c>
      <c r="D26" s="11">
        <v>29.9</v>
      </c>
      <c r="E26" t="s">
        <v>1820</v>
      </c>
      <c r="F26" t="s">
        <v>3110</v>
      </c>
      <c r="G26" t="s">
        <v>1813</v>
      </c>
      <c r="H26" s="11">
        <v>24</v>
      </c>
      <c r="I26" s="13">
        <f>H26*(1-IFERROR(VLOOKUP(G26,Rabat!$C$9:$D$43,2,0),0))</f>
        <v>24</v>
      </c>
      <c r="J26" t="s">
        <v>1818</v>
      </c>
      <c r="K26" s="12" t="str">
        <f>HYPERLINK("https://b2b.kobi.pl/pl/product/10469,oprawa-sufitowa-lahti-dim-10-5w-3000k-czarna-art-of-light?currency=PLN")</f>
        <v>https://b2b.kobi.pl/pl/product/10469,oprawa-sufitowa-lahti-dim-10-5w-3000k-czarna-art-of-light?currency=PLN</v>
      </c>
      <c r="L26" s="12" t="str">
        <f>HYPERLINK("https://eprel.ec.europa.eu/qr/856913")</f>
        <v>https://eprel.ec.europa.eu/qr/856913</v>
      </c>
      <c r="M26" t="s">
        <v>2573</v>
      </c>
      <c r="N26">
        <v>0.66</v>
      </c>
      <c r="O26">
        <v>0.77700000000000002</v>
      </c>
      <c r="P26">
        <v>0.89</v>
      </c>
      <c r="Q26">
        <v>13</v>
      </c>
      <c r="R26">
        <v>13.5</v>
      </c>
      <c r="S26">
        <v>13.5</v>
      </c>
    </row>
    <row r="27" spans="2:19" ht="60" customHeight="1" x14ac:dyDescent="0.25">
      <c r="B27" t="s">
        <v>2929</v>
      </c>
      <c r="C27" t="s">
        <v>2930</v>
      </c>
      <c r="D27" s="11">
        <v>69</v>
      </c>
      <c r="E27" t="s">
        <v>1820</v>
      </c>
      <c r="F27" t="s">
        <v>3111</v>
      </c>
      <c r="G27" t="s">
        <v>1813</v>
      </c>
      <c r="H27" s="11">
        <v>12</v>
      </c>
      <c r="I27" s="13">
        <f>H27*(1-IFERROR(VLOOKUP(G27,Rabat!$C$9:$D$43,2,0),0))</f>
        <v>12</v>
      </c>
      <c r="J27" t="s">
        <v>1818</v>
      </c>
      <c r="K27" s="12" t="str">
        <f>HYPERLINK("https://b2b.kobi.pl/pl/product/10474,oprawa-sufitowa-lahti-mini-dim-2x9w-3000k-czarna-art-of-light?currency=PLN")</f>
        <v>https://b2b.kobi.pl/pl/product/10474,oprawa-sufitowa-lahti-mini-dim-2x9w-3000k-czarna-art-of-light?currency=PLN</v>
      </c>
      <c r="L27" s="12" t="str">
        <f>HYPERLINK("https://eprel.ec.europa.eu/qr/856894")</f>
        <v>https://eprel.ec.europa.eu/qr/856894</v>
      </c>
      <c r="M27" t="s">
        <v>2610</v>
      </c>
      <c r="N27">
        <v>0.72</v>
      </c>
      <c r="O27">
        <v>0.85699999999999998</v>
      </c>
      <c r="P27">
        <v>0.98</v>
      </c>
      <c r="Q27">
        <v>8</v>
      </c>
      <c r="R27">
        <v>6</v>
      </c>
      <c r="S27">
        <v>13</v>
      </c>
    </row>
    <row r="28" spans="2:19" ht="60" customHeight="1" x14ac:dyDescent="0.25">
      <c r="B28" t="s">
        <v>2961</v>
      </c>
      <c r="C28" t="s">
        <v>2962</v>
      </c>
      <c r="D28" s="11">
        <v>2.99</v>
      </c>
      <c r="E28" t="s">
        <v>1815</v>
      </c>
      <c r="F28" t="s">
        <v>3128</v>
      </c>
      <c r="G28" t="s">
        <v>1813</v>
      </c>
      <c r="H28" s="11">
        <v>50</v>
      </c>
      <c r="I28" s="13">
        <f>H28*(1-IFERROR(VLOOKUP(G28,Rabat!$C$9:$D$43,2,0),0))</f>
        <v>50</v>
      </c>
      <c r="J28" t="s">
        <v>1818</v>
      </c>
      <c r="K28" s="12" t="str">
        <f>HYPERLINK("https://b2b.kobi.pl/pl/product/10421,pierscien-ozdobny-oh34-ip44-mat-chrom-kobi?currency=PLN")</f>
        <v>https://b2b.kobi.pl/pl/product/10421,pierscien-ozdobny-oh34-ip44-mat-chrom-kobi?currency=PLN</v>
      </c>
      <c r="L28" t="s">
        <v>14</v>
      </c>
      <c r="M28" t="s">
        <v>2574</v>
      </c>
      <c r="N28">
        <v>0</v>
      </c>
      <c r="O28">
        <v>0.11899999999999999</v>
      </c>
      <c r="P28">
        <v>0.14399999999999999</v>
      </c>
      <c r="Q28">
        <v>8.5</v>
      </c>
      <c r="R28">
        <v>8.5</v>
      </c>
      <c r="S28">
        <v>5</v>
      </c>
    </row>
    <row r="29" spans="2:19" ht="60" customHeight="1" x14ac:dyDescent="0.25">
      <c r="B29" t="s">
        <v>2903</v>
      </c>
      <c r="C29" t="s">
        <v>2904</v>
      </c>
      <c r="D29" s="11">
        <v>10.65</v>
      </c>
      <c r="E29" t="s">
        <v>1815</v>
      </c>
      <c r="F29" t="s">
        <v>3098</v>
      </c>
      <c r="G29" t="s">
        <v>1813</v>
      </c>
      <c r="H29" s="11">
        <v>20</v>
      </c>
      <c r="I29" s="13">
        <f>H29*(1-IFERROR(VLOOKUP(G29,Rabat!$C$9:$D$43,2,0),0))</f>
        <v>20</v>
      </c>
      <c r="J29" t="s">
        <v>1818</v>
      </c>
      <c r="K29" s="12" t="str">
        <f>HYPERLINK("https://b2b.kobi.pl/pl/product/10435,oprawa-do-nadbudowania-oh37-biala-kobi?currency=PLN")</f>
        <v>https://b2b.kobi.pl/pl/product/10435,oprawa-do-nadbudowania-oh37-biala-kobi?currency=PLN</v>
      </c>
      <c r="L29" t="s">
        <v>14</v>
      </c>
      <c r="M29" t="s">
        <v>2602</v>
      </c>
      <c r="N29">
        <v>0.21</v>
      </c>
      <c r="O29">
        <v>0.53600000000000003</v>
      </c>
      <c r="P29">
        <v>0.68600000000000005</v>
      </c>
      <c r="Q29">
        <v>10.6</v>
      </c>
      <c r="R29">
        <v>10.6</v>
      </c>
      <c r="S29">
        <v>11</v>
      </c>
    </row>
    <row r="30" spans="2:19" ht="60" customHeight="1" x14ac:dyDescent="0.25">
      <c r="B30" t="s">
        <v>4280</v>
      </c>
      <c r="C30" t="s">
        <v>2890</v>
      </c>
      <c r="D30" s="11">
        <v>16.02</v>
      </c>
      <c r="E30" t="s">
        <v>1815</v>
      </c>
      <c r="F30" t="s">
        <v>3085</v>
      </c>
      <c r="G30" t="s">
        <v>1813</v>
      </c>
      <c r="H30" s="11">
        <v>20</v>
      </c>
      <c r="I30" s="13">
        <f>H30*(1-IFERROR(VLOOKUP(G30,Rabat!$C$9:$D$43,2,0),0))</f>
        <v>20</v>
      </c>
      <c r="J30" t="s">
        <v>1818</v>
      </c>
      <c r="K30" s="12" t="str">
        <f>HYPERLINK("https://b2b.kobi.pl/pl/product/10343,oprawa-do-nabudowania-aquarius-1xgu10-kwadrat-ip44-chrom-kobi?currency=PLN")</f>
        <v>https://b2b.kobi.pl/pl/product/10343,oprawa-do-nabudowania-aquarius-1xgu10-kwadrat-ip44-chrom-kobi?currency=PLN</v>
      </c>
      <c r="L30" t="s">
        <v>14</v>
      </c>
      <c r="M30" t="s">
        <v>2602</v>
      </c>
      <c r="N30">
        <v>0.25</v>
      </c>
      <c r="O30">
        <v>0.64800000000000002</v>
      </c>
      <c r="P30">
        <v>0.79800000000000004</v>
      </c>
      <c r="Q30">
        <v>9</v>
      </c>
      <c r="R30">
        <v>9</v>
      </c>
      <c r="S30">
        <v>11</v>
      </c>
    </row>
    <row r="31" spans="2:19" ht="60" customHeight="1" x14ac:dyDescent="0.25">
      <c r="B31" t="s">
        <v>2905</v>
      </c>
      <c r="C31" t="s">
        <v>2906</v>
      </c>
      <c r="D31" s="11">
        <v>10.65</v>
      </c>
      <c r="E31" t="s">
        <v>1815</v>
      </c>
      <c r="F31" t="s">
        <v>3099</v>
      </c>
      <c r="G31" t="s">
        <v>1813</v>
      </c>
      <c r="H31" s="11">
        <v>20</v>
      </c>
      <c r="I31" s="13">
        <f>H31*(1-IFERROR(VLOOKUP(G31,Rabat!$C$9:$D$43,2,0),0))</f>
        <v>20</v>
      </c>
      <c r="J31" t="s">
        <v>1818</v>
      </c>
      <c r="K31" s="12" t="str">
        <f>HYPERLINK("https://b2b.kobi.pl/pl/product/10438,oprawa-do-nadbudowania-oh37-l-biala-kobi?currency=PLN")</f>
        <v>https://b2b.kobi.pl/pl/product/10438,oprawa-do-nadbudowania-oh37-l-biala-kobi?currency=PLN</v>
      </c>
      <c r="L31" t="s">
        <v>14</v>
      </c>
      <c r="M31" t="s">
        <v>2602</v>
      </c>
      <c r="N31">
        <v>0.27</v>
      </c>
      <c r="O31">
        <v>0.69099999999999995</v>
      </c>
      <c r="P31">
        <v>0.75</v>
      </c>
      <c r="Q31">
        <v>10.6</v>
      </c>
      <c r="R31">
        <v>10.6</v>
      </c>
      <c r="S31">
        <v>11</v>
      </c>
    </row>
    <row r="32" spans="2:19" ht="60" customHeight="1" x14ac:dyDescent="0.25">
      <c r="B32" t="s">
        <v>2907</v>
      </c>
      <c r="C32" t="s">
        <v>2908</v>
      </c>
      <c r="D32" s="11">
        <v>17.87</v>
      </c>
      <c r="E32" t="s">
        <v>1815</v>
      </c>
      <c r="F32" t="s">
        <v>3100</v>
      </c>
      <c r="G32" t="s">
        <v>1813</v>
      </c>
      <c r="H32" s="11">
        <v>20</v>
      </c>
      <c r="I32" s="13">
        <f>H32*(1-IFERROR(VLOOKUP(G32,Rabat!$C$9:$D$43,2,0),0))</f>
        <v>20</v>
      </c>
      <c r="J32" t="s">
        <v>1818</v>
      </c>
      <c r="K32" s="12" t="str">
        <f>HYPERLINK("https://b2b.kobi.pl/pl/product/10440,oprawa-do-nadbudowania-oh37-l-czarna-kobi?currency=PLN")</f>
        <v>https://b2b.kobi.pl/pl/product/10440,oprawa-do-nadbudowania-oh37-l-czarna-kobi?currency=PLN</v>
      </c>
      <c r="L32" t="s">
        <v>14</v>
      </c>
      <c r="M32" t="s">
        <v>2602</v>
      </c>
      <c r="N32">
        <v>0.27</v>
      </c>
      <c r="O32">
        <v>0.69099999999999995</v>
      </c>
      <c r="P32">
        <v>0.75</v>
      </c>
      <c r="Q32">
        <v>10.6</v>
      </c>
      <c r="R32">
        <v>10.6</v>
      </c>
      <c r="S32">
        <v>11</v>
      </c>
    </row>
    <row r="33" spans="2:19" ht="60" customHeight="1" x14ac:dyDescent="0.25">
      <c r="B33" t="s">
        <v>2949</v>
      </c>
      <c r="C33" t="s">
        <v>2950</v>
      </c>
      <c r="D33" s="11">
        <v>5.99</v>
      </c>
      <c r="E33" t="s">
        <v>1815</v>
      </c>
      <c r="F33" t="s">
        <v>3122</v>
      </c>
      <c r="G33" t="s">
        <v>1813</v>
      </c>
      <c r="H33" s="11">
        <v>50</v>
      </c>
      <c r="I33" s="13">
        <f>H33*(1-IFERROR(VLOOKUP(G33,Rabat!$C$9:$D$43,2,0),0))</f>
        <v>50</v>
      </c>
      <c r="J33" t="s">
        <v>1818</v>
      </c>
      <c r="K33" s="12" t="str">
        <f>HYPERLINK("https://b2b.kobi.pl/pl/product/10346,pierscien-ozdobny-bari-round-czarny-kobi?currency=PLN")</f>
        <v>https://b2b.kobi.pl/pl/product/10346,pierscien-ozdobny-bari-round-czarny-kobi?currency=PLN</v>
      </c>
      <c r="L33" t="s">
        <v>14</v>
      </c>
      <c r="M33" t="s">
        <v>2602</v>
      </c>
      <c r="N33">
        <v>0</v>
      </c>
      <c r="O33">
        <v>0.12</v>
      </c>
      <c r="P33">
        <v>0.17699999999999999</v>
      </c>
      <c r="Q33">
        <v>10.5</v>
      </c>
      <c r="R33">
        <v>4.5</v>
      </c>
      <c r="S33">
        <v>12.5</v>
      </c>
    </row>
    <row r="34" spans="2:19" ht="60" customHeight="1" x14ac:dyDescent="0.25">
      <c r="B34" t="s">
        <v>2951</v>
      </c>
      <c r="C34" t="s">
        <v>2952</v>
      </c>
      <c r="D34" s="11">
        <v>2.99</v>
      </c>
      <c r="E34" t="s">
        <v>1815</v>
      </c>
      <c r="F34" t="s">
        <v>3123</v>
      </c>
      <c r="G34" t="s">
        <v>1813</v>
      </c>
      <c r="H34" s="11">
        <v>50</v>
      </c>
      <c r="I34" s="13">
        <f>H34*(1-IFERROR(VLOOKUP(G34,Rabat!$C$9:$D$43,2,0),0))</f>
        <v>50</v>
      </c>
      <c r="J34" t="s">
        <v>1818</v>
      </c>
      <c r="K34" s="12" t="str">
        <f>HYPERLINK("https://b2b.kobi.pl/pl/product/10349,pierscien-ozdobny-bari-square-chrom-kobi?currency=PLN")</f>
        <v>https://b2b.kobi.pl/pl/product/10349,pierscien-ozdobny-bari-square-chrom-kobi?currency=PLN</v>
      </c>
      <c r="L34" t="s">
        <v>14</v>
      </c>
      <c r="M34" t="s">
        <v>2602</v>
      </c>
      <c r="N34">
        <v>0</v>
      </c>
      <c r="O34">
        <v>0.14000000000000001</v>
      </c>
      <c r="P34">
        <v>0.187</v>
      </c>
      <c r="Q34">
        <v>10.5</v>
      </c>
      <c r="R34">
        <v>4.5</v>
      </c>
      <c r="S34">
        <v>12.5</v>
      </c>
    </row>
    <row r="35" spans="2:19" ht="60" customHeight="1" x14ac:dyDescent="0.25">
      <c r="B35" t="s">
        <v>3027</v>
      </c>
      <c r="C35" t="s">
        <v>3028</v>
      </c>
      <c r="D35" s="11">
        <v>3.99</v>
      </c>
      <c r="E35" t="s">
        <v>1816</v>
      </c>
      <c r="F35" t="s">
        <v>3162</v>
      </c>
      <c r="G35" t="s">
        <v>1813</v>
      </c>
      <c r="H35" s="11">
        <v>200</v>
      </c>
      <c r="I35" s="13">
        <f>H35*(1-IFERROR(VLOOKUP(G35,Rabat!$C$9:$D$43,2,0),0))</f>
        <v>200</v>
      </c>
      <c r="J35" t="s">
        <v>1818</v>
      </c>
      <c r="K35" s="12" t="str">
        <f>HYPERLINK("https://b2b.kobi.pl/pl/product/9504,zarowka-led-g9-6w-3000k-kobi?currency=PLN")</f>
        <v>https://b2b.kobi.pl/pl/product/9504,zarowka-led-g9-6w-3000k-kobi?currency=PLN</v>
      </c>
      <c r="L35" s="12" t="str">
        <f>HYPERLINK("https://eprel.ec.europa.eu/qr/659786")</f>
        <v>https://eprel.ec.europa.eu/qr/659786</v>
      </c>
      <c r="M35" t="s">
        <v>2569</v>
      </c>
      <c r="N35">
        <v>0.02</v>
      </c>
      <c r="O35">
        <v>0.02</v>
      </c>
      <c r="P35">
        <v>0.02</v>
      </c>
      <c r="Q35">
        <v>10</v>
      </c>
      <c r="R35">
        <v>12</v>
      </c>
      <c r="S35">
        <v>1</v>
      </c>
    </row>
    <row r="36" spans="2:19" ht="60" customHeight="1" x14ac:dyDescent="0.25">
      <c r="B36" t="s">
        <v>3029</v>
      </c>
      <c r="C36" t="s">
        <v>3030</v>
      </c>
      <c r="D36" s="11">
        <v>3.99</v>
      </c>
      <c r="E36" t="s">
        <v>1816</v>
      </c>
      <c r="F36" t="s">
        <v>3163</v>
      </c>
      <c r="G36" t="s">
        <v>1813</v>
      </c>
      <c r="H36" s="11">
        <v>200</v>
      </c>
      <c r="I36" s="13">
        <f>H36*(1-IFERROR(VLOOKUP(G36,Rabat!$C$9:$D$43,2,0),0))</f>
        <v>200</v>
      </c>
      <c r="J36" t="s">
        <v>1818</v>
      </c>
      <c r="K36" s="12" t="str">
        <f>HYPERLINK("https://b2b.kobi.pl/pl/product/9506,zarowka-led-g9-6w-6000k-kobi?currency=PLN")</f>
        <v>https://b2b.kobi.pl/pl/product/9506,zarowka-led-g9-6w-6000k-kobi?currency=PLN</v>
      </c>
      <c r="L36" s="12" t="str">
        <f>HYPERLINK("https://eprel.ec.europa.eu/qr/659806")</f>
        <v>https://eprel.ec.europa.eu/qr/659806</v>
      </c>
      <c r="M36" t="s">
        <v>2569</v>
      </c>
      <c r="N36">
        <v>0.02</v>
      </c>
      <c r="O36">
        <v>0.02</v>
      </c>
      <c r="P36">
        <v>0.02</v>
      </c>
      <c r="Q36">
        <v>6</v>
      </c>
      <c r="R36">
        <v>2</v>
      </c>
      <c r="S36">
        <v>2</v>
      </c>
    </row>
    <row r="37" spans="2:19" ht="60" customHeight="1" x14ac:dyDescent="0.25">
      <c r="B37" t="s">
        <v>3023</v>
      </c>
      <c r="C37" t="s">
        <v>3024</v>
      </c>
      <c r="D37" s="11">
        <v>7.5</v>
      </c>
      <c r="E37" t="s">
        <v>1812</v>
      </c>
      <c r="F37" t="s">
        <v>3160</v>
      </c>
      <c r="G37" t="s">
        <v>1833</v>
      </c>
      <c r="H37" s="11">
        <v>32</v>
      </c>
      <c r="I37" s="13">
        <f>H37*(1-IFERROR(VLOOKUP(G37,Rabat!$C$9:$D$43,2,0),0))</f>
        <v>32</v>
      </c>
      <c r="J37" t="s">
        <v>1818</v>
      </c>
      <c r="K37" s="12" t="str">
        <f>HYPERLINK("https://b2b.kobi.pl/pl/product/9479,zarowka-filamentowa-led-fgs-7w-e27-3000k-3-pak-kobi-360-line?currency=PLN")</f>
        <v>https://b2b.kobi.pl/pl/product/9479,zarowka-filamentowa-led-fgs-7w-e27-3000k-3-pak-kobi-360-line?currency=PLN</v>
      </c>
      <c r="L37" s="12" t="str">
        <f>HYPERLINK("https://eprel.ec.europa.eu/qr/659645")</f>
        <v>https://eprel.ec.europa.eu/qr/659645</v>
      </c>
      <c r="M37" t="s">
        <v>2569</v>
      </c>
      <c r="N37">
        <v>0.08</v>
      </c>
      <c r="O37">
        <v>0.09</v>
      </c>
      <c r="P37">
        <v>0.15</v>
      </c>
      <c r="Q37">
        <v>6.2</v>
      </c>
      <c r="R37">
        <v>6.2</v>
      </c>
      <c r="S37">
        <v>11.5</v>
      </c>
    </row>
    <row r="38" spans="2:19" ht="60" customHeight="1" x14ac:dyDescent="0.25">
      <c r="B38" t="s">
        <v>3025</v>
      </c>
      <c r="C38" t="s">
        <v>3026</v>
      </c>
      <c r="D38" s="11">
        <v>14.99</v>
      </c>
      <c r="E38" t="s">
        <v>1812</v>
      </c>
      <c r="F38" t="s">
        <v>3161</v>
      </c>
      <c r="G38" t="s">
        <v>1833</v>
      </c>
      <c r="H38" s="11">
        <v>16</v>
      </c>
      <c r="I38" s="13">
        <f>H38*(1-IFERROR(VLOOKUP(G38,Rabat!$C$9:$D$43,2,0),0))</f>
        <v>16</v>
      </c>
      <c r="J38" t="s">
        <v>1818</v>
      </c>
      <c r="K38" s="12" t="str">
        <f>HYPERLINK("https://b2b.kobi.pl/pl/product/9480,zarowka-filamentowa-led-fgs-7w-e27-3000k-6-pak-kobi-360-line?currency=PLN")</f>
        <v>https://b2b.kobi.pl/pl/product/9480,zarowka-filamentowa-led-fgs-7w-e27-3000k-6-pak-kobi-360-line?currency=PLN</v>
      </c>
      <c r="L38" s="12" t="str">
        <f>HYPERLINK("https://eprel.ec.europa.eu/qr/659645")</f>
        <v>https://eprel.ec.europa.eu/qr/659645</v>
      </c>
      <c r="M38" t="s">
        <v>2569</v>
      </c>
      <c r="N38">
        <v>0.15</v>
      </c>
      <c r="O38">
        <v>0.18</v>
      </c>
      <c r="P38">
        <v>0.25</v>
      </c>
      <c r="Q38">
        <v>6.2</v>
      </c>
      <c r="R38">
        <v>6.2</v>
      </c>
      <c r="S38">
        <v>11.5</v>
      </c>
    </row>
    <row r="39" spans="2:19" ht="60" customHeight="1" x14ac:dyDescent="0.25">
      <c r="B39" t="s">
        <v>2831</v>
      </c>
      <c r="C39" t="s">
        <v>2832</v>
      </c>
      <c r="D39" s="11">
        <v>149</v>
      </c>
      <c r="E39" t="s">
        <v>1812</v>
      </c>
      <c r="F39" t="s">
        <v>3055</v>
      </c>
      <c r="G39" t="s">
        <v>1813</v>
      </c>
      <c r="H39" s="11">
        <v>1</v>
      </c>
      <c r="I39" s="13">
        <f>H39*(1-IFERROR(VLOOKUP(G39,Rabat!$C$9:$D$43,2,0),0))</f>
        <v>1</v>
      </c>
      <c r="J39" t="s">
        <v>1814</v>
      </c>
      <c r="K39" s="12" t="str">
        <f>HYPERLINK("https://b2b.kobi.pl/pl/product/8406,high-bay-led-neo-200w-4000k-ip65-110-kobi-pro?currency=PLN")</f>
        <v>https://b2b.kobi.pl/pl/product/8406,high-bay-led-neo-200w-4000k-ip65-110-kobi-pro?currency=PLN</v>
      </c>
      <c r="L39" s="12" t="str">
        <f>HYPERLINK("https://eprel.ec.europa.eu/qr/669377")</f>
        <v>https://eprel.ec.europa.eu/qr/669377</v>
      </c>
      <c r="M39" t="s">
        <v>2573</v>
      </c>
      <c r="N39">
        <v>2.97</v>
      </c>
      <c r="O39">
        <v>3.5190000000000001</v>
      </c>
      <c r="P39">
        <v>4.9000000000000004</v>
      </c>
      <c r="Q39">
        <v>37</v>
      </c>
      <c r="R39">
        <v>37</v>
      </c>
      <c r="S39">
        <v>16</v>
      </c>
    </row>
    <row r="40" spans="2:19" ht="60" customHeight="1" x14ac:dyDescent="0.25">
      <c r="B40" t="s">
        <v>3019</v>
      </c>
      <c r="C40" t="s">
        <v>3020</v>
      </c>
      <c r="D40" s="11">
        <v>19.899999999999999</v>
      </c>
      <c r="E40" t="s">
        <v>1816</v>
      </c>
      <c r="F40" t="s">
        <v>3158</v>
      </c>
      <c r="G40" t="s">
        <v>1813</v>
      </c>
      <c r="H40" s="11">
        <v>20</v>
      </c>
      <c r="I40" s="13">
        <f>H40*(1-IFERROR(VLOOKUP(G40,Rabat!$C$9:$D$43,2,0),0))</f>
        <v>20</v>
      </c>
      <c r="J40" t="s">
        <v>1818</v>
      </c>
      <c r="K40" s="12" t="str">
        <f>HYPERLINK("https://b2b.kobi.pl/pl/product/9764,tasma-lumos-led-set-3m-4000k-ip20-kobi?currency=PLN")</f>
        <v>https://b2b.kobi.pl/pl/product/9764,tasma-lumos-led-set-3m-4000k-ip20-kobi?currency=PLN</v>
      </c>
      <c r="L40" s="12" t="str">
        <f>HYPERLINK("https://eprel.ec.europa.eu/qr/1572019")</f>
        <v>https://eprel.ec.europa.eu/qr/1572019</v>
      </c>
      <c r="M40" t="s">
        <v>2607</v>
      </c>
      <c r="N40">
        <v>0.15</v>
      </c>
      <c r="O40">
        <v>0.18</v>
      </c>
      <c r="P40">
        <v>0.19800000000000001</v>
      </c>
      <c r="Q40">
        <v>0</v>
      </c>
      <c r="R40">
        <v>0</v>
      </c>
      <c r="S40">
        <v>0</v>
      </c>
    </row>
    <row r="41" spans="2:19" ht="60" customHeight="1" x14ac:dyDescent="0.25">
      <c r="B41" t="s">
        <v>3017</v>
      </c>
      <c r="C41" t="s">
        <v>3018</v>
      </c>
      <c r="D41" s="11">
        <v>19.899999999999999</v>
      </c>
      <c r="E41" t="s">
        <v>1816</v>
      </c>
      <c r="F41" t="s">
        <v>3157</v>
      </c>
      <c r="G41" t="s">
        <v>1813</v>
      </c>
      <c r="H41" s="11">
        <v>20</v>
      </c>
      <c r="I41" s="13">
        <f>H41*(1-IFERROR(VLOOKUP(G41,Rabat!$C$9:$D$43,2,0),0))</f>
        <v>20</v>
      </c>
      <c r="J41" t="s">
        <v>1818</v>
      </c>
      <c r="K41" s="12" t="str">
        <f>HYPERLINK("https://b2b.kobi.pl/pl/product/9763,tasma-lumos-led-set-3m-3000k-ip20-kobi?currency=PLN")</f>
        <v>https://b2b.kobi.pl/pl/product/9763,tasma-lumos-led-set-3m-3000k-ip20-kobi?currency=PLN</v>
      </c>
      <c r="L41" s="12" t="str">
        <f>HYPERLINK("https://eprel.ec.europa.eu/qr/1572012")</f>
        <v>https://eprel.ec.europa.eu/qr/1572012</v>
      </c>
      <c r="M41" t="s">
        <v>2607</v>
      </c>
      <c r="N41">
        <v>0.15</v>
      </c>
      <c r="O41">
        <v>0.18</v>
      </c>
      <c r="P41">
        <v>0.19800000000000001</v>
      </c>
      <c r="Q41">
        <v>0</v>
      </c>
      <c r="R41">
        <v>0</v>
      </c>
      <c r="S41">
        <v>0</v>
      </c>
    </row>
    <row r="42" spans="2:19" ht="60" customHeight="1" x14ac:dyDescent="0.25">
      <c r="B42" t="s">
        <v>3015</v>
      </c>
      <c r="C42" t="s">
        <v>3016</v>
      </c>
      <c r="D42" s="11">
        <v>14</v>
      </c>
      <c r="E42" t="s">
        <v>1815</v>
      </c>
      <c r="F42" t="s">
        <v>3156</v>
      </c>
      <c r="G42" t="s">
        <v>1813</v>
      </c>
      <c r="H42" s="11">
        <v>50</v>
      </c>
      <c r="I42" s="13">
        <f>H42*(1-IFERROR(VLOOKUP(G42,Rabat!$C$9:$D$43,2,0),0))</f>
        <v>50</v>
      </c>
      <c r="J42" t="s">
        <v>1818</v>
      </c>
      <c r="K42" s="12" t="str">
        <f>HYPERLINK("https://b2b.kobi.pl/pl/product/9739,tasma-led-tramo-300-2835-5m-zolta-ip65-kobi?currency=PLN")</f>
        <v>https://b2b.kobi.pl/pl/product/9739,tasma-led-tramo-300-2835-5m-zolta-ip65-kobi?currency=PLN</v>
      </c>
      <c r="L42" t="s">
        <v>14</v>
      </c>
      <c r="M42" t="s">
        <v>2607</v>
      </c>
      <c r="N42">
        <v>0.06</v>
      </c>
      <c r="O42">
        <v>7.0000000000000007E-2</v>
      </c>
      <c r="P42">
        <v>0.154</v>
      </c>
      <c r="Q42">
        <v>16</v>
      </c>
      <c r="R42">
        <v>19</v>
      </c>
      <c r="S42">
        <v>1.5</v>
      </c>
    </row>
    <row r="43" spans="2:19" ht="60" customHeight="1" x14ac:dyDescent="0.25">
      <c r="B43" t="s">
        <v>3013</v>
      </c>
      <c r="C43" t="s">
        <v>3014</v>
      </c>
      <c r="D43" s="11">
        <v>8</v>
      </c>
      <c r="E43" t="s">
        <v>1815</v>
      </c>
      <c r="F43" t="s">
        <v>3155</v>
      </c>
      <c r="G43" t="s">
        <v>1813</v>
      </c>
      <c r="H43" s="11">
        <v>50</v>
      </c>
      <c r="I43" s="13">
        <f>H43*(1-IFERROR(VLOOKUP(G43,Rabat!$C$9:$D$43,2,0),0))</f>
        <v>50</v>
      </c>
      <c r="J43" t="s">
        <v>1818</v>
      </c>
      <c r="K43" s="12" t="str">
        <f>HYPERLINK("https://b2b.kobi.pl/pl/product/9745,tasma-led-tramo-300-2835-5m-zielona-ip20-kobi?currency=PLN")</f>
        <v>https://b2b.kobi.pl/pl/product/9745,tasma-led-tramo-300-2835-5m-zielona-ip20-kobi?currency=PLN</v>
      </c>
      <c r="L43" t="s">
        <v>14</v>
      </c>
      <c r="M43" t="s">
        <v>2607</v>
      </c>
      <c r="N43">
        <v>0.03</v>
      </c>
      <c r="O43">
        <v>3.5999999999999997E-2</v>
      </c>
      <c r="P43">
        <v>0.14399999999999999</v>
      </c>
      <c r="Q43">
        <v>16</v>
      </c>
      <c r="R43">
        <v>19</v>
      </c>
      <c r="S43">
        <v>1.5</v>
      </c>
    </row>
    <row r="44" spans="2:19" ht="60" customHeight="1" x14ac:dyDescent="0.25">
      <c r="B44" t="s">
        <v>978</v>
      </c>
      <c r="C44" t="s">
        <v>979</v>
      </c>
      <c r="D44" s="11">
        <v>59</v>
      </c>
      <c r="E44" t="s">
        <v>1817</v>
      </c>
      <c r="F44" t="s">
        <v>221</v>
      </c>
      <c r="G44" t="s">
        <v>1813</v>
      </c>
      <c r="H44" s="11">
        <v>9</v>
      </c>
      <c r="I44" s="13">
        <f>H44*(1-IFERROR(VLOOKUP(G44,Rabat!$C$9:$D$43,2,0),0))</f>
        <v>9</v>
      </c>
      <c r="J44" t="s">
        <v>1814</v>
      </c>
      <c r="K44" s="12" t="str">
        <f>HYPERLINK("https://b2b.kobi.pl/pl/product/9952,oprawa-linowa-led-koline-k1-20w-4000k-biala-kobi-pro?currency=PLN")</f>
        <v>https://b2b.kobi.pl/pl/product/9952,oprawa-linowa-led-koline-k1-20w-4000k-biala-kobi-pro?currency=PLN</v>
      </c>
      <c r="L44" s="12" t="str">
        <f>HYPERLINK("https://eprel.ec.europa.eu/qr/1774321")</f>
        <v>https://eprel.ec.europa.eu/qr/1774321</v>
      </c>
      <c r="M44" t="s">
        <v>2573</v>
      </c>
      <c r="N44">
        <v>1.31</v>
      </c>
      <c r="O44">
        <v>1.55</v>
      </c>
      <c r="P44">
        <v>1.64</v>
      </c>
      <c r="Q44">
        <v>123</v>
      </c>
      <c r="R44">
        <v>5.5</v>
      </c>
      <c r="S44">
        <v>8</v>
      </c>
    </row>
    <row r="45" spans="2:19" ht="60" customHeight="1" x14ac:dyDescent="0.25">
      <c r="B45" t="s">
        <v>983</v>
      </c>
      <c r="C45" t="s">
        <v>984</v>
      </c>
      <c r="D45" s="11">
        <v>59</v>
      </c>
      <c r="E45" t="s">
        <v>1817</v>
      </c>
      <c r="F45" t="s">
        <v>222</v>
      </c>
      <c r="G45" t="s">
        <v>1813</v>
      </c>
      <c r="H45" s="11">
        <v>9</v>
      </c>
      <c r="I45" s="13">
        <f>H45*(1-IFERROR(VLOOKUP(G45,Rabat!$C$9:$D$43,2,0),0))</f>
        <v>9</v>
      </c>
      <c r="J45" t="s">
        <v>1814</v>
      </c>
      <c r="K45" s="12" t="str">
        <f>HYPERLINK("https://b2b.kobi.pl/pl/product/9955,oprawa-linowa-led-koline-k1-20w-4000k-czarna-kobi-pro?currency=PLN")</f>
        <v>https://b2b.kobi.pl/pl/product/9955,oprawa-linowa-led-koline-k1-20w-4000k-czarna-kobi-pro?currency=PLN</v>
      </c>
      <c r="L45" s="12" t="str">
        <f>HYPERLINK("https://eprel.ec.europa.eu/qr/1774321")</f>
        <v>https://eprel.ec.europa.eu/qr/1774321</v>
      </c>
      <c r="M45" t="s">
        <v>2573</v>
      </c>
      <c r="N45">
        <v>1.31</v>
      </c>
      <c r="O45">
        <v>1.55</v>
      </c>
      <c r="P45">
        <v>1.64</v>
      </c>
      <c r="Q45">
        <v>123</v>
      </c>
      <c r="R45">
        <v>5.5</v>
      </c>
      <c r="S45">
        <v>8</v>
      </c>
    </row>
    <row r="46" spans="2:19" ht="60" customHeight="1" x14ac:dyDescent="0.25">
      <c r="B46" t="s">
        <v>987</v>
      </c>
      <c r="C46" t="s">
        <v>988</v>
      </c>
      <c r="D46" s="11">
        <v>62.99</v>
      </c>
      <c r="E46" t="s">
        <v>1823</v>
      </c>
      <c r="F46" t="s">
        <v>223</v>
      </c>
      <c r="G46" t="s">
        <v>1813</v>
      </c>
      <c r="H46" s="11">
        <v>9</v>
      </c>
      <c r="I46" s="13">
        <f>H46*(1-IFERROR(VLOOKUP(G46,Rabat!$C$9:$D$43,2,0),0))</f>
        <v>9</v>
      </c>
      <c r="J46" t="s">
        <v>1814</v>
      </c>
      <c r="K46" s="12" t="str">
        <f>HYPERLINK("https://b2b.kobi.pl/pl/product/9957,oprawa-linowa-led-koline-k1-40w-4000k-biala-kobi-pro?currency=PLN")</f>
        <v>https://b2b.kobi.pl/pl/product/9957,oprawa-linowa-led-koline-k1-40w-4000k-biala-kobi-pro?currency=PLN</v>
      </c>
      <c r="L46" s="12" t="str">
        <f>HYPERLINK("https://eprel.ec.europa.eu/qr/1774334")</f>
        <v>https://eprel.ec.europa.eu/qr/1774334</v>
      </c>
      <c r="M46" t="s">
        <v>2573</v>
      </c>
      <c r="N46">
        <v>1.31</v>
      </c>
      <c r="O46">
        <v>1.55</v>
      </c>
      <c r="P46">
        <v>1.74</v>
      </c>
      <c r="Q46">
        <v>123</v>
      </c>
      <c r="R46">
        <v>5.5</v>
      </c>
      <c r="S46">
        <v>8</v>
      </c>
    </row>
    <row r="47" spans="2:19" ht="60" customHeight="1" x14ac:dyDescent="0.25">
      <c r="B47" t="s">
        <v>2909</v>
      </c>
      <c r="C47" t="s">
        <v>2910</v>
      </c>
      <c r="D47" s="11">
        <v>28.39</v>
      </c>
      <c r="E47" t="s">
        <v>1816</v>
      </c>
      <c r="F47" t="s">
        <v>3101</v>
      </c>
      <c r="G47" t="s">
        <v>1813</v>
      </c>
      <c r="H47" s="11">
        <v>25</v>
      </c>
      <c r="I47" s="13">
        <f>H47*(1-IFERROR(VLOOKUP(G47,Rabat!$C$9:$D$43,2,0),0))</f>
        <v>25</v>
      </c>
      <c r="J47" t="s">
        <v>1818</v>
      </c>
      <c r="K47" s="12" t="str">
        <f>HYPERLINK("https://b2b.kobi.pl/pl/product/9926,oprawa-liniowa-led-delgado-36w-120cm-3000k-kobi?currency=PLN")</f>
        <v>https://b2b.kobi.pl/pl/product/9926,oprawa-liniowa-led-delgado-36w-120cm-3000k-kobi?currency=PLN</v>
      </c>
      <c r="L47" s="12" t="str">
        <f>HYPERLINK("https://eprel.ec.europa.eu/qr/933877")</f>
        <v>https://eprel.ec.europa.eu/qr/933877</v>
      </c>
      <c r="M47" t="s">
        <v>2571</v>
      </c>
      <c r="N47">
        <v>0.25</v>
      </c>
      <c r="O47">
        <v>0.29599999999999999</v>
      </c>
      <c r="P47">
        <v>0.45400000000000001</v>
      </c>
      <c r="Q47">
        <v>122.5</v>
      </c>
      <c r="R47">
        <v>8.5</v>
      </c>
      <c r="S47">
        <v>3.5</v>
      </c>
    </row>
    <row r="48" spans="2:19" ht="60" customHeight="1" x14ac:dyDescent="0.25">
      <c r="B48" t="s">
        <v>2911</v>
      </c>
      <c r="C48" t="s">
        <v>2912</v>
      </c>
      <c r="D48" s="11">
        <v>38.92</v>
      </c>
      <c r="E48" t="s">
        <v>1816</v>
      </c>
      <c r="F48" t="s">
        <v>3102</v>
      </c>
      <c r="G48" t="s">
        <v>1813</v>
      </c>
      <c r="H48" s="11">
        <v>25</v>
      </c>
      <c r="I48" s="13">
        <f>H48*(1-IFERROR(VLOOKUP(G48,Rabat!$C$9:$D$43,2,0),0))</f>
        <v>25</v>
      </c>
      <c r="J48" t="s">
        <v>1818</v>
      </c>
      <c r="K48" s="12" t="str">
        <f>HYPERLINK("https://b2b.kobi.pl/pl/product/9928,oprawa-liniowa-led-dlegado-45w-150cm-3000k-kobi?currency=PLN")</f>
        <v>https://b2b.kobi.pl/pl/product/9928,oprawa-liniowa-led-dlegado-45w-150cm-3000k-kobi?currency=PLN</v>
      </c>
      <c r="L48" s="12" t="str">
        <f>HYPERLINK("https://eprel.ec.europa.eu/qr/933970")</f>
        <v>https://eprel.ec.europa.eu/qr/933970</v>
      </c>
      <c r="M48" t="s">
        <v>2571</v>
      </c>
      <c r="N48">
        <v>0.26</v>
      </c>
      <c r="O48">
        <v>0.309</v>
      </c>
      <c r="P48">
        <v>0.56000000000000005</v>
      </c>
      <c r="Q48">
        <v>151</v>
      </c>
      <c r="R48">
        <v>10</v>
      </c>
      <c r="S48">
        <v>3</v>
      </c>
    </row>
    <row r="49" spans="2:19" ht="60" customHeight="1" x14ac:dyDescent="0.25">
      <c r="B49" t="s">
        <v>2471</v>
      </c>
      <c r="C49" t="s">
        <v>605</v>
      </c>
      <c r="D49" s="11">
        <v>54.99</v>
      </c>
      <c r="E49" t="s">
        <v>1817</v>
      </c>
      <c r="F49" t="s">
        <v>157</v>
      </c>
      <c r="G49" t="s">
        <v>1813</v>
      </c>
      <c r="H49" s="11">
        <v>8</v>
      </c>
      <c r="I49" s="13">
        <f>H49*(1-IFERROR(VLOOKUP(G49,Rabat!$C$9:$D$43,2,0),0))</f>
        <v>8</v>
      </c>
      <c r="J49" t="s">
        <v>1814</v>
      </c>
      <c r="K49" s="12" t="str">
        <f>HYPERLINK("https://b2b.kobi.pl/pl/product/8392,oprawa-hermetyczna-led-nexforce1-20w-4000k-ip65-kobi-pro?currency=PLN")</f>
        <v>https://b2b.kobi.pl/pl/product/8392,oprawa-hermetyczna-led-nexforce1-20w-4000k-ip65-kobi-pro?currency=PLN</v>
      </c>
      <c r="L49" s="12" t="str">
        <f>HYPERLINK("https://eprel.ec.europa.eu/qr/1864792")</f>
        <v>https://eprel.ec.europa.eu/qr/1864792</v>
      </c>
      <c r="M49" t="s">
        <v>2571</v>
      </c>
      <c r="N49">
        <v>0.66</v>
      </c>
      <c r="O49">
        <v>0.78</v>
      </c>
      <c r="P49">
        <v>0.85</v>
      </c>
      <c r="Q49">
        <v>63</v>
      </c>
      <c r="R49">
        <v>10</v>
      </c>
      <c r="S49">
        <v>7.7</v>
      </c>
    </row>
    <row r="50" spans="2:19" ht="60" customHeight="1" x14ac:dyDescent="0.25">
      <c r="B50" t="s">
        <v>835</v>
      </c>
      <c r="C50" t="s">
        <v>836</v>
      </c>
      <c r="D50" s="11">
        <v>15</v>
      </c>
      <c r="E50" t="s">
        <v>1815</v>
      </c>
      <c r="F50" t="s">
        <v>459</v>
      </c>
      <c r="G50" t="s">
        <v>1813</v>
      </c>
      <c r="H50" s="11">
        <v>20</v>
      </c>
      <c r="I50" s="13">
        <f>H50*(1-IFERROR(VLOOKUP(G50,Rabat!$C$9:$D$43,2,0),0))</f>
        <v>20</v>
      </c>
      <c r="J50" t="s">
        <v>1818</v>
      </c>
      <c r="K50" s="12" t="str">
        <f>HYPERLINK("https://b2b.kobi.pl/pl/product/9797,lampka-na-monitor-led-lume-iq-5w-cct-kobi-design?currency=PLN")</f>
        <v>https://b2b.kobi.pl/pl/product/9797,lampka-na-monitor-led-lume-iq-5w-cct-kobi-design?currency=PLN</v>
      </c>
      <c r="L50" s="12" t="str">
        <f>HYPERLINK("https://eprel.ec.europa.eu/qr/2077068")</f>
        <v>https://eprel.ec.europa.eu/qr/2077068</v>
      </c>
      <c r="M50" t="s">
        <v>2612</v>
      </c>
      <c r="N50">
        <v>0.42</v>
      </c>
      <c r="O50">
        <v>0.5</v>
      </c>
      <c r="P50">
        <v>0.51</v>
      </c>
      <c r="Q50">
        <v>36</v>
      </c>
      <c r="R50">
        <v>98</v>
      </c>
      <c r="S50">
        <v>12</v>
      </c>
    </row>
    <row r="51" spans="2:19" ht="60" customHeight="1" x14ac:dyDescent="0.25">
      <c r="B51" t="s">
        <v>3353</v>
      </c>
      <c r="C51" t="s">
        <v>3354</v>
      </c>
      <c r="D51" s="11">
        <v>15</v>
      </c>
      <c r="E51" t="s">
        <v>1815</v>
      </c>
      <c r="F51" t="s">
        <v>3355</v>
      </c>
      <c r="G51" t="s">
        <v>1813</v>
      </c>
      <c r="H51" s="11">
        <v>20</v>
      </c>
      <c r="I51" s="13">
        <f>H51*(1-IFERROR(VLOOKUP(G51,Rabat!$C$9:$D$43,2,0),0))</f>
        <v>20</v>
      </c>
      <c r="J51" t="s">
        <v>1818</v>
      </c>
      <c r="K51" s="12" t="str">
        <f>HYPERLINK("https://b2b.kobi.pl/pl/product/10937,lampka-na-monitor-led-zenarra-5w-cct-lls?currency=PLN")</f>
        <v>https://b2b.kobi.pl/pl/product/10937,lampka-na-monitor-led-zenarra-5w-cct-lls?currency=PLN</v>
      </c>
      <c r="L51" s="12" t="str">
        <f>HYPERLINK("https://eprel.ec.europa.eu/qr/2077089")</f>
        <v>https://eprel.ec.europa.eu/qr/2077089</v>
      </c>
      <c r="M51" t="s">
        <v>2612</v>
      </c>
      <c r="N51">
        <v>0.42</v>
      </c>
      <c r="O51">
        <v>0.5</v>
      </c>
      <c r="P51">
        <v>0.51</v>
      </c>
      <c r="Q51">
        <v>36</v>
      </c>
      <c r="R51">
        <v>98</v>
      </c>
      <c r="S51">
        <v>12</v>
      </c>
    </row>
    <row r="52" spans="2:19" ht="60" customHeight="1" x14ac:dyDescent="0.25">
      <c r="B52" t="s">
        <v>2753</v>
      </c>
      <c r="C52" t="s">
        <v>2754</v>
      </c>
      <c r="D52" s="11">
        <v>25</v>
      </c>
      <c r="E52" t="s">
        <v>1815</v>
      </c>
      <c r="F52" t="s">
        <v>2772</v>
      </c>
      <c r="G52" t="s">
        <v>1813</v>
      </c>
      <c r="H52" s="11">
        <v>12</v>
      </c>
      <c r="I52" s="13">
        <f>H52*(1-IFERROR(VLOOKUP(G52,Rabat!$C$9:$D$43,2,0),0))</f>
        <v>12</v>
      </c>
      <c r="J52" t="s">
        <v>1818</v>
      </c>
      <c r="K52" s="12" t="str">
        <f>HYPERLINK("https://b2b.kobi.pl/pl/product/10762,lampka-biurkowa-led-orbi-2-5w-cct-czarna-laitica?currency=PLN")</f>
        <v>https://b2b.kobi.pl/pl/product/10762,lampka-biurkowa-led-orbi-2-5w-cct-czarna-laitica?currency=PLN</v>
      </c>
      <c r="L52" t="s">
        <v>14</v>
      </c>
      <c r="M52" t="s">
        <v>2613</v>
      </c>
      <c r="N52">
        <v>0.67</v>
      </c>
      <c r="O52">
        <v>0.79</v>
      </c>
      <c r="P52">
        <v>0.86899999999999999</v>
      </c>
      <c r="Q52">
        <v>0</v>
      </c>
      <c r="R52">
        <v>0</v>
      </c>
      <c r="S52">
        <v>0</v>
      </c>
    </row>
    <row r="53" spans="2:19" ht="60" customHeight="1" x14ac:dyDescent="0.25">
      <c r="B53" t="s">
        <v>2755</v>
      </c>
      <c r="C53" t="s">
        <v>2756</v>
      </c>
      <c r="D53" s="11">
        <v>25</v>
      </c>
      <c r="E53" t="s">
        <v>1815</v>
      </c>
      <c r="F53" t="s">
        <v>2773</v>
      </c>
      <c r="G53" t="s">
        <v>1813</v>
      </c>
      <c r="H53" s="11">
        <v>12</v>
      </c>
      <c r="I53" s="13">
        <f>H53*(1-IFERROR(VLOOKUP(G53,Rabat!$C$9:$D$43,2,0),0))</f>
        <v>12</v>
      </c>
      <c r="J53" t="s">
        <v>1818</v>
      </c>
      <c r="K53" s="12" t="str">
        <f>HYPERLINK("https://b2b.kobi.pl/pl/product/10763,lampka-biurkowa-led-orbi-2-5w-cct-biala-laitica?currency=PLN")</f>
        <v>https://b2b.kobi.pl/pl/product/10763,lampka-biurkowa-led-orbi-2-5w-cct-biala-laitica?currency=PLN</v>
      </c>
      <c r="L53" t="s">
        <v>14</v>
      </c>
      <c r="M53" t="s">
        <v>2613</v>
      </c>
      <c r="N53">
        <v>0.67</v>
      </c>
      <c r="O53">
        <v>0.79</v>
      </c>
      <c r="P53">
        <v>0.86899999999999999</v>
      </c>
      <c r="Q53">
        <v>0</v>
      </c>
      <c r="R53">
        <v>0</v>
      </c>
      <c r="S53">
        <v>0</v>
      </c>
    </row>
    <row r="54" spans="2:19" ht="60" customHeight="1" x14ac:dyDescent="0.25">
      <c r="B54" t="s">
        <v>2757</v>
      </c>
      <c r="C54" t="s">
        <v>2758</v>
      </c>
      <c r="D54" s="11">
        <v>25</v>
      </c>
      <c r="E54" t="s">
        <v>1815</v>
      </c>
      <c r="F54" t="s">
        <v>2774</v>
      </c>
      <c r="G54" t="s">
        <v>1813</v>
      </c>
      <c r="H54" s="11">
        <v>12</v>
      </c>
      <c r="I54" s="13">
        <f>H54*(1-IFERROR(VLOOKUP(G54,Rabat!$C$9:$D$43,2,0),0))</f>
        <v>12</v>
      </c>
      <c r="J54" t="s">
        <v>1818</v>
      </c>
      <c r="K54" s="12" t="str">
        <f>HYPERLINK("https://b2b.kobi.pl/pl/product/10764,lampka-biurkowa-led-orbi-2-5w-cct-szara-laitica?currency=PLN")</f>
        <v>https://b2b.kobi.pl/pl/product/10764,lampka-biurkowa-led-orbi-2-5w-cct-szara-laitica?currency=PLN</v>
      </c>
      <c r="L54" t="s">
        <v>14</v>
      </c>
      <c r="M54" t="s">
        <v>2613</v>
      </c>
      <c r="N54">
        <v>0.67</v>
      </c>
      <c r="O54">
        <v>0.79</v>
      </c>
      <c r="P54">
        <v>0.86899999999999999</v>
      </c>
      <c r="Q54">
        <v>0</v>
      </c>
      <c r="R54">
        <v>0</v>
      </c>
      <c r="S54">
        <v>0</v>
      </c>
    </row>
    <row r="55" spans="2:19" ht="60" customHeight="1" x14ac:dyDescent="0.25">
      <c r="B55" t="s">
        <v>2759</v>
      </c>
      <c r="C55" t="s">
        <v>2760</v>
      </c>
      <c r="D55" s="11">
        <v>25</v>
      </c>
      <c r="E55" t="s">
        <v>1815</v>
      </c>
      <c r="F55" t="s">
        <v>2775</v>
      </c>
      <c r="G55" t="s">
        <v>1813</v>
      </c>
      <c r="H55" s="11">
        <v>12</v>
      </c>
      <c r="I55" s="13">
        <f>H55*(1-IFERROR(VLOOKUP(G55,Rabat!$C$9:$D$43,2,0),0))</f>
        <v>12</v>
      </c>
      <c r="J55" t="s">
        <v>1818</v>
      </c>
      <c r="K55" s="12" t="str">
        <f>HYPERLINK("https://b2b.kobi.pl/pl/product/10765,lampka-biurkowa-led-orbi-2-5w-cct-niebieska-laitica?currency=PLN")</f>
        <v>https://b2b.kobi.pl/pl/product/10765,lampka-biurkowa-led-orbi-2-5w-cct-niebieska-laitica?currency=PLN</v>
      </c>
      <c r="L55" t="s">
        <v>14</v>
      </c>
      <c r="M55" t="s">
        <v>2613</v>
      </c>
      <c r="N55">
        <v>0.67</v>
      </c>
      <c r="O55">
        <v>0.79</v>
      </c>
      <c r="P55">
        <v>0.86899999999999999</v>
      </c>
      <c r="Q55">
        <v>0</v>
      </c>
      <c r="R55">
        <v>0</v>
      </c>
      <c r="S55">
        <v>0</v>
      </c>
    </row>
    <row r="56" spans="2:19" ht="60" customHeight="1" x14ac:dyDescent="0.25">
      <c r="B56" t="s">
        <v>2761</v>
      </c>
      <c r="C56" t="s">
        <v>2762</v>
      </c>
      <c r="D56" s="11">
        <v>25</v>
      </c>
      <c r="E56" t="s">
        <v>1815</v>
      </c>
      <c r="F56" t="s">
        <v>2776</v>
      </c>
      <c r="G56" t="s">
        <v>1813</v>
      </c>
      <c r="H56" s="11">
        <v>12</v>
      </c>
      <c r="I56" s="13">
        <f>H56*(1-IFERROR(VLOOKUP(G56,Rabat!$C$9:$D$43,2,0),0))</f>
        <v>12</v>
      </c>
      <c r="J56" t="s">
        <v>1818</v>
      </c>
      <c r="K56" s="12" t="str">
        <f>HYPERLINK("https://b2b.kobi.pl/pl/product/10766,lampka-biurkowa-led-orbi-2-5w-cct-rozowa-laitica?currency=PLN")</f>
        <v>https://b2b.kobi.pl/pl/product/10766,lampka-biurkowa-led-orbi-2-5w-cct-rozowa-laitica?currency=PLN</v>
      </c>
      <c r="L56" t="s">
        <v>14</v>
      </c>
      <c r="M56" t="s">
        <v>2613</v>
      </c>
      <c r="N56">
        <v>0.67</v>
      </c>
      <c r="O56">
        <v>0.79</v>
      </c>
      <c r="P56">
        <v>0.86899999999999999</v>
      </c>
      <c r="Q56">
        <v>0</v>
      </c>
      <c r="R56">
        <v>0</v>
      </c>
      <c r="S56">
        <v>0</v>
      </c>
    </row>
    <row r="57" spans="2:19" ht="60" customHeight="1" x14ac:dyDescent="0.25">
      <c r="B57" t="s">
        <v>895</v>
      </c>
      <c r="C57" t="s">
        <v>896</v>
      </c>
      <c r="D57" s="11">
        <v>29</v>
      </c>
      <c r="E57" t="s">
        <v>1815</v>
      </c>
      <c r="F57" t="s">
        <v>257</v>
      </c>
      <c r="G57" t="s">
        <v>1813</v>
      </c>
      <c r="H57" s="11">
        <v>12</v>
      </c>
      <c r="I57" s="13">
        <f>H57*(1-IFERROR(VLOOKUP(G57,Rabat!$C$9:$D$43,2,0),0))</f>
        <v>12</v>
      </c>
      <c r="J57" t="s">
        <v>1818</v>
      </c>
      <c r="K57" s="12" t="str">
        <f>HYPERLINK("https://b2b.kobi.pl/pl/product/10302,lampka-biurkowa-led-lizbona-3-5w-ip54-biala-kobi-premium?currency=PLN")</f>
        <v>https://b2b.kobi.pl/pl/product/10302,lampka-biurkowa-led-lizbona-3-5w-ip54-biala-kobi-premium?currency=PLN</v>
      </c>
      <c r="L57" t="s">
        <v>14</v>
      </c>
      <c r="M57" t="s">
        <v>2613</v>
      </c>
      <c r="N57">
        <v>0.67</v>
      </c>
      <c r="O57">
        <v>0.79</v>
      </c>
      <c r="P57">
        <v>0.86899999999999999</v>
      </c>
      <c r="Q57">
        <v>0</v>
      </c>
      <c r="R57">
        <v>0</v>
      </c>
      <c r="S57">
        <v>0</v>
      </c>
    </row>
    <row r="58" spans="2:19" ht="60" customHeight="1" x14ac:dyDescent="0.25">
      <c r="B58" t="s">
        <v>897</v>
      </c>
      <c r="C58" t="s">
        <v>898</v>
      </c>
      <c r="D58" s="11">
        <v>29</v>
      </c>
      <c r="E58" t="s">
        <v>1815</v>
      </c>
      <c r="F58" t="s">
        <v>258</v>
      </c>
      <c r="G58" t="s">
        <v>1813</v>
      </c>
      <c r="H58" s="11">
        <v>12</v>
      </c>
      <c r="I58" s="13">
        <f>H58*(1-IFERROR(VLOOKUP(G58,Rabat!$C$9:$D$43,2,0),0))</f>
        <v>12</v>
      </c>
      <c r="J58" t="s">
        <v>1818</v>
      </c>
      <c r="K58" s="12" t="str">
        <f>HYPERLINK("https://b2b.kobi.pl/pl/product/10303,lampka-biurkowa-led-lizbona-3-5w-ip54-czarna-kobi-premium?currency=PLN")</f>
        <v>https://b2b.kobi.pl/pl/product/10303,lampka-biurkowa-led-lizbona-3-5w-ip54-czarna-kobi-premium?currency=PLN</v>
      </c>
      <c r="L58" t="s">
        <v>14</v>
      </c>
      <c r="M58" t="s">
        <v>2613</v>
      </c>
      <c r="N58">
        <v>0.67</v>
      </c>
      <c r="O58">
        <v>0.79</v>
      </c>
      <c r="P58">
        <v>0.86899999999999999</v>
      </c>
      <c r="Q58">
        <v>0</v>
      </c>
      <c r="R58">
        <v>0</v>
      </c>
      <c r="S58">
        <v>0</v>
      </c>
    </row>
    <row r="59" spans="2:19" ht="60" customHeight="1" x14ac:dyDescent="0.25">
      <c r="B59" t="s">
        <v>3356</v>
      </c>
      <c r="C59" t="s">
        <v>3357</v>
      </c>
      <c r="D59" s="11">
        <v>94.28</v>
      </c>
      <c r="E59" t="s">
        <v>1815</v>
      </c>
      <c r="F59" t="s">
        <v>3358</v>
      </c>
      <c r="G59" t="s">
        <v>1813</v>
      </c>
      <c r="H59" s="11">
        <v>1</v>
      </c>
      <c r="I59" s="13">
        <f>H59*(1-IFERROR(VLOOKUP(G59,Rabat!$C$9:$D$43,2,0),0))</f>
        <v>1</v>
      </c>
      <c r="J59" t="s">
        <v>1818</v>
      </c>
      <c r="K59" s="12" t="str">
        <f>HYPERLINK("https://b2b.kobi.pl/pl/product/10939,lampka-biurkowa-datura-bamboo-st-mini-1xe27-lls?currency=PLN")</f>
        <v>https://b2b.kobi.pl/pl/product/10939,lampka-biurkowa-datura-bamboo-st-mini-1xe27-lls?currency=PLN</v>
      </c>
      <c r="L59" t="s">
        <v>14</v>
      </c>
      <c r="M59" t="s">
        <v>2602</v>
      </c>
      <c r="N59">
        <v>0.45</v>
      </c>
      <c r="O59">
        <v>1.1000000000000001</v>
      </c>
      <c r="P59">
        <v>1.6</v>
      </c>
      <c r="Q59">
        <v>28</v>
      </c>
      <c r="R59">
        <v>28</v>
      </c>
      <c r="S59">
        <v>28</v>
      </c>
    </row>
    <row r="60" spans="2:19" ht="60" customHeight="1" x14ac:dyDescent="0.25">
      <c r="B60" t="s">
        <v>3359</v>
      </c>
      <c r="C60" t="s">
        <v>3360</v>
      </c>
      <c r="D60" s="11">
        <v>81.56</v>
      </c>
      <c r="E60" t="s">
        <v>1815</v>
      </c>
      <c r="F60" t="s">
        <v>3361</v>
      </c>
      <c r="G60" t="s">
        <v>1813</v>
      </c>
      <c r="H60" s="11">
        <v>1</v>
      </c>
      <c r="I60" s="13">
        <f>H60*(1-IFERROR(VLOOKUP(G60,Rabat!$C$9:$D$43,2,0),0))</f>
        <v>1</v>
      </c>
      <c r="J60" t="s">
        <v>1818</v>
      </c>
      <c r="K60" s="12" t="str">
        <f>HYPERLINK("https://b2b.kobi.pl/pl/product/10940,lampka-biurkowa-batila-bamboo-st-1xe27-lls?currency=PLN")</f>
        <v>https://b2b.kobi.pl/pl/product/10940,lampka-biurkowa-batila-bamboo-st-1xe27-lls?currency=PLN</v>
      </c>
      <c r="L60" t="s">
        <v>14</v>
      </c>
      <c r="M60" t="s">
        <v>2602</v>
      </c>
      <c r="N60">
        <v>0.28999999999999998</v>
      </c>
      <c r="O60">
        <v>0.7</v>
      </c>
      <c r="P60">
        <v>1.4</v>
      </c>
      <c r="Q60">
        <v>35</v>
      </c>
      <c r="R60">
        <v>35</v>
      </c>
      <c r="S60">
        <v>31</v>
      </c>
    </row>
    <row r="61" spans="2:19" ht="60" customHeight="1" x14ac:dyDescent="0.25">
      <c r="B61" t="s">
        <v>3362</v>
      </c>
      <c r="C61" t="s">
        <v>3363</v>
      </c>
      <c r="D61" s="11">
        <v>49.87</v>
      </c>
      <c r="E61" t="s">
        <v>1815</v>
      </c>
      <c r="F61" t="s">
        <v>3364</v>
      </c>
      <c r="G61" t="s">
        <v>1813</v>
      </c>
      <c r="H61" s="11">
        <v>1</v>
      </c>
      <c r="I61" s="13">
        <f>H61*(1-IFERROR(VLOOKUP(G61,Rabat!$C$9:$D$43,2,0),0))</f>
        <v>1</v>
      </c>
      <c r="J61" t="s">
        <v>1818</v>
      </c>
      <c r="K61" s="12" t="str">
        <f>HYPERLINK("https://b2b.kobi.pl/pl/product/10909,lampa-wiszaca-olea-bamboo-1xe27-lls?currency=PLN")</f>
        <v>https://b2b.kobi.pl/pl/product/10909,lampa-wiszaca-olea-bamboo-1xe27-lls?currency=PLN</v>
      </c>
      <c r="L61" t="s">
        <v>14</v>
      </c>
      <c r="M61" t="s">
        <v>2602</v>
      </c>
      <c r="N61">
        <v>0.2</v>
      </c>
      <c r="O61">
        <v>0.5</v>
      </c>
      <c r="P61">
        <v>1.3</v>
      </c>
      <c r="Q61">
        <v>46</v>
      </c>
      <c r="R61">
        <v>46</v>
      </c>
      <c r="S61">
        <v>20.5</v>
      </c>
    </row>
    <row r="62" spans="2:19" ht="60" customHeight="1" x14ac:dyDescent="0.25">
      <c r="B62" t="s">
        <v>3365</v>
      </c>
      <c r="C62" t="s">
        <v>3366</v>
      </c>
      <c r="D62" s="11">
        <v>59</v>
      </c>
      <c r="E62" t="s">
        <v>1815</v>
      </c>
      <c r="F62" t="s">
        <v>3367</v>
      </c>
      <c r="G62" t="s">
        <v>1813</v>
      </c>
      <c r="H62" s="11">
        <v>1</v>
      </c>
      <c r="I62" s="13">
        <f>H62*(1-IFERROR(VLOOKUP(G62,Rabat!$C$9:$D$43,2,0),0))</f>
        <v>1</v>
      </c>
      <c r="J62" t="s">
        <v>1818</v>
      </c>
      <c r="K62" s="12" t="str">
        <f>HYPERLINK("https://b2b.kobi.pl/pl/product/10915,lampa-wiszaca-datura-bamboo-1xe27-lls?currency=PLN")</f>
        <v>https://b2b.kobi.pl/pl/product/10915,lampa-wiszaca-datura-bamboo-1xe27-lls?currency=PLN</v>
      </c>
      <c r="L62" t="s">
        <v>14</v>
      </c>
      <c r="M62" t="s">
        <v>2602</v>
      </c>
      <c r="N62">
        <v>0.41</v>
      </c>
      <c r="O62">
        <v>1</v>
      </c>
      <c r="P62">
        <v>1.7</v>
      </c>
      <c r="Q62">
        <v>41</v>
      </c>
      <c r="R62">
        <v>41</v>
      </c>
      <c r="S62">
        <v>25.5</v>
      </c>
    </row>
    <row r="63" spans="2:19" ht="60" customHeight="1" x14ac:dyDescent="0.25">
      <c r="B63" t="s">
        <v>3368</v>
      </c>
      <c r="C63" t="s">
        <v>3369</v>
      </c>
      <c r="D63" s="11">
        <v>60.6</v>
      </c>
      <c r="E63" t="s">
        <v>1815</v>
      </c>
      <c r="F63" t="s">
        <v>3370</v>
      </c>
      <c r="G63" t="s">
        <v>1813</v>
      </c>
      <c r="H63" s="11">
        <v>1</v>
      </c>
      <c r="I63" s="13">
        <f>H63*(1-IFERROR(VLOOKUP(G63,Rabat!$C$9:$D$43,2,0),0))</f>
        <v>1</v>
      </c>
      <c r="J63" t="s">
        <v>1818</v>
      </c>
      <c r="K63" s="12" t="str">
        <f>HYPERLINK("https://b2b.kobi.pl/pl/product/10916,lampa-wiszaca-solix-bamboo-1xe27-lls?currency=PLN")</f>
        <v>https://b2b.kobi.pl/pl/product/10916,lampa-wiszaca-solix-bamboo-1xe27-lls?currency=PLN</v>
      </c>
      <c r="L63" t="s">
        <v>14</v>
      </c>
      <c r="M63" t="s">
        <v>2602</v>
      </c>
      <c r="N63">
        <v>0.36</v>
      </c>
      <c r="O63">
        <v>0.88</v>
      </c>
      <c r="P63">
        <v>1.55</v>
      </c>
      <c r="Q63">
        <v>33</v>
      </c>
      <c r="R63">
        <v>28</v>
      </c>
      <c r="S63">
        <v>29.5</v>
      </c>
    </row>
    <row r="64" spans="2:19" ht="60" customHeight="1" x14ac:dyDescent="0.25">
      <c r="B64" t="s">
        <v>2888</v>
      </c>
      <c r="C64" t="s">
        <v>2889</v>
      </c>
      <c r="D64" s="11">
        <v>7.99</v>
      </c>
      <c r="E64" t="s">
        <v>1816</v>
      </c>
      <c r="F64" t="s">
        <v>3084</v>
      </c>
      <c r="G64" t="s">
        <v>1813</v>
      </c>
      <c r="H64" s="11">
        <v>30</v>
      </c>
      <c r="I64" s="13">
        <f>H64*(1-IFERROR(VLOOKUP(G64,Rabat!$C$9:$D$43,2,0),0))</f>
        <v>30</v>
      </c>
      <c r="J64" t="s">
        <v>1819</v>
      </c>
      <c r="K64" s="12" t="str">
        <f>HYPERLINK("https://b2b.kobi.pl/pl/product/10087,naswietlacz-z-czujnikiem-ruchu-led-mhnc-10w-6500k-ip65-kobi-premium?currency=PLN")</f>
        <v>https://b2b.kobi.pl/pl/product/10087,naswietlacz-z-czujnikiem-ruchu-led-mhnc-10w-6500k-ip65-kobi-premium?currency=PLN</v>
      </c>
      <c r="L64" s="12" t="str">
        <f>HYPERLINK("https://eprel.ec.europa.eu/qr/937758")</f>
        <v>https://eprel.ec.europa.eu/qr/937758</v>
      </c>
      <c r="M64" t="s">
        <v>2573</v>
      </c>
      <c r="N64">
        <v>0.27</v>
      </c>
      <c r="O64">
        <v>0.31900000000000001</v>
      </c>
      <c r="P64">
        <v>0.36299999999999999</v>
      </c>
      <c r="Q64">
        <v>12</v>
      </c>
      <c r="R64">
        <v>15.5</v>
      </c>
      <c r="S64">
        <v>4.5</v>
      </c>
    </row>
    <row r="65" spans="2:19" ht="60" customHeight="1" x14ac:dyDescent="0.25">
      <c r="B65" t="s">
        <v>2886</v>
      </c>
      <c r="C65" t="s">
        <v>2887</v>
      </c>
      <c r="D65" s="11">
        <v>13.99</v>
      </c>
      <c r="E65" t="s">
        <v>1816</v>
      </c>
      <c r="F65" t="s">
        <v>3083</v>
      </c>
      <c r="G65" t="s">
        <v>1813</v>
      </c>
      <c r="H65" s="11">
        <v>40</v>
      </c>
      <c r="I65" s="13">
        <f>H65*(1-IFERROR(VLOOKUP(G65,Rabat!$C$9:$D$43,2,0),0))</f>
        <v>40</v>
      </c>
      <c r="J65" t="s">
        <v>1819</v>
      </c>
      <c r="K65" s="12" t="str">
        <f>HYPERLINK("https://b2b.kobi.pl/pl/product/10077,naswietlacz-led-mhn-20w-6500k-ip65-kobi-premium?currency=PLN")</f>
        <v>https://b2b.kobi.pl/pl/product/10077,naswietlacz-led-mhn-20w-6500k-ip65-kobi-premium?currency=PLN</v>
      </c>
      <c r="L65" s="12" t="str">
        <f>HYPERLINK("https://eprel.ec.europa.eu/qr/780633")</f>
        <v>https://eprel.ec.europa.eu/qr/780633</v>
      </c>
      <c r="M65" t="s">
        <v>2573</v>
      </c>
      <c r="N65">
        <v>0.25</v>
      </c>
      <c r="O65">
        <v>0.29799999999999999</v>
      </c>
      <c r="P65">
        <v>0.34100000000000003</v>
      </c>
      <c r="Q65">
        <v>11.5</v>
      </c>
      <c r="R65">
        <v>12.5</v>
      </c>
      <c r="S65">
        <v>4</v>
      </c>
    </row>
    <row r="66" spans="2:19" ht="60" customHeight="1" x14ac:dyDescent="0.25">
      <c r="B66" t="s">
        <v>2795</v>
      </c>
      <c r="C66" t="s">
        <v>2796</v>
      </c>
      <c r="D66" s="11">
        <v>8.6300000000000008</v>
      </c>
      <c r="E66" t="s">
        <v>1815</v>
      </c>
      <c r="F66" t="s">
        <v>3037</v>
      </c>
      <c r="G66" t="s">
        <v>1813</v>
      </c>
      <c r="H66" s="11">
        <v>40</v>
      </c>
      <c r="I66" s="13">
        <f>H66*(1-IFERROR(VLOOKUP(G66,Rabat!$C$9:$D$43,2,0),0))</f>
        <v>40</v>
      </c>
      <c r="J66" t="s">
        <v>1819</v>
      </c>
      <c r="K66" s="12" t="str">
        <f>HYPERLINK("https://b2b.kobi.pl/pl/product/10194,downlight-led-saturn-12w-4000k-kobi-premium?currency=PLN")</f>
        <v>https://b2b.kobi.pl/pl/product/10194,downlight-led-saturn-12w-4000k-kobi-premium?currency=PLN</v>
      </c>
      <c r="L66" s="12" t="str">
        <f>HYPERLINK("https://eprel.ec.europa.eu/qr/933950")</f>
        <v>https://eprel.ec.europa.eu/qr/933950</v>
      </c>
      <c r="M66" t="s">
        <v>2610</v>
      </c>
      <c r="N66">
        <v>0.12</v>
      </c>
      <c r="O66">
        <v>0.13700000000000001</v>
      </c>
      <c r="P66">
        <v>0.23499999999999999</v>
      </c>
      <c r="Q66">
        <v>18.5</v>
      </c>
      <c r="R66">
        <v>18.5</v>
      </c>
      <c r="S66">
        <v>5</v>
      </c>
    </row>
    <row r="67" spans="2:19" ht="60" customHeight="1" x14ac:dyDescent="0.25">
      <c r="B67" t="s">
        <v>2793</v>
      </c>
      <c r="C67" t="s">
        <v>2794</v>
      </c>
      <c r="D67" s="11">
        <v>5.29</v>
      </c>
      <c r="E67" t="s">
        <v>1815</v>
      </c>
      <c r="F67" t="s">
        <v>3036</v>
      </c>
      <c r="G67" t="s">
        <v>1813</v>
      </c>
      <c r="H67" s="11">
        <v>40</v>
      </c>
      <c r="I67" s="13">
        <f>H67*(1-IFERROR(VLOOKUP(G67,Rabat!$C$9:$D$43,2,0),0))</f>
        <v>40</v>
      </c>
      <c r="J67" t="s">
        <v>1819</v>
      </c>
      <c r="K67" s="12" t="str">
        <f>HYPERLINK("https://b2b.kobi.pl/pl/product/10197,downlight-led-saturn-6w-4000k-kobi-premium?currency=PLN")</f>
        <v>https://b2b.kobi.pl/pl/product/10197,downlight-led-saturn-6w-4000k-kobi-premium?currency=PLN</v>
      </c>
      <c r="L67" s="12" t="str">
        <f>HYPERLINK("https://eprel.ec.europa.eu/qr/933947")</f>
        <v>https://eprel.ec.europa.eu/qr/933947</v>
      </c>
      <c r="M67" t="s">
        <v>2610</v>
      </c>
      <c r="N67">
        <v>7.0000000000000007E-2</v>
      </c>
      <c r="O67">
        <v>8.5000000000000006E-2</v>
      </c>
      <c r="P67">
        <v>0.158</v>
      </c>
      <c r="Q67">
        <v>13.5</v>
      </c>
      <c r="R67">
        <v>13.5</v>
      </c>
      <c r="S67">
        <v>4.5</v>
      </c>
    </row>
    <row r="68" spans="2:19" ht="60" customHeight="1" x14ac:dyDescent="0.25">
      <c r="B68" t="s">
        <v>2945</v>
      </c>
      <c r="C68" t="s">
        <v>2946</v>
      </c>
      <c r="D68" s="11">
        <v>29</v>
      </c>
      <c r="E68" t="s">
        <v>1812</v>
      </c>
      <c r="F68" t="s">
        <v>3119</v>
      </c>
      <c r="G68" t="s">
        <v>1813</v>
      </c>
      <c r="H68" s="11">
        <v>6</v>
      </c>
      <c r="I68" s="13">
        <f>H68*(1-IFERROR(VLOOKUP(G68,Rabat!$C$9:$D$43,2,0),0))</f>
        <v>6</v>
      </c>
      <c r="J68" t="s">
        <v>1814</v>
      </c>
      <c r="K68" s="12" t="str">
        <f>HYPERLINK("https://b2b.kobi.pl/pl/product/9911,panel-led-capri-40w-60x60-3000k-kobi-pro?currency=PLN")</f>
        <v>https://b2b.kobi.pl/pl/product/9911,panel-led-capri-40w-60x60-3000k-kobi-pro?currency=PLN</v>
      </c>
      <c r="L68" s="12" t="str">
        <f>HYPERLINK("https://eprel.ec.europa.eu/qr/1939576")</f>
        <v>https://eprel.ec.europa.eu/qr/1939576</v>
      </c>
      <c r="M68" t="s">
        <v>2573</v>
      </c>
      <c r="N68">
        <v>1.26</v>
      </c>
      <c r="O68">
        <v>1.486</v>
      </c>
      <c r="P68">
        <v>1.849</v>
      </c>
      <c r="Q68">
        <v>60</v>
      </c>
      <c r="R68">
        <v>60</v>
      </c>
      <c r="S68">
        <v>3.5</v>
      </c>
    </row>
    <row r="69" spans="2:19" ht="60" customHeight="1" x14ac:dyDescent="0.25">
      <c r="B69" t="s">
        <v>2933</v>
      </c>
      <c r="C69" t="s">
        <v>2934</v>
      </c>
      <c r="D69" s="11">
        <v>10.65</v>
      </c>
      <c r="E69" t="s">
        <v>1815</v>
      </c>
      <c r="F69" t="s">
        <v>3113</v>
      </c>
      <c r="G69" t="s">
        <v>1813</v>
      </c>
      <c r="H69" s="11">
        <v>12</v>
      </c>
      <c r="I69" s="13">
        <f>H69*(1-IFERROR(VLOOKUP(G69,Rabat!$C$9:$D$43,2,0),0))</f>
        <v>12</v>
      </c>
      <c r="J69" t="s">
        <v>1818</v>
      </c>
      <c r="K69" s="12" t="str">
        <f>HYPERLINK("https://b2b.kobi.pl/pl/product/10461,oprawa-sufitowa-torso-2xgu10-art-of-light?currency=PLN")</f>
        <v>https://b2b.kobi.pl/pl/product/10461,oprawa-sufitowa-torso-2xgu10-art-of-light?currency=PLN</v>
      </c>
      <c r="L69" t="s">
        <v>14</v>
      </c>
      <c r="M69" t="s">
        <v>2602</v>
      </c>
      <c r="N69">
        <v>0.42</v>
      </c>
      <c r="O69">
        <v>1.08</v>
      </c>
      <c r="P69">
        <v>1.264</v>
      </c>
      <c r="Q69">
        <v>16.2</v>
      </c>
      <c r="R69">
        <v>27.1</v>
      </c>
      <c r="S69">
        <v>11.1</v>
      </c>
    </row>
    <row r="70" spans="2:19" ht="60" customHeight="1" x14ac:dyDescent="0.25">
      <c r="B70" t="s">
        <v>2854</v>
      </c>
      <c r="C70" t="s">
        <v>2855</v>
      </c>
      <c r="D70" s="11">
        <v>49.5</v>
      </c>
      <c r="F70" t="s">
        <v>3067</v>
      </c>
      <c r="G70" t="s">
        <v>1813</v>
      </c>
      <c r="H70" s="11"/>
      <c r="I70" s="13">
        <f>H70*(1-IFERROR(VLOOKUP(G70,Rabat!$C$9:$D$43,2,0),0))</f>
        <v>0</v>
      </c>
      <c r="K70" s="12" t="str">
        <f>HYPERLINK("https://b2b.kobi.pl/pl/product/9051,lampa-wiszaca-kora-led-24w?currency=PLN")</f>
        <v>https://b2b.kobi.pl/pl/product/9051,lampa-wiszaca-kora-led-24w?currency=PLN</v>
      </c>
      <c r="L70" t="s">
        <v>14</v>
      </c>
      <c r="M70" t="s">
        <v>2602</v>
      </c>
      <c r="N70">
        <v>0</v>
      </c>
      <c r="O70">
        <v>0</v>
      </c>
      <c r="P70">
        <v>0</v>
      </c>
      <c r="Q70">
        <v>0</v>
      </c>
      <c r="R70">
        <v>6</v>
      </c>
      <c r="S70">
        <v>12</v>
      </c>
    </row>
    <row r="71" spans="2:19" ht="60" customHeight="1" x14ac:dyDescent="0.25">
      <c r="B71" t="s">
        <v>2843</v>
      </c>
      <c r="C71" t="s">
        <v>2844</v>
      </c>
      <c r="D71" s="11">
        <v>166.67</v>
      </c>
      <c r="F71" t="s">
        <v>3061</v>
      </c>
      <c r="G71" t="s">
        <v>1813</v>
      </c>
      <c r="H71" s="11"/>
      <c r="I71" s="13">
        <f>H71*(1-IFERROR(VLOOKUP(G71,Rabat!$C$9:$D$43,2,0),0))</f>
        <v>0</v>
      </c>
      <c r="K71" s="12" t="str">
        <f>HYPERLINK("https://b2b.kobi.pl/pl/product/9053,lampa-wiszaca-delfa-led-40w-4000k?currency=PLN")</f>
        <v>https://b2b.kobi.pl/pl/product/9053,lampa-wiszaca-delfa-led-40w-4000k?currency=PLN</v>
      </c>
      <c r="L71" t="s">
        <v>14</v>
      </c>
      <c r="M71" t="s">
        <v>2602</v>
      </c>
      <c r="N71">
        <v>0</v>
      </c>
      <c r="O71">
        <v>0</v>
      </c>
      <c r="P71">
        <v>0</v>
      </c>
      <c r="Q71">
        <v>0</v>
      </c>
      <c r="R71">
        <v>6</v>
      </c>
      <c r="S71">
        <v>12</v>
      </c>
    </row>
    <row r="72" spans="2:19" ht="60" customHeight="1" x14ac:dyDescent="0.25">
      <c r="B72" t="s">
        <v>2866</v>
      </c>
      <c r="C72" t="s">
        <v>2867</v>
      </c>
      <c r="D72" s="11">
        <v>142.77000000000001</v>
      </c>
      <c r="F72" t="s">
        <v>3073</v>
      </c>
      <c r="G72" t="s">
        <v>1813</v>
      </c>
      <c r="H72" s="11"/>
      <c r="I72" s="13">
        <f>H72*(1-IFERROR(VLOOKUP(G72,Rabat!$C$9:$D$43,2,0),0))</f>
        <v>0</v>
      </c>
      <c r="K72" s="12" t="str">
        <f>HYPERLINK("https://b2b.kobi.pl/pl/product/9054,lampa-wiszaca-nuria-led-35w-4000k?currency=PLN")</f>
        <v>https://b2b.kobi.pl/pl/product/9054,lampa-wiszaca-nuria-led-35w-4000k?currency=PLN</v>
      </c>
      <c r="L72" t="s">
        <v>14</v>
      </c>
      <c r="M72" t="s">
        <v>2602</v>
      </c>
      <c r="N72">
        <v>0</v>
      </c>
      <c r="O72">
        <v>0</v>
      </c>
      <c r="P72">
        <v>0</v>
      </c>
      <c r="Q72">
        <v>0</v>
      </c>
      <c r="R72">
        <v>6</v>
      </c>
      <c r="S72">
        <v>12</v>
      </c>
    </row>
    <row r="73" spans="2:19" ht="60" customHeight="1" x14ac:dyDescent="0.25">
      <c r="B73" t="s">
        <v>2783</v>
      </c>
      <c r="C73" t="s">
        <v>2784</v>
      </c>
      <c r="D73" s="11">
        <v>20.89</v>
      </c>
      <c r="E73" t="s">
        <v>1815</v>
      </c>
      <c r="F73" t="s">
        <v>3031</v>
      </c>
      <c r="G73" t="s">
        <v>1833</v>
      </c>
      <c r="H73" s="11">
        <v>20</v>
      </c>
      <c r="I73" s="13">
        <f>H73*(1-IFERROR(VLOOKUP(G73,Rabat!$C$9:$D$43,2,0),0))</f>
        <v>20</v>
      </c>
      <c r="J73" t="s">
        <v>1818</v>
      </c>
      <c r="K73" s="12" t="str">
        <f>HYPERLINK("https://b2b.kobi.pl/pl/product/9780,klosz-do-zestawu-crete-ls-d1-czarny-5-sztuk-kobi-design?currency=PLN")</f>
        <v>https://b2b.kobi.pl/pl/product/9780,klosz-do-zestawu-crete-ls-d1-czarny-5-sztuk-kobi-design?currency=PLN</v>
      </c>
      <c r="L73" t="s">
        <v>14</v>
      </c>
      <c r="M73" t="s">
        <v>2574</v>
      </c>
      <c r="N73">
        <v>0</v>
      </c>
      <c r="O73">
        <v>0.25</v>
      </c>
      <c r="P73">
        <v>0.4</v>
      </c>
      <c r="Q73">
        <v>0</v>
      </c>
      <c r="R73">
        <v>0</v>
      </c>
      <c r="S73">
        <v>0</v>
      </c>
    </row>
    <row r="74" spans="2:19" ht="60" customHeight="1" x14ac:dyDescent="0.25">
      <c r="B74" t="s">
        <v>2965</v>
      </c>
      <c r="C74" t="s">
        <v>2966</v>
      </c>
      <c r="D74" s="11">
        <v>7.66</v>
      </c>
      <c r="E74" t="s">
        <v>1815</v>
      </c>
      <c r="F74" t="s">
        <v>3130</v>
      </c>
      <c r="G74" t="s">
        <v>1813</v>
      </c>
      <c r="H74" s="11">
        <v>25</v>
      </c>
      <c r="I74" s="13">
        <f>H74*(1-IFERROR(VLOOKUP(G74,Rabat!$C$9:$D$43,2,0),0))</f>
        <v>25</v>
      </c>
      <c r="J74" t="s">
        <v>1818</v>
      </c>
      <c r="K74" s="12" t="str">
        <f>HYPERLINK("https://b2b.kobi.pl/pl/product/10390,pierscien-ozdobny-oh227-przezroczysty-kobi?currency=PLN")</f>
        <v>https://b2b.kobi.pl/pl/product/10390,pierscien-ozdobny-oh227-przezroczysty-kobi?currency=PLN</v>
      </c>
      <c r="L74" t="s">
        <v>14</v>
      </c>
      <c r="M74" t="s">
        <v>2606</v>
      </c>
      <c r="N74">
        <v>0</v>
      </c>
      <c r="O74">
        <v>0.28999999999999998</v>
      </c>
      <c r="P74">
        <v>0.31900000000000001</v>
      </c>
      <c r="Q74">
        <v>0</v>
      </c>
      <c r="R74">
        <v>0</v>
      </c>
      <c r="S74">
        <v>0</v>
      </c>
    </row>
    <row r="75" spans="2:19" ht="60" customHeight="1" x14ac:dyDescent="0.25">
      <c r="B75" t="s">
        <v>4281</v>
      </c>
      <c r="C75" t="s">
        <v>4282</v>
      </c>
      <c r="D75" s="11">
        <v>14</v>
      </c>
      <c r="E75" t="s">
        <v>1815</v>
      </c>
      <c r="F75" t="s">
        <v>4283</v>
      </c>
      <c r="G75" t="s">
        <v>1813</v>
      </c>
      <c r="H75" s="11">
        <v>54</v>
      </c>
      <c r="I75" s="13">
        <f>H75*(1-IFERROR(VLOOKUP(G75,Rabat!$C$9:$D$43,2,0),0))</f>
        <v>54</v>
      </c>
      <c r="J75" t="s">
        <v>1818</v>
      </c>
      <c r="K75" s="12" t="str">
        <f>HYPERLINK("https://b2b.kobi.pl/pl/product/10181,uchwyt-do-led-rio-pro-100w-kobi?currency=PLN")</f>
        <v>https://b2b.kobi.pl/pl/product/10181,uchwyt-do-led-rio-pro-100w-kobi?currency=PLN</v>
      </c>
      <c r="L75" t="s">
        <v>14</v>
      </c>
      <c r="M75" t="s">
        <v>2574</v>
      </c>
      <c r="N75">
        <v>0</v>
      </c>
      <c r="O75">
        <v>0.22</v>
      </c>
      <c r="P75">
        <v>0.24199999999999999</v>
      </c>
      <c r="Q75">
        <v>0</v>
      </c>
      <c r="R75">
        <v>0</v>
      </c>
      <c r="S75">
        <v>0</v>
      </c>
    </row>
    <row r="76" spans="2:19" ht="60" customHeight="1" x14ac:dyDescent="0.25">
      <c r="B76" t="s">
        <v>1423</v>
      </c>
      <c r="C76" t="s">
        <v>1424</v>
      </c>
      <c r="D76" s="11">
        <v>16</v>
      </c>
      <c r="E76" t="s">
        <v>1815</v>
      </c>
      <c r="F76" t="s">
        <v>414</v>
      </c>
      <c r="G76" t="s">
        <v>1813</v>
      </c>
      <c r="H76" s="11">
        <v>54</v>
      </c>
      <c r="I76" s="13">
        <f>H76*(1-IFERROR(VLOOKUP(G76,Rabat!$C$9:$D$43,2,0),0))</f>
        <v>54</v>
      </c>
      <c r="J76" t="s">
        <v>1818</v>
      </c>
      <c r="K76" s="12" t="str">
        <f>HYPERLINK("https://b2b.kobi.pl/pl/product/10182,uchwyt-do-led-rio-pro-150w-kobi?currency=PLN")</f>
        <v>https://b2b.kobi.pl/pl/product/10182,uchwyt-do-led-rio-pro-150w-kobi?currency=PLN</v>
      </c>
      <c r="L76" t="s">
        <v>14</v>
      </c>
      <c r="M76" t="s">
        <v>2574</v>
      </c>
      <c r="N76">
        <v>0</v>
      </c>
      <c r="O76">
        <v>0.24</v>
      </c>
      <c r="P76">
        <v>0.26400000000000001</v>
      </c>
      <c r="Q76">
        <v>0</v>
      </c>
      <c r="R76">
        <v>0</v>
      </c>
      <c r="S76">
        <v>0</v>
      </c>
    </row>
    <row r="77" spans="2:19" ht="60" customHeight="1" x14ac:dyDescent="0.25">
      <c r="B77" t="s">
        <v>1425</v>
      </c>
      <c r="C77" t="s">
        <v>1426</v>
      </c>
      <c r="D77" s="11">
        <v>19</v>
      </c>
      <c r="E77" t="s">
        <v>1815</v>
      </c>
      <c r="F77" t="s">
        <v>415</v>
      </c>
      <c r="G77" t="s">
        <v>1813</v>
      </c>
      <c r="H77" s="11">
        <v>36</v>
      </c>
      <c r="I77" s="13">
        <f>H77*(1-IFERROR(VLOOKUP(G77,Rabat!$C$9:$D$43,2,0),0))</f>
        <v>36</v>
      </c>
      <c r="J77" t="s">
        <v>1818</v>
      </c>
      <c r="K77" s="12" t="str">
        <f>HYPERLINK("https://b2b.kobi.pl/pl/product/10183,uchwyt-do-led-rio-pro-200w-kobi?currency=PLN")</f>
        <v>https://b2b.kobi.pl/pl/product/10183,uchwyt-do-led-rio-pro-200w-kobi?currency=PLN</v>
      </c>
      <c r="L77" t="s">
        <v>14</v>
      </c>
      <c r="M77" t="s">
        <v>2574</v>
      </c>
      <c r="N77">
        <v>0</v>
      </c>
      <c r="O77">
        <v>0.25</v>
      </c>
      <c r="P77">
        <v>0.27500000000000002</v>
      </c>
      <c r="Q77">
        <v>0</v>
      </c>
      <c r="R77">
        <v>0</v>
      </c>
      <c r="S77">
        <v>0</v>
      </c>
    </row>
    <row r="78" spans="2:19" ht="60" customHeight="1" x14ac:dyDescent="0.25">
      <c r="B78" t="s">
        <v>2807</v>
      </c>
      <c r="C78" t="s">
        <v>2808</v>
      </c>
      <c r="D78" s="11">
        <v>7.96</v>
      </c>
      <c r="E78" t="s">
        <v>1815</v>
      </c>
      <c r="F78" t="s">
        <v>3043</v>
      </c>
      <c r="G78" t="s">
        <v>1813</v>
      </c>
      <c r="H78" s="11">
        <v>80</v>
      </c>
      <c r="I78" s="13">
        <f>H78*(1-IFERROR(VLOOKUP(G78,Rabat!$C$9:$D$43,2,0),0))</f>
        <v>80</v>
      </c>
      <c r="J78" t="s">
        <v>1818</v>
      </c>
      <c r="K78" s="12" t="str">
        <f>HYPERLINK("https://b2b.kobi.pl/pl/product/10354,downlight-aqua-g5-3-gu10-ip44-matowy-chrom-jvs?currency=PLN")</f>
        <v>https://b2b.kobi.pl/pl/product/10354,downlight-aqua-g5-3-gu10-ip44-matowy-chrom-jvs?currency=PLN</v>
      </c>
      <c r="L78" t="s">
        <v>14</v>
      </c>
      <c r="M78" t="s">
        <v>2602</v>
      </c>
      <c r="N78">
        <v>0</v>
      </c>
      <c r="O78">
        <v>0.04</v>
      </c>
      <c r="P78">
        <v>4.3999999999999997E-2</v>
      </c>
      <c r="Q78">
        <v>0</v>
      </c>
      <c r="R78">
        <v>0</v>
      </c>
      <c r="S78">
        <v>0</v>
      </c>
    </row>
    <row r="79" spans="2:19" ht="60" customHeight="1" x14ac:dyDescent="0.25">
      <c r="B79" t="s">
        <v>2811</v>
      </c>
      <c r="C79" t="s">
        <v>2812</v>
      </c>
      <c r="D79" s="11">
        <v>5.22</v>
      </c>
      <c r="E79" t="s">
        <v>1815</v>
      </c>
      <c r="F79" t="s">
        <v>3045</v>
      </c>
      <c r="G79" t="s">
        <v>1813</v>
      </c>
      <c r="H79" s="11">
        <v>100</v>
      </c>
      <c r="I79" s="13">
        <f>H79*(1-IFERROR(VLOOKUP(G79,Rabat!$C$9:$D$43,2,0),0))</f>
        <v>100</v>
      </c>
      <c r="J79" t="s">
        <v>1818</v>
      </c>
      <c r="K79" s="12" t="str">
        <f>HYPERLINK("https://b2b.kobi.pl/pl/product/10355,downlight-aqua-slim-g5-3-gu10-ip44-chrom-jvs?currency=PLN")</f>
        <v>https://b2b.kobi.pl/pl/product/10355,downlight-aqua-slim-g5-3-gu10-ip44-chrom-jvs?currency=PLN</v>
      </c>
      <c r="L79" t="s">
        <v>14</v>
      </c>
      <c r="M79" t="s">
        <v>2602</v>
      </c>
      <c r="N79">
        <v>0</v>
      </c>
      <c r="O79">
        <v>0.04</v>
      </c>
      <c r="P79">
        <v>4.3999999999999997E-2</v>
      </c>
      <c r="Q79">
        <v>0</v>
      </c>
      <c r="R79">
        <v>0</v>
      </c>
      <c r="S79">
        <v>0</v>
      </c>
    </row>
    <row r="80" spans="2:19" ht="60" customHeight="1" x14ac:dyDescent="0.25">
      <c r="B80" t="s">
        <v>2967</v>
      </c>
      <c r="C80" t="s">
        <v>2968</v>
      </c>
      <c r="D80" s="11">
        <v>2.61</v>
      </c>
      <c r="E80" t="s">
        <v>1815</v>
      </c>
      <c r="F80" t="s">
        <v>3131</v>
      </c>
      <c r="G80" t="s">
        <v>1813</v>
      </c>
      <c r="H80" s="11">
        <v>100</v>
      </c>
      <c r="I80" s="13">
        <f>H80*(1-IFERROR(VLOOKUP(G80,Rabat!$C$9:$D$43,2,0),0))</f>
        <v>100</v>
      </c>
      <c r="J80" t="s">
        <v>1818</v>
      </c>
      <c r="K80" s="12" t="str">
        <f>HYPERLINK("https://b2b.kobi.pl/pl/product/10458,pierscien-ozdobny-star-mini-quadrat-chrom-jvs?currency=PLN")</f>
        <v>https://b2b.kobi.pl/pl/product/10458,pierscien-ozdobny-star-mini-quadrat-chrom-jvs?currency=PLN</v>
      </c>
      <c r="L80" t="s">
        <v>14</v>
      </c>
      <c r="M80" t="s">
        <v>2602</v>
      </c>
      <c r="N80">
        <v>0</v>
      </c>
      <c r="O80">
        <v>0.08</v>
      </c>
      <c r="P80">
        <v>8.7999999999999995E-2</v>
      </c>
      <c r="Q80">
        <v>0</v>
      </c>
      <c r="R80">
        <v>0</v>
      </c>
      <c r="S80">
        <v>0</v>
      </c>
    </row>
    <row r="81" spans="2:19" ht="60" customHeight="1" x14ac:dyDescent="0.25">
      <c r="B81" t="s">
        <v>2947</v>
      </c>
      <c r="C81" t="s">
        <v>2948</v>
      </c>
      <c r="D81" s="11">
        <v>483.17</v>
      </c>
      <c r="E81" t="s">
        <v>1815</v>
      </c>
      <c r="F81" t="s">
        <v>3121</v>
      </c>
      <c r="G81" t="s">
        <v>1813</v>
      </c>
      <c r="H81" s="11"/>
      <c r="I81" s="13">
        <f>H81*(1-IFERROR(VLOOKUP(G81,Rabat!$C$9:$D$43,2,0),0))</f>
        <v>0</v>
      </c>
      <c r="J81" t="s">
        <v>1818</v>
      </c>
      <c r="K81" s="12" t="str">
        <f>HYPERLINK("https://b2b.kobi.pl/pl/product/10842,panel-solarny-la-300-laitica?currency=PLN")</f>
        <v>https://b2b.kobi.pl/pl/product/10842,panel-solarny-la-300-laitica?currency=PLN</v>
      </c>
      <c r="L81" t="s">
        <v>14</v>
      </c>
      <c r="M81" t="s">
        <v>3120</v>
      </c>
      <c r="N81">
        <v>2.6</v>
      </c>
      <c r="O81">
        <v>6.35</v>
      </c>
      <c r="P81">
        <v>6.9850000000000003</v>
      </c>
      <c r="Q81">
        <v>0</v>
      </c>
      <c r="R81">
        <v>0</v>
      </c>
      <c r="S81">
        <v>0</v>
      </c>
    </row>
    <row r="82" spans="2:19" ht="60" customHeight="1" x14ac:dyDescent="0.25">
      <c r="B82" t="s">
        <v>4284</v>
      </c>
      <c r="C82" t="s">
        <v>2897</v>
      </c>
      <c r="D82" s="11">
        <v>10.65</v>
      </c>
      <c r="E82" t="s">
        <v>1815</v>
      </c>
      <c r="F82" t="s">
        <v>3092</v>
      </c>
      <c r="G82" t="s">
        <v>1813</v>
      </c>
      <c r="H82" s="11">
        <v>20</v>
      </c>
      <c r="I82" s="13">
        <f>H82*(1-IFERROR(VLOOKUP(G82,Rabat!$C$9:$D$43,2,0),0))</f>
        <v>20</v>
      </c>
      <c r="J82" t="s">
        <v>1818</v>
      </c>
      <c r="K82" s="12" t="str">
        <f>HYPERLINK("https://b2b.kobi.pl/pl/product/10369,oprawa-do-nabudowania-mango-square-biala-kobi?currency=PLN")</f>
        <v>https://b2b.kobi.pl/pl/product/10369,oprawa-do-nabudowania-mango-square-biala-kobi?currency=PLN</v>
      </c>
      <c r="L82" t="s">
        <v>14</v>
      </c>
      <c r="M82" t="s">
        <v>2602</v>
      </c>
      <c r="N82">
        <v>0.16</v>
      </c>
      <c r="O82">
        <v>0.41</v>
      </c>
      <c r="P82">
        <v>0.45100000000000001</v>
      </c>
      <c r="Q82">
        <v>0</v>
      </c>
      <c r="R82">
        <v>0</v>
      </c>
      <c r="S82">
        <v>0</v>
      </c>
    </row>
    <row r="83" spans="2:19" ht="60" customHeight="1" x14ac:dyDescent="0.25">
      <c r="B83" t="s">
        <v>3007</v>
      </c>
      <c r="C83" t="s">
        <v>3008</v>
      </c>
      <c r="D83" s="11">
        <v>11.86</v>
      </c>
      <c r="E83" t="s">
        <v>1815</v>
      </c>
      <c r="F83" t="s">
        <v>3152</v>
      </c>
      <c r="G83" t="s">
        <v>1813</v>
      </c>
      <c r="H83" s="11">
        <v>12</v>
      </c>
      <c r="I83" s="13">
        <f>H83*(1-IFERROR(VLOOKUP(G83,Rabat!$C$9:$D$43,2,0),0))</f>
        <v>12</v>
      </c>
      <c r="J83" t="s">
        <v>1818</v>
      </c>
      <c r="K83" s="12" t="str">
        <f>HYPERLINK("https://b2b.kobi.pl/pl/product/10486,spot-arles-1xgu10-bialy-kobi?currency=PLN")</f>
        <v>https://b2b.kobi.pl/pl/product/10486,spot-arles-1xgu10-bialy-kobi?currency=PLN</v>
      </c>
      <c r="L83" t="s">
        <v>14</v>
      </c>
      <c r="M83" t="s">
        <v>2602</v>
      </c>
      <c r="N83">
        <v>0.13</v>
      </c>
      <c r="O83">
        <v>0.33</v>
      </c>
      <c r="P83">
        <v>0.36299999999999999</v>
      </c>
      <c r="Q83">
        <v>0</v>
      </c>
      <c r="R83">
        <v>0</v>
      </c>
      <c r="S83">
        <v>0</v>
      </c>
    </row>
    <row r="84" spans="2:19" ht="60" customHeight="1" x14ac:dyDescent="0.25">
      <c r="B84" t="s">
        <v>3009</v>
      </c>
      <c r="C84" t="s">
        <v>3010</v>
      </c>
      <c r="D84" s="11">
        <v>23.87</v>
      </c>
      <c r="E84" t="s">
        <v>1815</v>
      </c>
      <c r="F84" t="s">
        <v>3153</v>
      </c>
      <c r="G84" t="s">
        <v>1813</v>
      </c>
      <c r="H84" s="11">
        <v>8</v>
      </c>
      <c r="I84" s="13">
        <f>H84*(1-IFERROR(VLOOKUP(G84,Rabat!$C$9:$D$43,2,0),0))</f>
        <v>8</v>
      </c>
      <c r="J84" t="s">
        <v>1818</v>
      </c>
      <c r="K84" s="12" t="str">
        <f>HYPERLINK("https://b2b.kobi.pl/pl/product/10487,spot-arles-2xgu10-bialy-kobi?currency=PLN")</f>
        <v>https://b2b.kobi.pl/pl/product/10487,spot-arles-2xgu10-bialy-kobi?currency=PLN</v>
      </c>
      <c r="L84" t="s">
        <v>14</v>
      </c>
      <c r="M84" t="s">
        <v>2602</v>
      </c>
      <c r="N84">
        <v>0.26</v>
      </c>
      <c r="O84">
        <v>0.66</v>
      </c>
      <c r="P84">
        <v>0.72599999999999998</v>
      </c>
      <c r="Q84">
        <v>0</v>
      </c>
      <c r="R84">
        <v>0</v>
      </c>
      <c r="S84">
        <v>0</v>
      </c>
    </row>
    <row r="85" spans="2:19" ht="60" customHeight="1" x14ac:dyDescent="0.25">
      <c r="B85" t="s">
        <v>2850</v>
      </c>
      <c r="C85" t="s">
        <v>2851</v>
      </c>
      <c r="D85" s="11">
        <v>25</v>
      </c>
      <c r="F85" t="s">
        <v>3065</v>
      </c>
      <c r="G85" t="s">
        <v>1813</v>
      </c>
      <c r="H85" s="11"/>
      <c r="I85" s="13">
        <f>H85*(1-IFERROR(VLOOKUP(G85,Rabat!$C$9:$D$43,2,0),0))</f>
        <v>0</v>
      </c>
      <c r="K85" s="12" t="str">
        <f>HYPERLINK("https://b2b.kobi.pl/pl/product/9076,lampa-wiszaca-fredo-kolo-3-czarna?currency=PLN")</f>
        <v>https://b2b.kobi.pl/pl/product/9076,lampa-wiszaca-fredo-kolo-3-czarna?currency=PLN</v>
      </c>
      <c r="L85" t="s">
        <v>14</v>
      </c>
      <c r="M85" t="s">
        <v>2602</v>
      </c>
      <c r="N85">
        <v>0</v>
      </c>
      <c r="O85">
        <v>0</v>
      </c>
      <c r="P85">
        <v>0</v>
      </c>
      <c r="Q85">
        <v>0</v>
      </c>
      <c r="R85">
        <v>0</v>
      </c>
      <c r="S85">
        <v>0</v>
      </c>
    </row>
    <row r="86" spans="2:19" ht="60" customHeight="1" x14ac:dyDescent="0.25">
      <c r="B86" t="s">
        <v>2925</v>
      </c>
      <c r="C86" t="s">
        <v>2926</v>
      </c>
      <c r="D86" s="11">
        <v>28.08</v>
      </c>
      <c r="E86" t="s">
        <v>1815</v>
      </c>
      <c r="F86" t="s">
        <v>3109</v>
      </c>
      <c r="G86" t="s">
        <v>1813</v>
      </c>
      <c r="H86" s="11"/>
      <c r="I86" s="13">
        <f>H86*(1-IFERROR(VLOOKUP(G86,Rabat!$C$9:$D$43,2,0),0))</f>
        <v>0</v>
      </c>
      <c r="K86" s="12" t="str">
        <f>HYPERLINK("https://b2b.kobi.pl/pl/product/9215,oprawa-przysufitowa-3pl-pixi-1423?currency=PLN")</f>
        <v>https://b2b.kobi.pl/pl/product/9215,oprawa-przysufitowa-3pl-pixi-1423?currency=PLN</v>
      </c>
      <c r="L86" t="s">
        <v>14</v>
      </c>
      <c r="M86" t="s">
        <v>2602</v>
      </c>
      <c r="N86">
        <v>0</v>
      </c>
      <c r="O86">
        <v>0</v>
      </c>
      <c r="P86">
        <v>0</v>
      </c>
      <c r="Q86">
        <v>0</v>
      </c>
      <c r="R86">
        <v>0</v>
      </c>
      <c r="S86">
        <v>0</v>
      </c>
    </row>
    <row r="87" spans="2:19" ht="60" customHeight="1" x14ac:dyDescent="0.25">
      <c r="B87" t="s">
        <v>2876</v>
      </c>
      <c r="C87" t="s">
        <v>2877</v>
      </c>
      <c r="D87" s="11">
        <v>12</v>
      </c>
      <c r="E87" t="s">
        <v>1815</v>
      </c>
      <c r="F87" t="s">
        <v>3078</v>
      </c>
      <c r="G87" t="s">
        <v>1813</v>
      </c>
      <c r="H87" s="11"/>
      <c r="I87" s="13">
        <f>H87*(1-IFERROR(VLOOKUP(G87,Rabat!$C$9:$D$43,2,0),0))</f>
        <v>0</v>
      </c>
      <c r="K87" s="12" t="str">
        <f>HYPERLINK("https://b2b.kobi.pl/pl/product/9226,lampa-wiszaca-ronda-360-srebrna?currency=PLN")</f>
        <v>https://b2b.kobi.pl/pl/product/9226,lampa-wiszaca-ronda-360-srebrna?currency=PLN</v>
      </c>
      <c r="L87" t="s">
        <v>14</v>
      </c>
      <c r="M87" t="s">
        <v>2602</v>
      </c>
      <c r="N87">
        <v>0</v>
      </c>
      <c r="O87">
        <v>0.31</v>
      </c>
      <c r="P87">
        <v>0.34100000000000003</v>
      </c>
      <c r="Q87">
        <v>0</v>
      </c>
      <c r="R87">
        <v>0</v>
      </c>
      <c r="S87">
        <v>0</v>
      </c>
    </row>
    <row r="88" spans="2:19" ht="60" customHeight="1" x14ac:dyDescent="0.25">
      <c r="B88" t="s">
        <v>2833</v>
      </c>
      <c r="C88" t="s">
        <v>2834</v>
      </c>
      <c r="D88" s="11">
        <v>13.43</v>
      </c>
      <c r="E88" t="s">
        <v>1815</v>
      </c>
      <c r="F88" t="s">
        <v>3056</v>
      </c>
      <c r="G88" t="s">
        <v>1813</v>
      </c>
      <c r="H88" s="11">
        <v>3</v>
      </c>
      <c r="I88" s="13">
        <f>H88*(1-IFERROR(VLOOKUP(G88,Rabat!$C$9:$D$43,2,0),0))</f>
        <v>3</v>
      </c>
      <c r="J88" t="s">
        <v>1818</v>
      </c>
      <c r="K88" s="12" t="str">
        <f>HYPERLINK("https://b2b.kobi.pl/pl/product/10345,kinkiet-bianco-1xgu10-art-of-light?currency=PLN")</f>
        <v>https://b2b.kobi.pl/pl/product/10345,kinkiet-bianco-1xgu10-art-of-light?currency=PLN</v>
      </c>
      <c r="L88" t="s">
        <v>14</v>
      </c>
      <c r="M88" t="s">
        <v>2602</v>
      </c>
      <c r="N88">
        <v>1.47</v>
      </c>
      <c r="O88">
        <v>3.77</v>
      </c>
      <c r="P88">
        <v>4.1500000000000004</v>
      </c>
      <c r="Q88">
        <v>0</v>
      </c>
      <c r="R88">
        <v>0</v>
      </c>
      <c r="S88">
        <v>0</v>
      </c>
    </row>
    <row r="89" spans="2:19" ht="60" customHeight="1" x14ac:dyDescent="0.25">
      <c r="B89" t="s">
        <v>4285</v>
      </c>
      <c r="C89" t="s">
        <v>2892</v>
      </c>
      <c r="D89" s="11">
        <v>8.11</v>
      </c>
      <c r="E89" t="s">
        <v>1815</v>
      </c>
      <c r="F89" t="s">
        <v>3087</v>
      </c>
      <c r="G89" t="s">
        <v>1813</v>
      </c>
      <c r="H89" s="11">
        <v>12</v>
      </c>
      <c r="I89" s="13">
        <f>H89*(1-IFERROR(VLOOKUP(G89,Rabat!$C$9:$D$43,2,0),0))</f>
        <v>12</v>
      </c>
      <c r="J89" t="s">
        <v>1818</v>
      </c>
      <c r="K89" s="12" t="str">
        <f>HYPERLINK("https://b2b.kobi.pl/pl/product/10513,oprawa-do-nabudowania-gemma-1xgu10-art-of-light?currency=PLN")</f>
        <v>https://b2b.kobi.pl/pl/product/10513,oprawa-do-nabudowania-gemma-1xgu10-art-of-light?currency=PLN</v>
      </c>
      <c r="L89" t="s">
        <v>14</v>
      </c>
      <c r="M89" t="s">
        <v>2602</v>
      </c>
      <c r="N89">
        <v>0.26</v>
      </c>
      <c r="O89">
        <v>0.66</v>
      </c>
      <c r="P89">
        <v>0.72599999999999998</v>
      </c>
      <c r="Q89">
        <v>0</v>
      </c>
      <c r="R89">
        <v>0</v>
      </c>
      <c r="S89">
        <v>0</v>
      </c>
    </row>
    <row r="90" spans="2:19" ht="60" customHeight="1" x14ac:dyDescent="0.25">
      <c r="B90" t="s">
        <v>2935</v>
      </c>
      <c r="C90" t="s">
        <v>2936</v>
      </c>
      <c r="D90" s="11">
        <v>11.62</v>
      </c>
      <c r="E90" t="s">
        <v>1815</v>
      </c>
      <c r="F90" t="s">
        <v>3114</v>
      </c>
      <c r="G90" t="s">
        <v>1813</v>
      </c>
      <c r="H90" s="11">
        <v>12</v>
      </c>
      <c r="I90" s="13">
        <f>H90*(1-IFERROR(VLOOKUP(G90,Rabat!$C$9:$D$43,2,0),0))</f>
        <v>12</v>
      </c>
      <c r="J90" t="s">
        <v>1818</v>
      </c>
      <c r="K90" s="12" t="str">
        <f>HYPERLINK("https://b2b.kobi.pl/pl/product/10516,oprawa-sufitowa-venice-b-1l-1xgu10-czarna-jvs?currency=PLN")</f>
        <v>https://b2b.kobi.pl/pl/product/10516,oprawa-sufitowa-venice-b-1l-1xgu10-czarna-jvs?currency=PLN</v>
      </c>
      <c r="L90" t="s">
        <v>14</v>
      </c>
      <c r="M90" t="s">
        <v>2602</v>
      </c>
      <c r="N90">
        <v>0</v>
      </c>
      <c r="O90">
        <v>0.33</v>
      </c>
      <c r="P90">
        <v>0.36299999999999999</v>
      </c>
      <c r="Q90">
        <v>0</v>
      </c>
      <c r="R90">
        <v>0</v>
      </c>
      <c r="S90">
        <v>0</v>
      </c>
    </row>
    <row r="91" spans="2:19" ht="60" customHeight="1" x14ac:dyDescent="0.25">
      <c r="B91" t="s">
        <v>2937</v>
      </c>
      <c r="C91" t="s">
        <v>2938</v>
      </c>
      <c r="D91" s="11">
        <v>11.86</v>
      </c>
      <c r="E91" t="s">
        <v>1815</v>
      </c>
      <c r="F91" t="s">
        <v>3115</v>
      </c>
      <c r="G91" t="s">
        <v>1813</v>
      </c>
      <c r="H91" s="11">
        <v>12</v>
      </c>
      <c r="I91" s="13">
        <f>H91*(1-IFERROR(VLOOKUP(G91,Rabat!$C$9:$D$43,2,0),0))</f>
        <v>12</v>
      </c>
      <c r="J91" t="s">
        <v>1818</v>
      </c>
      <c r="K91" s="12" t="str">
        <f>HYPERLINK("https://b2b.kobi.pl/pl/product/10518,oprawa-sufitowa-venice-w-1l-1xgu10-biala-jvs?currency=PLN")</f>
        <v>https://b2b.kobi.pl/pl/product/10518,oprawa-sufitowa-venice-w-1l-1xgu10-biala-jvs?currency=PLN</v>
      </c>
      <c r="L91" t="s">
        <v>14</v>
      </c>
      <c r="M91" t="s">
        <v>2602</v>
      </c>
      <c r="N91">
        <v>0</v>
      </c>
      <c r="O91">
        <v>0.33</v>
      </c>
      <c r="P91">
        <v>0.36299999999999999</v>
      </c>
      <c r="Q91">
        <v>0</v>
      </c>
      <c r="R91">
        <v>0</v>
      </c>
      <c r="S91">
        <v>0</v>
      </c>
    </row>
    <row r="92" spans="2:19" ht="60" customHeight="1" x14ac:dyDescent="0.25">
      <c r="B92" t="s">
        <v>2939</v>
      </c>
      <c r="C92" t="s">
        <v>2940</v>
      </c>
      <c r="D92" s="11">
        <v>23.87</v>
      </c>
      <c r="E92" t="s">
        <v>1815</v>
      </c>
      <c r="F92" t="s">
        <v>3116</v>
      </c>
      <c r="G92" t="s">
        <v>1813</v>
      </c>
      <c r="H92" s="11">
        <v>8</v>
      </c>
      <c r="I92" s="13">
        <f>H92*(1-IFERROR(VLOOKUP(G92,Rabat!$C$9:$D$43,2,0),0))</f>
        <v>8</v>
      </c>
      <c r="J92" t="s">
        <v>1818</v>
      </c>
      <c r="K92" s="12" t="str">
        <f>HYPERLINK("https://b2b.kobi.pl/pl/product/10519,oprawa-sufitowa-venice-w-2l-2xgu10-biala-jvs?currency=PLN")</f>
        <v>https://b2b.kobi.pl/pl/product/10519,oprawa-sufitowa-venice-w-2l-2xgu10-biala-jvs?currency=PLN</v>
      </c>
      <c r="L92" t="s">
        <v>14</v>
      </c>
      <c r="M92" t="s">
        <v>2602</v>
      </c>
      <c r="N92">
        <v>0</v>
      </c>
      <c r="O92">
        <v>0.66</v>
      </c>
      <c r="P92">
        <v>0.72599999999999998</v>
      </c>
      <c r="Q92">
        <v>0</v>
      </c>
      <c r="R92">
        <v>0</v>
      </c>
      <c r="S92">
        <v>0</v>
      </c>
    </row>
    <row r="93" spans="2:19" ht="60" customHeight="1" x14ac:dyDescent="0.25">
      <c r="B93" t="s">
        <v>4286</v>
      </c>
      <c r="C93" t="s">
        <v>2898</v>
      </c>
      <c r="D93" s="11">
        <v>12.17</v>
      </c>
      <c r="E93" t="s">
        <v>1815</v>
      </c>
      <c r="F93" t="s">
        <v>3093</v>
      </c>
      <c r="G93" t="s">
        <v>1813</v>
      </c>
      <c r="H93" s="11">
        <v>8</v>
      </c>
      <c r="I93" s="13">
        <f>H93*(1-IFERROR(VLOOKUP(G93,Rabat!$C$9:$D$43,2,0),0))</f>
        <v>8</v>
      </c>
      <c r="J93" t="s">
        <v>1818</v>
      </c>
      <c r="K93" s="12" t="str">
        <f>HYPERLINK("https://b2b.kobi.pl/pl/product/10525,oprawa-do-nabudowania-naos-1xgu10-art-of-light?currency=PLN")</f>
        <v>https://b2b.kobi.pl/pl/product/10525,oprawa-do-nabudowania-naos-1xgu10-art-of-light?currency=PLN</v>
      </c>
      <c r="L93" t="s">
        <v>14</v>
      </c>
      <c r="M93" t="s">
        <v>2602</v>
      </c>
      <c r="N93">
        <v>0.4</v>
      </c>
      <c r="O93">
        <v>1.02</v>
      </c>
      <c r="P93">
        <v>1.1220000000000001</v>
      </c>
      <c r="Q93">
        <v>0</v>
      </c>
      <c r="R93">
        <v>0</v>
      </c>
      <c r="S93">
        <v>0</v>
      </c>
    </row>
    <row r="94" spans="2:19" ht="60" customHeight="1" x14ac:dyDescent="0.25">
      <c r="B94" t="s">
        <v>2839</v>
      </c>
      <c r="C94" t="s">
        <v>2840</v>
      </c>
      <c r="D94" s="11">
        <v>15.53</v>
      </c>
      <c r="E94" t="s">
        <v>1815</v>
      </c>
      <c r="F94" t="s">
        <v>3059</v>
      </c>
      <c r="G94" t="s">
        <v>1813</v>
      </c>
      <c r="H94" s="11">
        <v>12</v>
      </c>
      <c r="I94" s="13">
        <f>H94*(1-IFERROR(VLOOKUP(G94,Rabat!$C$9:$D$43,2,0),0))</f>
        <v>12</v>
      </c>
      <c r="J94" t="s">
        <v>1818</v>
      </c>
      <c r="K94" s="12" t="str">
        <f>HYPERLINK("https://b2b.kobi.pl/pl/product/10541,kinkiet-secco-1xe14-art-of-light?currency=PLN")</f>
        <v>https://b2b.kobi.pl/pl/product/10541,kinkiet-secco-1xe14-art-of-light?currency=PLN</v>
      </c>
      <c r="L94" t="s">
        <v>14</v>
      </c>
      <c r="M94" t="s">
        <v>2602</v>
      </c>
      <c r="N94">
        <v>0.62</v>
      </c>
      <c r="O94">
        <v>1.6</v>
      </c>
      <c r="P94">
        <v>1.76</v>
      </c>
      <c r="Q94">
        <v>0</v>
      </c>
      <c r="R94">
        <v>0</v>
      </c>
      <c r="S94">
        <v>0</v>
      </c>
    </row>
    <row r="95" spans="2:19" ht="60" customHeight="1" x14ac:dyDescent="0.25">
      <c r="B95" t="s">
        <v>4287</v>
      </c>
      <c r="C95" t="s">
        <v>2902</v>
      </c>
      <c r="D95" s="11">
        <v>10.46</v>
      </c>
      <c r="E95" t="s">
        <v>1815</v>
      </c>
      <c r="F95" t="s">
        <v>3097</v>
      </c>
      <c r="G95" t="s">
        <v>1813</v>
      </c>
      <c r="H95" s="11">
        <v>18</v>
      </c>
      <c r="I95" s="13">
        <f>H95*(1-IFERROR(VLOOKUP(G95,Rabat!$C$9:$D$43,2,0),0))</f>
        <v>18</v>
      </c>
      <c r="J95" t="s">
        <v>1818</v>
      </c>
      <c r="K95" s="12" t="str">
        <f>HYPERLINK("https://b2b.kobi.pl/pl/product/10543,oprawa-do-nabudowania-stoa-1xgu10-art-of-light?currency=PLN")</f>
        <v>https://b2b.kobi.pl/pl/product/10543,oprawa-do-nabudowania-stoa-1xgu10-art-of-light?currency=PLN</v>
      </c>
      <c r="L95" t="s">
        <v>14</v>
      </c>
      <c r="M95" t="s">
        <v>2602</v>
      </c>
      <c r="N95">
        <v>0.26</v>
      </c>
      <c r="O95">
        <v>0.66</v>
      </c>
      <c r="P95">
        <v>0.72599999999999998</v>
      </c>
      <c r="Q95">
        <v>0</v>
      </c>
      <c r="R95">
        <v>0</v>
      </c>
      <c r="S95">
        <v>0</v>
      </c>
    </row>
    <row r="96" spans="2:19" ht="60" customHeight="1" x14ac:dyDescent="0.25">
      <c r="B96" t="s">
        <v>2953</v>
      </c>
      <c r="C96" t="s">
        <v>2954</v>
      </c>
      <c r="D96" s="11">
        <v>15.05</v>
      </c>
      <c r="E96" t="s">
        <v>1815</v>
      </c>
      <c r="F96" t="s">
        <v>3124</v>
      </c>
      <c r="G96" t="s">
        <v>1813</v>
      </c>
      <c r="H96" s="11">
        <v>50</v>
      </c>
      <c r="I96" s="13">
        <f>H96*(1-IFERROR(VLOOKUP(G96,Rabat!$C$9:$D$43,2,0),0))</f>
        <v>50</v>
      </c>
      <c r="J96" t="s">
        <v>1818</v>
      </c>
      <c r="K96" s="12" t="str">
        <f>HYPERLINK("https://b2b.kobi.pl/pl/product/10357,pierscien-ozdobny-betonpoint-q-s-chrom-jvs?currency=PLN")</f>
        <v>https://b2b.kobi.pl/pl/product/10357,pierscien-ozdobny-betonpoint-q-s-chrom-jvs?currency=PLN</v>
      </c>
      <c r="L96" t="s">
        <v>14</v>
      </c>
      <c r="M96" t="s">
        <v>2574</v>
      </c>
      <c r="N96">
        <v>0</v>
      </c>
      <c r="O96">
        <v>0.14000000000000001</v>
      </c>
      <c r="P96">
        <v>0.154</v>
      </c>
      <c r="Q96">
        <v>0</v>
      </c>
      <c r="R96">
        <v>0</v>
      </c>
      <c r="S96">
        <v>0</v>
      </c>
    </row>
    <row r="97" spans="2:19" ht="60" customHeight="1" x14ac:dyDescent="0.25">
      <c r="B97" t="s">
        <v>2955</v>
      </c>
      <c r="C97" t="s">
        <v>2956</v>
      </c>
      <c r="D97" s="11">
        <v>12.37</v>
      </c>
      <c r="E97" t="s">
        <v>1815</v>
      </c>
      <c r="F97" t="s">
        <v>3125</v>
      </c>
      <c r="G97" t="s">
        <v>1813</v>
      </c>
      <c r="H97" s="11">
        <v>50</v>
      </c>
      <c r="I97" s="13">
        <f>H97*(1-IFERROR(VLOOKUP(G97,Rabat!$C$9:$D$43,2,0),0))</f>
        <v>50</v>
      </c>
      <c r="J97" t="s">
        <v>1818</v>
      </c>
      <c r="K97" s="12" t="str">
        <f>HYPERLINK("https://b2b.kobi.pl/pl/product/10358,pierscien-ozdobny-betonpoint-r-b-schwarz-jvs?currency=PLN")</f>
        <v>https://b2b.kobi.pl/pl/product/10358,pierscien-ozdobny-betonpoint-r-b-schwarz-jvs?currency=PLN</v>
      </c>
      <c r="L97" t="s">
        <v>14</v>
      </c>
      <c r="M97" t="s">
        <v>2574</v>
      </c>
      <c r="N97">
        <v>0</v>
      </c>
      <c r="O97">
        <v>0.12</v>
      </c>
      <c r="P97">
        <v>0.13200000000000001</v>
      </c>
      <c r="Q97">
        <v>0</v>
      </c>
      <c r="R97">
        <v>0</v>
      </c>
      <c r="S97">
        <v>0</v>
      </c>
    </row>
    <row r="98" spans="2:19" ht="60" customHeight="1" x14ac:dyDescent="0.25">
      <c r="B98" t="s">
        <v>2959</v>
      </c>
      <c r="C98" t="s">
        <v>2960</v>
      </c>
      <c r="D98" s="11">
        <v>0.99</v>
      </c>
      <c r="E98" t="s">
        <v>1815</v>
      </c>
      <c r="F98" t="s">
        <v>3127</v>
      </c>
      <c r="G98" t="s">
        <v>1813</v>
      </c>
      <c r="H98" s="11">
        <v>50</v>
      </c>
      <c r="I98" s="13">
        <f>H98*(1-IFERROR(VLOOKUP(G98,Rabat!$C$9:$D$43,2,0),0))</f>
        <v>50</v>
      </c>
      <c r="J98" t="s">
        <v>1818</v>
      </c>
      <c r="K98" s="12" t="str">
        <f>HYPERLINK("https://b2b.kobi.pl/pl/product/10416,pierscien-ozdobny-oh30-mat-chrom-kobi?currency=PLN")</f>
        <v>https://b2b.kobi.pl/pl/product/10416,pierscien-ozdobny-oh30-mat-chrom-kobi?currency=PLN</v>
      </c>
      <c r="L98" t="s">
        <v>14</v>
      </c>
      <c r="M98" t="s">
        <v>2574</v>
      </c>
      <c r="N98">
        <v>0</v>
      </c>
      <c r="O98">
        <v>0.1</v>
      </c>
      <c r="P98">
        <v>0.11</v>
      </c>
      <c r="Q98">
        <v>0</v>
      </c>
      <c r="R98">
        <v>0</v>
      </c>
      <c r="S98">
        <v>0</v>
      </c>
    </row>
    <row r="99" spans="2:19" ht="60" customHeight="1" x14ac:dyDescent="0.25">
      <c r="B99" t="s">
        <v>4288</v>
      </c>
      <c r="C99" t="s">
        <v>2895</v>
      </c>
      <c r="D99" s="11">
        <v>12.17</v>
      </c>
      <c r="E99" t="s">
        <v>1815</v>
      </c>
      <c r="F99" t="s">
        <v>3090</v>
      </c>
      <c r="G99" t="s">
        <v>1813</v>
      </c>
      <c r="H99" s="11">
        <v>8</v>
      </c>
      <c r="I99" s="13">
        <f>H99*(1-IFERROR(VLOOKUP(G99,Rabat!$C$9:$D$43,2,0),0))</f>
        <v>8</v>
      </c>
      <c r="J99" t="s">
        <v>1818</v>
      </c>
      <c r="K99" s="12" t="str">
        <f>HYPERLINK("https://b2b.kobi.pl/pl/product/10521,oprawa-do-nabudowania-lindo-chrome-1xgu10-biala-art-of-light?currency=PLN")</f>
        <v>https://b2b.kobi.pl/pl/product/10521,oprawa-do-nabudowania-lindo-chrome-1xgu10-biala-art-of-light?currency=PLN</v>
      </c>
      <c r="L99" t="s">
        <v>14</v>
      </c>
      <c r="M99" t="s">
        <v>2605</v>
      </c>
      <c r="N99">
        <v>0.5</v>
      </c>
      <c r="O99">
        <v>1.29</v>
      </c>
      <c r="P99">
        <v>1.419</v>
      </c>
      <c r="Q99">
        <v>0</v>
      </c>
      <c r="R99">
        <v>0</v>
      </c>
      <c r="S99">
        <v>0</v>
      </c>
    </row>
    <row r="100" spans="2:19" ht="60" customHeight="1" x14ac:dyDescent="0.25">
      <c r="B100" t="s">
        <v>4289</v>
      </c>
      <c r="C100" t="s">
        <v>2894</v>
      </c>
      <c r="D100" s="11">
        <v>12.17</v>
      </c>
      <c r="E100" t="s">
        <v>1815</v>
      </c>
      <c r="F100" t="s">
        <v>3089</v>
      </c>
      <c r="G100" t="s">
        <v>1813</v>
      </c>
      <c r="H100" s="11">
        <v>8</v>
      </c>
      <c r="I100" s="13">
        <f>H100*(1-IFERROR(VLOOKUP(G100,Rabat!$C$9:$D$43,2,0),0))</f>
        <v>8</v>
      </c>
      <c r="J100" t="s">
        <v>1818</v>
      </c>
      <c r="K100" s="12" t="str">
        <f>HYPERLINK("https://b2b.kobi.pl/pl/product/10524,oprawa-do-nabudowania-lindo-1xgu10-biala-art-of-light?currency=PLN")</f>
        <v>https://b2b.kobi.pl/pl/product/10524,oprawa-do-nabudowania-lindo-1xgu10-biala-art-of-light?currency=PLN</v>
      </c>
      <c r="L100" t="s">
        <v>14</v>
      </c>
      <c r="M100" t="s">
        <v>2605</v>
      </c>
      <c r="N100">
        <v>0.5</v>
      </c>
      <c r="O100">
        <v>1.29</v>
      </c>
      <c r="P100">
        <v>1.419</v>
      </c>
      <c r="Q100">
        <v>0</v>
      </c>
      <c r="R100">
        <v>0</v>
      </c>
      <c r="S100">
        <v>0</v>
      </c>
    </row>
    <row r="101" spans="2:19" ht="60" customHeight="1" x14ac:dyDescent="0.25">
      <c r="B101" t="s">
        <v>4290</v>
      </c>
      <c r="C101" t="s">
        <v>2900</v>
      </c>
      <c r="D101" s="11">
        <v>12.18</v>
      </c>
      <c r="E101" t="s">
        <v>1815</v>
      </c>
      <c r="F101" t="s">
        <v>3095</v>
      </c>
      <c r="G101" t="s">
        <v>1813</v>
      </c>
      <c r="H101" s="11">
        <v>8</v>
      </c>
      <c r="I101" s="13">
        <f>H101*(1-IFERROR(VLOOKUP(G101,Rabat!$C$9:$D$43,2,0),0))</f>
        <v>8</v>
      </c>
      <c r="J101" t="s">
        <v>1818</v>
      </c>
      <c r="K101" s="12" t="str">
        <f>HYPERLINK("https://b2b.kobi.pl/pl/product/10532,oprawa-do-nabudowania-puro-chrome-2xgu10-biala-art-of-light?currency=PLN")</f>
        <v>https://b2b.kobi.pl/pl/product/10532,oprawa-do-nabudowania-puro-chrome-2xgu10-biala-art-of-light?currency=PLN</v>
      </c>
      <c r="L101" t="s">
        <v>14</v>
      </c>
      <c r="M101" t="s">
        <v>2605</v>
      </c>
      <c r="N101">
        <v>0.89</v>
      </c>
      <c r="O101">
        <v>2.29</v>
      </c>
      <c r="P101">
        <v>2.5190000000000001</v>
      </c>
      <c r="Q101">
        <v>0</v>
      </c>
      <c r="R101">
        <v>0</v>
      </c>
      <c r="S101">
        <v>0</v>
      </c>
    </row>
    <row r="102" spans="2:19" ht="60" customHeight="1" x14ac:dyDescent="0.25">
      <c r="B102" t="s">
        <v>4291</v>
      </c>
      <c r="C102" t="s">
        <v>2901</v>
      </c>
      <c r="D102" s="11">
        <v>30.22</v>
      </c>
      <c r="E102" t="s">
        <v>1815</v>
      </c>
      <c r="F102" t="s">
        <v>3096</v>
      </c>
      <c r="G102" t="s">
        <v>1813</v>
      </c>
      <c r="H102" s="11">
        <v>8</v>
      </c>
      <c r="I102" s="13">
        <f>H102*(1-IFERROR(VLOOKUP(G102,Rabat!$C$9:$D$43,2,0),0))</f>
        <v>8</v>
      </c>
      <c r="J102" t="s">
        <v>1818</v>
      </c>
      <c r="K102" s="12" t="str">
        <f>HYPERLINK("https://b2b.kobi.pl/pl/product/10533,oprawa-do-nabudowania-puro-masso-c-2xgu10-szara-art-of-light?currency=PLN")</f>
        <v>https://b2b.kobi.pl/pl/product/10533,oprawa-do-nabudowania-puro-masso-c-2xgu10-szara-art-of-light?currency=PLN</v>
      </c>
      <c r="L102" t="s">
        <v>14</v>
      </c>
      <c r="M102" t="s">
        <v>2605</v>
      </c>
      <c r="N102">
        <v>0.98</v>
      </c>
      <c r="O102">
        <v>2.5</v>
      </c>
      <c r="P102">
        <v>2.75</v>
      </c>
      <c r="Q102">
        <v>0</v>
      </c>
      <c r="R102">
        <v>0</v>
      </c>
      <c r="S102">
        <v>0</v>
      </c>
    </row>
    <row r="103" spans="2:19" ht="60" customHeight="1" x14ac:dyDescent="0.25">
      <c r="B103" t="s">
        <v>4292</v>
      </c>
      <c r="C103" t="s">
        <v>2899</v>
      </c>
      <c r="D103" s="11">
        <v>21.4</v>
      </c>
      <c r="E103" t="s">
        <v>1815</v>
      </c>
      <c r="F103" t="s">
        <v>3094</v>
      </c>
      <c r="G103" t="s">
        <v>1813</v>
      </c>
      <c r="H103" s="11">
        <v>8</v>
      </c>
      <c r="I103" s="13">
        <f>H103*(1-IFERROR(VLOOKUP(G103,Rabat!$C$9:$D$43,2,0),0))</f>
        <v>8</v>
      </c>
      <c r="J103" t="s">
        <v>1818</v>
      </c>
      <c r="K103" s="12" t="str">
        <f>HYPERLINK("https://b2b.kobi.pl/pl/product/10536,oprawa-do-nabudowania-puro-2xgu10-biala-art-of-light?currency=PLN")</f>
        <v>https://b2b.kobi.pl/pl/product/10536,oprawa-do-nabudowania-puro-2xgu10-biala-art-of-light?currency=PLN</v>
      </c>
      <c r="L103" t="s">
        <v>14</v>
      </c>
      <c r="M103" t="s">
        <v>2605</v>
      </c>
      <c r="N103">
        <v>0.89</v>
      </c>
      <c r="O103">
        <v>2.29</v>
      </c>
      <c r="P103">
        <v>2.5190000000000001</v>
      </c>
      <c r="Q103">
        <v>0</v>
      </c>
      <c r="R103">
        <v>0</v>
      </c>
      <c r="S103">
        <v>0</v>
      </c>
    </row>
    <row r="104" spans="2:19" ht="60" customHeight="1" x14ac:dyDescent="0.25">
      <c r="B104" t="s">
        <v>3005</v>
      </c>
      <c r="C104" t="s">
        <v>3006</v>
      </c>
      <c r="D104" s="11">
        <v>49</v>
      </c>
      <c r="F104" t="s">
        <v>3151</v>
      </c>
      <c r="G104" t="s">
        <v>1813</v>
      </c>
      <c r="H104" s="11">
        <v>20</v>
      </c>
      <c r="I104" s="13">
        <f>H104*(1-IFERROR(VLOOKUP(G104,Rabat!$C$9:$D$43,2,0),0))</f>
        <v>20</v>
      </c>
      <c r="K104" s="12" t="str">
        <f>HYPERLINK("https://b2b.kobi.pl/pl/product/8362,reflektor-szynowy-led-nextrack-nt4-mini-20w-3000k-60-bialy-kobi-pro?currency=PLN")</f>
        <v>https://b2b.kobi.pl/pl/product/8362,reflektor-szynowy-led-nextrack-nt4-mini-20w-3000k-60-bialy-kobi-pro?currency=PLN</v>
      </c>
      <c r="L104" t="s">
        <v>14</v>
      </c>
      <c r="M104" t="s">
        <v>2610</v>
      </c>
      <c r="N104">
        <v>0.69</v>
      </c>
      <c r="O104">
        <v>0.82</v>
      </c>
      <c r="P104">
        <v>0.90200000000000002</v>
      </c>
      <c r="Q104">
        <v>0</v>
      </c>
      <c r="R104">
        <v>0</v>
      </c>
      <c r="S104">
        <v>0</v>
      </c>
    </row>
    <row r="105" spans="2:19" ht="60" customHeight="1" x14ac:dyDescent="0.25">
      <c r="B105" t="s">
        <v>2998</v>
      </c>
      <c r="C105" t="s">
        <v>2999</v>
      </c>
      <c r="D105" s="11">
        <v>49</v>
      </c>
      <c r="E105" t="s">
        <v>1816</v>
      </c>
      <c r="F105" t="s">
        <v>3147</v>
      </c>
      <c r="G105" t="s">
        <v>1813</v>
      </c>
      <c r="H105" s="11">
        <v>20</v>
      </c>
      <c r="I105" s="13">
        <f>H105*(1-IFERROR(VLOOKUP(G105,Rabat!$C$9:$D$43,2,0),0))</f>
        <v>20</v>
      </c>
      <c r="K105" s="12" t="str">
        <f>HYPERLINK("https://b2b.kobi.pl/pl/product/8439,reflektor-szynowy-led-nextrack-nt4-mini-20w-4000k-36-bialy-kobi-pro?currency=PLN")</f>
        <v>https://b2b.kobi.pl/pl/product/8439,reflektor-szynowy-led-nextrack-nt4-mini-20w-4000k-36-bialy-kobi-pro?currency=PLN</v>
      </c>
      <c r="L105" t="s">
        <v>14</v>
      </c>
      <c r="M105" t="s">
        <v>2610</v>
      </c>
      <c r="N105">
        <v>0.69</v>
      </c>
      <c r="O105">
        <v>0.82</v>
      </c>
      <c r="P105">
        <v>0.90200000000000002</v>
      </c>
      <c r="Q105">
        <v>0</v>
      </c>
      <c r="R105">
        <v>0</v>
      </c>
      <c r="S105">
        <v>0</v>
      </c>
    </row>
    <row r="106" spans="2:19" ht="60" customHeight="1" x14ac:dyDescent="0.25">
      <c r="B106" t="s">
        <v>2996</v>
      </c>
      <c r="C106" t="s">
        <v>2997</v>
      </c>
      <c r="D106" s="11">
        <v>45</v>
      </c>
      <c r="F106" t="s">
        <v>3146</v>
      </c>
      <c r="G106" t="s">
        <v>1813</v>
      </c>
      <c r="H106" s="11">
        <v>20</v>
      </c>
      <c r="I106" s="13">
        <f>H106*(1-IFERROR(VLOOKUP(G106,Rabat!$C$9:$D$43,2,0),0))</f>
        <v>20</v>
      </c>
      <c r="K106" s="12" t="str">
        <f>HYPERLINK("https://b2b.kobi.pl/pl/product/8442,reflektor-szynowy-led-nextrack-nt4-mini-10w-4000k-60-bialy-kobi-pro?currency=PLN")</f>
        <v>https://b2b.kobi.pl/pl/product/8442,reflektor-szynowy-led-nextrack-nt4-mini-10w-4000k-60-bialy-kobi-pro?currency=PLN</v>
      </c>
      <c r="L106" t="s">
        <v>14</v>
      </c>
      <c r="M106" t="s">
        <v>2610</v>
      </c>
      <c r="N106">
        <v>0.53</v>
      </c>
      <c r="O106">
        <v>0.63</v>
      </c>
      <c r="P106">
        <v>0.69299999999999995</v>
      </c>
      <c r="Q106">
        <v>0</v>
      </c>
      <c r="R106">
        <v>0</v>
      </c>
      <c r="S106">
        <v>0</v>
      </c>
    </row>
    <row r="107" spans="2:19" ht="60" customHeight="1" x14ac:dyDescent="0.25">
      <c r="B107" t="s">
        <v>4293</v>
      </c>
      <c r="C107" t="s">
        <v>2896</v>
      </c>
      <c r="D107" s="11">
        <v>12.17</v>
      </c>
      <c r="E107" t="s">
        <v>1815</v>
      </c>
      <c r="F107" t="s">
        <v>3091</v>
      </c>
      <c r="G107" t="s">
        <v>1813</v>
      </c>
      <c r="H107" s="11">
        <v>8</v>
      </c>
      <c r="I107" s="13">
        <f>H107*(1-IFERROR(VLOOKUP(G107,Rabat!$C$9:$D$43,2,0),0))</f>
        <v>8</v>
      </c>
      <c r="J107" t="s">
        <v>1818</v>
      </c>
      <c r="K107" s="12" t="str">
        <f>HYPERLINK("https://b2b.kobi.pl/pl/product/10522,oprawa-do-nabudowania-lindo-masso-c-1xgu10-szara-art-of-light?currency=PLN")</f>
        <v>https://b2b.kobi.pl/pl/product/10522,oprawa-do-nabudowania-lindo-masso-c-1xgu10-szara-art-of-light?currency=PLN</v>
      </c>
      <c r="L107" t="s">
        <v>14</v>
      </c>
      <c r="M107" t="s">
        <v>2605</v>
      </c>
      <c r="N107">
        <v>0.59</v>
      </c>
      <c r="O107">
        <v>1.52</v>
      </c>
      <c r="P107">
        <v>1.6719999999999999</v>
      </c>
      <c r="Q107">
        <v>0</v>
      </c>
      <c r="R107">
        <v>0</v>
      </c>
      <c r="S107">
        <v>0</v>
      </c>
    </row>
    <row r="108" spans="2:19" ht="60" customHeight="1" x14ac:dyDescent="0.25">
      <c r="B108" t="s">
        <v>2931</v>
      </c>
      <c r="C108" t="s">
        <v>2932</v>
      </c>
      <c r="D108" s="11">
        <v>18.29</v>
      </c>
      <c r="E108" t="s">
        <v>1815</v>
      </c>
      <c r="F108" t="s">
        <v>3112</v>
      </c>
      <c r="G108" t="s">
        <v>1813</v>
      </c>
      <c r="H108" s="11">
        <v>10</v>
      </c>
      <c r="I108" s="13">
        <f>H108*(1-IFERROR(VLOOKUP(G108,Rabat!$C$9:$D$43,2,0),0))</f>
        <v>10</v>
      </c>
      <c r="J108" t="s">
        <v>1818</v>
      </c>
      <c r="K108" s="12" t="str">
        <f>HYPERLINK("https://b2b.kobi.pl/pl/product/10446,oprawa-sufitowa-oh44-kobi?currency=PLN")</f>
        <v>https://b2b.kobi.pl/pl/product/10446,oprawa-sufitowa-oh44-kobi?currency=PLN</v>
      </c>
      <c r="L108" t="s">
        <v>14</v>
      </c>
      <c r="M108" t="s">
        <v>2602</v>
      </c>
      <c r="N108">
        <v>0.48</v>
      </c>
      <c r="O108">
        <v>1.24</v>
      </c>
      <c r="P108">
        <v>1.3640000000000001</v>
      </c>
      <c r="Q108">
        <v>0</v>
      </c>
      <c r="R108">
        <v>0</v>
      </c>
      <c r="S108">
        <v>0</v>
      </c>
    </row>
    <row r="109" spans="2:19" ht="60" customHeight="1" x14ac:dyDescent="0.25">
      <c r="B109" t="s">
        <v>2963</v>
      </c>
      <c r="C109" t="s">
        <v>2964</v>
      </c>
      <c r="D109" s="11">
        <v>2.1</v>
      </c>
      <c r="E109" t="s">
        <v>1815</v>
      </c>
      <c r="F109" t="s">
        <v>3129</v>
      </c>
      <c r="G109" t="s">
        <v>1813</v>
      </c>
      <c r="H109" s="11">
        <v>50</v>
      </c>
      <c r="I109" s="13">
        <f>H109*(1-IFERROR(VLOOKUP(G109,Rabat!$C$9:$D$43,2,0),0))</f>
        <v>50</v>
      </c>
      <c r="J109" t="s">
        <v>1818</v>
      </c>
      <c r="K109" s="12" t="str">
        <f>HYPERLINK("https://b2b.kobi.pl/pl/product/10447,pierscien-ozdobny-oh47-bialy-kobi?currency=PLN")</f>
        <v>https://b2b.kobi.pl/pl/product/10447,pierscien-ozdobny-oh47-bialy-kobi?currency=PLN</v>
      </c>
      <c r="L109" t="s">
        <v>14</v>
      </c>
      <c r="M109" t="s">
        <v>2602</v>
      </c>
      <c r="N109">
        <v>0.04</v>
      </c>
      <c r="O109">
        <v>0.1</v>
      </c>
      <c r="P109">
        <v>0.11</v>
      </c>
      <c r="Q109">
        <v>0</v>
      </c>
      <c r="R109">
        <v>0</v>
      </c>
      <c r="S109">
        <v>0</v>
      </c>
    </row>
    <row r="110" spans="2:19" ht="60" customHeight="1" x14ac:dyDescent="0.25">
      <c r="B110" t="s">
        <v>4294</v>
      </c>
      <c r="C110" t="s">
        <v>2891</v>
      </c>
      <c r="D110" s="11">
        <v>12.17</v>
      </c>
      <c r="E110" t="s">
        <v>1815</v>
      </c>
      <c r="F110" t="s">
        <v>3086</v>
      </c>
      <c r="G110" t="s">
        <v>1813</v>
      </c>
      <c r="H110" s="11">
        <v>12</v>
      </c>
      <c r="I110" s="13">
        <f>H110*(1-IFERROR(VLOOKUP(G110,Rabat!$C$9:$D$43,2,0),0))</f>
        <v>12</v>
      </c>
      <c r="J110" t="s">
        <v>1818</v>
      </c>
      <c r="K110" s="12" t="str">
        <f>HYPERLINK("https://b2b.kobi.pl/pl/product/10506,oprawa-do-nabudowania-cello-1xgu10-art-of-light?currency=PLN")</f>
        <v>https://b2b.kobi.pl/pl/product/10506,oprawa-do-nabudowania-cello-1xgu10-art-of-light?currency=PLN</v>
      </c>
      <c r="L110" t="s">
        <v>14</v>
      </c>
      <c r="M110" t="s">
        <v>2602</v>
      </c>
      <c r="N110">
        <v>0.36</v>
      </c>
      <c r="O110">
        <v>0.92</v>
      </c>
      <c r="P110">
        <v>1.012</v>
      </c>
      <c r="Q110">
        <v>0</v>
      </c>
      <c r="R110">
        <v>0</v>
      </c>
      <c r="S110">
        <v>0</v>
      </c>
    </row>
    <row r="111" spans="2:19" ht="60" customHeight="1" x14ac:dyDescent="0.25">
      <c r="B111" t="s">
        <v>2835</v>
      </c>
      <c r="C111" t="s">
        <v>2836</v>
      </c>
      <c r="D111" s="11">
        <v>15.53</v>
      </c>
      <c r="E111" t="s">
        <v>1815</v>
      </c>
      <c r="F111" t="s">
        <v>3057</v>
      </c>
      <c r="G111" t="s">
        <v>1813</v>
      </c>
      <c r="H111" s="11">
        <v>6</v>
      </c>
      <c r="I111" s="13">
        <f>H111*(1-IFERROR(VLOOKUP(G111,Rabat!$C$9:$D$43,2,0),0))</f>
        <v>6</v>
      </c>
      <c r="J111" t="s">
        <v>1818</v>
      </c>
      <c r="K111" s="12" t="str">
        <f>HYPERLINK("https://b2b.kobi.pl/pl/product/10514,kinkiet-grande-1xr7s-art-of-light?currency=PLN")</f>
        <v>https://b2b.kobi.pl/pl/product/10514,kinkiet-grande-1xr7s-art-of-light?currency=PLN</v>
      </c>
      <c r="L111" t="s">
        <v>14</v>
      </c>
      <c r="M111" t="s">
        <v>2602</v>
      </c>
      <c r="N111">
        <v>0.89</v>
      </c>
      <c r="O111">
        <v>2.29</v>
      </c>
      <c r="P111">
        <v>2.5190000000000001</v>
      </c>
      <c r="Q111">
        <v>0</v>
      </c>
      <c r="R111">
        <v>0</v>
      </c>
      <c r="S111">
        <v>0</v>
      </c>
    </row>
    <row r="112" spans="2:19" ht="60" customHeight="1" x14ac:dyDescent="0.25">
      <c r="B112" t="s">
        <v>2870</v>
      </c>
      <c r="C112" t="s">
        <v>2871</v>
      </c>
      <c r="D112" s="11">
        <v>20.98</v>
      </c>
      <c r="E112" t="s">
        <v>1815</v>
      </c>
      <c r="F112" t="s">
        <v>3075</v>
      </c>
      <c r="G112" t="s">
        <v>1813</v>
      </c>
      <c r="H112" s="11">
        <v>4</v>
      </c>
      <c r="I112" s="13">
        <f>H112*(1-IFERROR(VLOOKUP(G112,Rabat!$C$9:$D$43,2,0),0))</f>
        <v>4</v>
      </c>
      <c r="J112" t="s">
        <v>1818</v>
      </c>
      <c r="K112" s="12" t="str">
        <f>HYPERLINK("https://b2b.kobi.pl/pl/product/10538,lampa-wiszaca-pittore-b-1xe27-biala-art-of-light?currency=PLN")</f>
        <v>https://b2b.kobi.pl/pl/product/10538,lampa-wiszaca-pittore-b-1xe27-biala-art-of-light?currency=PLN</v>
      </c>
      <c r="L112" t="s">
        <v>14</v>
      </c>
      <c r="M112" t="s">
        <v>2602</v>
      </c>
      <c r="N112">
        <v>0.71</v>
      </c>
      <c r="O112">
        <v>1.82</v>
      </c>
      <c r="P112">
        <v>2.0019999999999998</v>
      </c>
      <c r="Q112">
        <v>0</v>
      </c>
      <c r="R112">
        <v>0</v>
      </c>
      <c r="S112">
        <v>0</v>
      </c>
    </row>
    <row r="113" spans="2:19" ht="60" customHeight="1" x14ac:dyDescent="0.25">
      <c r="B113" t="s">
        <v>4295</v>
      </c>
      <c r="C113" t="s">
        <v>4296</v>
      </c>
      <c r="D113" s="11">
        <v>23.14</v>
      </c>
      <c r="E113" t="s">
        <v>1815</v>
      </c>
      <c r="F113" t="s">
        <v>4297</v>
      </c>
      <c r="G113" t="s">
        <v>1813</v>
      </c>
      <c r="H113" s="11">
        <v>12</v>
      </c>
      <c r="I113" s="13">
        <f>H113*(1-IFERROR(VLOOKUP(G113,Rabat!$C$9:$D$43,2,0),0))</f>
        <v>12</v>
      </c>
      <c r="J113" t="s">
        <v>1818</v>
      </c>
      <c r="K113" s="12" t="str">
        <f>HYPERLINK("https://b2b.kobi.pl/pl/product/10549,oprawa-venice-1xgu10-art-of-light?currency=PLN")</f>
        <v>https://b2b.kobi.pl/pl/product/10549,oprawa-venice-1xgu10-art-of-light?currency=PLN</v>
      </c>
      <c r="L113" t="s">
        <v>14</v>
      </c>
      <c r="M113" t="s">
        <v>2602</v>
      </c>
      <c r="N113">
        <v>0.31</v>
      </c>
      <c r="O113">
        <v>0.79</v>
      </c>
      <c r="P113">
        <v>0.86899999999999999</v>
      </c>
      <c r="Q113">
        <v>0</v>
      </c>
      <c r="R113">
        <v>0</v>
      </c>
      <c r="S113">
        <v>0</v>
      </c>
    </row>
    <row r="114" spans="2:19" ht="60" customHeight="1" x14ac:dyDescent="0.25">
      <c r="B114" t="s">
        <v>3331</v>
      </c>
      <c r="C114" t="s">
        <v>3332</v>
      </c>
      <c r="D114" s="11">
        <v>46.62</v>
      </c>
      <c r="E114" t="s">
        <v>1815</v>
      </c>
      <c r="F114" t="s">
        <v>3333</v>
      </c>
      <c r="G114" t="s">
        <v>1813</v>
      </c>
      <c r="H114" s="11"/>
      <c r="I114" s="13">
        <f>H114*(1-IFERROR(VLOOKUP(G114,Rabat!$C$9:$D$43,2,0),0))</f>
        <v>0</v>
      </c>
      <c r="K114" s="12" t="str">
        <f>HYPERLINK("https://b2b.kobi.pl/pl/product/9067,lampa-wiszaca-fidzi-3-bialy?currency=PLN")</f>
        <v>https://b2b.kobi.pl/pl/product/9067,lampa-wiszaca-fidzi-3-bialy?currency=PLN</v>
      </c>
      <c r="L114" t="s">
        <v>14</v>
      </c>
      <c r="M114" t="s">
        <v>2602</v>
      </c>
      <c r="N114">
        <v>0</v>
      </c>
      <c r="O114">
        <v>0</v>
      </c>
      <c r="P114">
        <v>0</v>
      </c>
      <c r="Q114">
        <v>0</v>
      </c>
      <c r="R114">
        <v>0</v>
      </c>
      <c r="S114">
        <v>0</v>
      </c>
    </row>
    <row r="115" spans="2:19" ht="60" customHeight="1" x14ac:dyDescent="0.25">
      <c r="B115" t="s">
        <v>2878</v>
      </c>
      <c r="C115" t="s">
        <v>2879</v>
      </c>
      <c r="D115" s="11">
        <v>15</v>
      </c>
      <c r="F115" t="s">
        <v>3079</v>
      </c>
      <c r="G115" t="s">
        <v>1813</v>
      </c>
      <c r="H115" s="11"/>
      <c r="I115" s="13">
        <f>H115*(1-IFERROR(VLOOKUP(G115,Rabat!$C$9:$D$43,2,0),0))</f>
        <v>0</v>
      </c>
      <c r="K115" s="12" t="str">
        <f>HYPERLINK("https://b2b.kobi.pl/pl/product/9260,lampa-wiszaca-salerno-czarna?currency=PLN")</f>
        <v>https://b2b.kobi.pl/pl/product/9260,lampa-wiszaca-salerno-czarna?currency=PLN</v>
      </c>
      <c r="L115" t="s">
        <v>14</v>
      </c>
      <c r="M115" t="s">
        <v>2602</v>
      </c>
      <c r="N115">
        <v>0</v>
      </c>
      <c r="O115">
        <v>0</v>
      </c>
      <c r="P115">
        <v>0</v>
      </c>
      <c r="Q115">
        <v>0</v>
      </c>
      <c r="R115">
        <v>0</v>
      </c>
      <c r="S115">
        <v>0</v>
      </c>
    </row>
    <row r="116" spans="2:19" ht="60" customHeight="1" x14ac:dyDescent="0.25">
      <c r="B116" t="s">
        <v>2969</v>
      </c>
      <c r="C116" t="s">
        <v>2970</v>
      </c>
      <c r="D116" s="11">
        <v>10.75</v>
      </c>
      <c r="F116" t="s">
        <v>3132</v>
      </c>
      <c r="G116" t="s">
        <v>1813</v>
      </c>
      <c r="H116" s="11"/>
      <c r="I116" s="13">
        <f>H116*(1-IFERROR(VLOOKUP(G116,Rabat!$C$9:$D$43,2,0),0))</f>
        <v>0</v>
      </c>
      <c r="K116" s="12" t="str">
        <f>HYPERLINK("https://b2b.kobi.pl/pl/product/9262,plafon-cedra-1-bialy?currency=PLN")</f>
        <v>https://b2b.kobi.pl/pl/product/9262,plafon-cedra-1-bialy?currency=PLN</v>
      </c>
      <c r="L116" t="s">
        <v>14</v>
      </c>
      <c r="M116" t="s">
        <v>2602</v>
      </c>
      <c r="N116">
        <v>0</v>
      </c>
      <c r="O116">
        <v>0</v>
      </c>
      <c r="P116">
        <v>0</v>
      </c>
      <c r="Q116">
        <v>0</v>
      </c>
      <c r="R116">
        <v>0</v>
      </c>
      <c r="S116">
        <v>0</v>
      </c>
    </row>
    <row r="117" spans="2:19" ht="60" customHeight="1" x14ac:dyDescent="0.25">
      <c r="B117" t="s">
        <v>2971</v>
      </c>
      <c r="C117" t="s">
        <v>2972</v>
      </c>
      <c r="D117" s="11">
        <v>10.75</v>
      </c>
      <c r="F117" t="s">
        <v>3133</v>
      </c>
      <c r="G117" t="s">
        <v>1813</v>
      </c>
      <c r="H117" s="11"/>
      <c r="I117" s="13">
        <f>H117*(1-IFERROR(VLOOKUP(G117,Rabat!$C$9:$D$43,2,0),0))</f>
        <v>0</v>
      </c>
      <c r="K117" s="12" t="str">
        <f>HYPERLINK("https://b2b.kobi.pl/pl/product/9263,plafon-cedra-1-szary?currency=PLN")</f>
        <v>https://b2b.kobi.pl/pl/product/9263,plafon-cedra-1-szary?currency=PLN</v>
      </c>
      <c r="L117" t="s">
        <v>14</v>
      </c>
      <c r="M117" t="s">
        <v>2602</v>
      </c>
      <c r="N117">
        <v>0</v>
      </c>
      <c r="O117">
        <v>0</v>
      </c>
      <c r="P117">
        <v>0</v>
      </c>
      <c r="Q117">
        <v>0</v>
      </c>
      <c r="R117">
        <v>0</v>
      </c>
      <c r="S117">
        <v>0</v>
      </c>
    </row>
    <row r="118" spans="2:19" ht="60" customHeight="1" x14ac:dyDescent="0.25">
      <c r="B118" t="s">
        <v>2977</v>
      </c>
      <c r="C118" t="s">
        <v>2978</v>
      </c>
      <c r="D118" s="11">
        <v>9.56</v>
      </c>
      <c r="F118" t="s">
        <v>3136</v>
      </c>
      <c r="G118" t="s">
        <v>1813</v>
      </c>
      <c r="H118" s="11"/>
      <c r="I118" s="13">
        <f>H118*(1-IFERROR(VLOOKUP(G118,Rabat!$C$9:$D$43,2,0),0))</f>
        <v>0</v>
      </c>
      <c r="K118" s="12" t="str">
        <f>HYPERLINK("https://b2b.kobi.pl/pl/product/9290,plafon-seida-szary?currency=PLN")</f>
        <v>https://b2b.kobi.pl/pl/product/9290,plafon-seida-szary?currency=PLN</v>
      </c>
      <c r="L118" t="s">
        <v>14</v>
      </c>
      <c r="M118" t="s">
        <v>2602</v>
      </c>
      <c r="N118">
        <v>0</v>
      </c>
      <c r="O118">
        <v>0</v>
      </c>
      <c r="P118">
        <v>0</v>
      </c>
      <c r="Q118">
        <v>0</v>
      </c>
      <c r="R118">
        <v>0</v>
      </c>
      <c r="S118">
        <v>0</v>
      </c>
    </row>
    <row r="119" spans="2:19" ht="60" customHeight="1" x14ac:dyDescent="0.25">
      <c r="B119" t="s">
        <v>2880</v>
      </c>
      <c r="C119" t="s">
        <v>2881</v>
      </c>
      <c r="D119" s="11">
        <v>31.06</v>
      </c>
      <c r="F119" t="s">
        <v>3080</v>
      </c>
      <c r="G119" t="s">
        <v>1813</v>
      </c>
      <c r="H119" s="11"/>
      <c r="I119" s="13">
        <f>H119*(1-IFERROR(VLOOKUP(G119,Rabat!$C$9:$D$43,2,0),0))</f>
        <v>0</v>
      </c>
      <c r="K119" s="12" t="str">
        <f>HYPERLINK("https://b2b.kobi.pl/pl/product/9292,lampa-wiszaca-starlink?currency=PLN")</f>
        <v>https://b2b.kobi.pl/pl/product/9292,lampa-wiszaca-starlink?currency=PLN</v>
      </c>
      <c r="L119" t="s">
        <v>14</v>
      </c>
      <c r="M119" t="s">
        <v>2602</v>
      </c>
      <c r="N119">
        <v>0</v>
      </c>
      <c r="O119">
        <v>0</v>
      </c>
      <c r="P119">
        <v>0</v>
      </c>
      <c r="Q119">
        <v>0</v>
      </c>
      <c r="R119">
        <v>0</v>
      </c>
      <c r="S119">
        <v>0</v>
      </c>
    </row>
    <row r="120" spans="2:19" ht="60" customHeight="1" x14ac:dyDescent="0.25">
      <c r="B120" t="s">
        <v>2797</v>
      </c>
      <c r="C120" t="s">
        <v>2798</v>
      </c>
      <c r="D120" s="11">
        <v>39.99</v>
      </c>
      <c r="E120" t="s">
        <v>1815</v>
      </c>
      <c r="F120" t="s">
        <v>3038</v>
      </c>
      <c r="G120" t="s">
        <v>1813</v>
      </c>
      <c r="H120" s="11"/>
      <c r="I120" s="13">
        <f>H120*(1-IFERROR(VLOOKUP(G120,Rabat!$C$9:$D$43,2,0),0))</f>
        <v>0</v>
      </c>
      <c r="K120" s="12" t="str">
        <f>HYPERLINK("https://b2b.kobi.pl/pl/product/9064,lampa-modul-kula-m-bialy?currency=PLN")</f>
        <v>https://b2b.kobi.pl/pl/product/9064,lampa-modul-kula-m-bialy?currency=PLN</v>
      </c>
      <c r="L120" t="s">
        <v>14</v>
      </c>
      <c r="M120" t="s">
        <v>2602</v>
      </c>
      <c r="N120">
        <v>0</v>
      </c>
      <c r="O120">
        <v>0</v>
      </c>
      <c r="P120">
        <v>0</v>
      </c>
      <c r="Q120">
        <v>0</v>
      </c>
      <c r="R120">
        <v>0</v>
      </c>
      <c r="S120">
        <v>0</v>
      </c>
    </row>
    <row r="121" spans="2:19" ht="60" customHeight="1" x14ac:dyDescent="0.25">
      <c r="B121" t="s">
        <v>2848</v>
      </c>
      <c r="C121" t="s">
        <v>2849</v>
      </c>
      <c r="D121" s="11">
        <v>15</v>
      </c>
      <c r="E121" t="s">
        <v>1815</v>
      </c>
      <c r="F121" t="s">
        <v>3064</v>
      </c>
      <c r="G121" t="s">
        <v>1813</v>
      </c>
      <c r="H121" s="11"/>
      <c r="I121" s="13">
        <f>H121*(1-IFERROR(VLOOKUP(G121,Rabat!$C$9:$D$43,2,0),0))</f>
        <v>0</v>
      </c>
      <c r="K121" s="12" t="str">
        <f>HYPERLINK("https://b2b.kobi.pl/pl/product/9068,lampa-wiszaca-fidzi-1-bialy?currency=PLN")</f>
        <v>https://b2b.kobi.pl/pl/product/9068,lampa-wiszaca-fidzi-1-bialy?currency=PLN</v>
      </c>
      <c r="L121" t="s">
        <v>14</v>
      </c>
      <c r="M121" t="s">
        <v>2602</v>
      </c>
      <c r="N121">
        <v>0</v>
      </c>
      <c r="O121">
        <v>0</v>
      </c>
      <c r="P121">
        <v>0</v>
      </c>
      <c r="Q121">
        <v>0</v>
      </c>
      <c r="R121">
        <v>0</v>
      </c>
      <c r="S121">
        <v>0</v>
      </c>
    </row>
    <row r="122" spans="2:19" ht="60" customHeight="1" x14ac:dyDescent="0.25">
      <c r="B122" t="s">
        <v>2884</v>
      </c>
      <c r="C122" t="s">
        <v>2885</v>
      </c>
      <c r="D122" s="11">
        <v>19</v>
      </c>
      <c r="E122" t="s">
        <v>1815</v>
      </c>
      <c r="F122" t="s">
        <v>3082</v>
      </c>
      <c r="G122" t="s">
        <v>1813</v>
      </c>
      <c r="H122" s="11"/>
      <c r="I122" s="13">
        <f>H122*(1-IFERROR(VLOOKUP(G122,Rabat!$C$9:$D$43,2,0),0))</f>
        <v>0</v>
      </c>
      <c r="K122" s="12" t="str">
        <f>HYPERLINK("https://b2b.kobi.pl/pl/product/9072,lampa-wiszaca-wawa-d-szara?currency=PLN")</f>
        <v>https://b2b.kobi.pl/pl/product/9072,lampa-wiszaca-wawa-d-szara?currency=PLN</v>
      </c>
      <c r="L122" t="s">
        <v>14</v>
      </c>
      <c r="M122" t="s">
        <v>2602</v>
      </c>
      <c r="N122">
        <v>0</v>
      </c>
      <c r="O122">
        <v>0</v>
      </c>
      <c r="P122">
        <v>0</v>
      </c>
      <c r="Q122">
        <v>0</v>
      </c>
      <c r="R122">
        <v>0</v>
      </c>
      <c r="S122">
        <v>0</v>
      </c>
    </row>
    <row r="123" spans="2:19" ht="60" customHeight="1" x14ac:dyDescent="0.25">
      <c r="B123" t="s">
        <v>2882</v>
      </c>
      <c r="C123" t="s">
        <v>2883</v>
      </c>
      <c r="D123" s="11">
        <v>38.08</v>
      </c>
      <c r="E123" t="s">
        <v>1815</v>
      </c>
      <c r="F123" t="s">
        <v>3081</v>
      </c>
      <c r="G123" t="s">
        <v>1813</v>
      </c>
      <c r="H123" s="11"/>
      <c r="I123" s="13">
        <f>H123*(1-IFERROR(VLOOKUP(G123,Rabat!$C$9:$D$43,2,0),0))</f>
        <v>0</v>
      </c>
      <c r="K123" s="12" t="str">
        <f>HYPERLINK("https://b2b.kobi.pl/pl/product/9075,lampa-wiszaca-trik-m-romb-czarna?currency=PLN")</f>
        <v>https://b2b.kobi.pl/pl/product/9075,lampa-wiszaca-trik-m-romb-czarna?currency=PLN</v>
      </c>
      <c r="L123" t="s">
        <v>14</v>
      </c>
      <c r="M123" t="s">
        <v>2602</v>
      </c>
      <c r="N123">
        <v>0</v>
      </c>
      <c r="O123">
        <v>0</v>
      </c>
      <c r="P123">
        <v>0</v>
      </c>
      <c r="Q123">
        <v>0</v>
      </c>
      <c r="R123">
        <v>0</v>
      </c>
      <c r="S123">
        <v>0</v>
      </c>
    </row>
    <row r="124" spans="2:19" ht="60" customHeight="1" x14ac:dyDescent="0.25">
      <c r="B124" t="s">
        <v>2913</v>
      </c>
      <c r="C124" t="s">
        <v>2914</v>
      </c>
      <c r="D124" s="11">
        <v>8.7899999999999991</v>
      </c>
      <c r="E124" t="s">
        <v>1815</v>
      </c>
      <c r="F124" t="s">
        <v>3103</v>
      </c>
      <c r="G124" t="s">
        <v>1813</v>
      </c>
      <c r="H124" s="11"/>
      <c r="I124" s="13">
        <f>H124*(1-IFERROR(VLOOKUP(G124,Rabat!$C$9:$D$43,2,0),0))</f>
        <v>0</v>
      </c>
      <c r="K124" s="12" t="str">
        <f>HYPERLINK("https://b2b.kobi.pl/pl/product/9193,oprawa-przysufitowa-1pl-pako-1200?currency=PLN")</f>
        <v>https://b2b.kobi.pl/pl/product/9193,oprawa-przysufitowa-1pl-pako-1200?currency=PLN</v>
      </c>
      <c r="L124" t="s">
        <v>14</v>
      </c>
      <c r="M124" t="s">
        <v>2602</v>
      </c>
      <c r="N124">
        <v>0</v>
      </c>
      <c r="O124">
        <v>0</v>
      </c>
      <c r="P124">
        <v>0</v>
      </c>
      <c r="Q124">
        <v>0</v>
      </c>
      <c r="R124">
        <v>0</v>
      </c>
      <c r="S124">
        <v>0</v>
      </c>
    </row>
    <row r="125" spans="2:19" ht="60" customHeight="1" x14ac:dyDescent="0.25">
      <c r="B125" t="s">
        <v>2917</v>
      </c>
      <c r="C125" t="s">
        <v>2918</v>
      </c>
      <c r="D125" s="11">
        <v>17.899999999999999</v>
      </c>
      <c r="E125" t="s">
        <v>1815</v>
      </c>
      <c r="F125" t="s">
        <v>3105</v>
      </c>
      <c r="G125" t="s">
        <v>1813</v>
      </c>
      <c r="H125" s="11"/>
      <c r="I125" s="13">
        <f>H125*(1-IFERROR(VLOOKUP(G125,Rabat!$C$9:$D$43,2,0),0))</f>
        <v>0</v>
      </c>
      <c r="K125" s="12" t="str">
        <f>HYPERLINK("https://b2b.kobi.pl/pl/product/9199,oprawa-przysufitowa-2pl-pakos-1102?currency=PLN")</f>
        <v>https://b2b.kobi.pl/pl/product/9199,oprawa-przysufitowa-2pl-pakos-1102?currency=PLN</v>
      </c>
      <c r="L125" t="s">
        <v>14</v>
      </c>
      <c r="M125" t="s">
        <v>2602</v>
      </c>
      <c r="N125">
        <v>0</v>
      </c>
      <c r="O125">
        <v>0</v>
      </c>
      <c r="P125">
        <v>0</v>
      </c>
      <c r="Q125">
        <v>0</v>
      </c>
      <c r="R125">
        <v>0</v>
      </c>
      <c r="S125">
        <v>0</v>
      </c>
    </row>
    <row r="126" spans="2:19" ht="60" customHeight="1" x14ac:dyDescent="0.25">
      <c r="B126" t="s">
        <v>2921</v>
      </c>
      <c r="C126" t="s">
        <v>2922</v>
      </c>
      <c r="D126" s="11">
        <v>22.59</v>
      </c>
      <c r="E126" t="s">
        <v>1815</v>
      </c>
      <c r="F126" t="s">
        <v>3107</v>
      </c>
      <c r="G126" t="s">
        <v>1813</v>
      </c>
      <c r="H126" s="11"/>
      <c r="I126" s="13">
        <f>H126*(1-IFERROR(VLOOKUP(G126,Rabat!$C$9:$D$43,2,0),0))</f>
        <v>0</v>
      </c>
      <c r="K126" s="12" t="str">
        <f>HYPERLINK("https://b2b.kobi.pl/pl/product/9200,oprawa-przysufitowa-3pl-pakos-1103?currency=PLN")</f>
        <v>https://b2b.kobi.pl/pl/product/9200,oprawa-przysufitowa-3pl-pakos-1103?currency=PLN</v>
      </c>
      <c r="L126" t="s">
        <v>14</v>
      </c>
      <c r="M126" t="s">
        <v>2602</v>
      </c>
      <c r="N126">
        <v>0</v>
      </c>
      <c r="O126">
        <v>0</v>
      </c>
      <c r="P126">
        <v>0</v>
      </c>
      <c r="Q126">
        <v>0</v>
      </c>
      <c r="R126">
        <v>0</v>
      </c>
      <c r="S126">
        <v>0</v>
      </c>
    </row>
    <row r="127" spans="2:19" ht="60" customHeight="1" x14ac:dyDescent="0.25">
      <c r="B127" t="s">
        <v>2919</v>
      </c>
      <c r="C127" t="s">
        <v>2920</v>
      </c>
      <c r="D127" s="11">
        <v>17.59</v>
      </c>
      <c r="E127" t="s">
        <v>1815</v>
      </c>
      <c r="F127" t="s">
        <v>3106</v>
      </c>
      <c r="G127" t="s">
        <v>1813</v>
      </c>
      <c r="H127" s="11"/>
      <c r="I127" s="13">
        <f>H127*(1-IFERROR(VLOOKUP(G127,Rabat!$C$9:$D$43,2,0),0))</f>
        <v>0</v>
      </c>
      <c r="K127" s="12" t="str">
        <f>HYPERLINK("https://b2b.kobi.pl/pl/product/9201,oprawa-przysufitowa-2pl-pakos-1112?currency=PLN")</f>
        <v>https://b2b.kobi.pl/pl/product/9201,oprawa-przysufitowa-2pl-pakos-1112?currency=PLN</v>
      </c>
      <c r="L127" t="s">
        <v>14</v>
      </c>
      <c r="M127" t="s">
        <v>2602</v>
      </c>
      <c r="N127">
        <v>0</v>
      </c>
      <c r="O127">
        <v>0</v>
      </c>
      <c r="P127">
        <v>0</v>
      </c>
      <c r="Q127">
        <v>0</v>
      </c>
      <c r="R127">
        <v>0</v>
      </c>
      <c r="S127">
        <v>0</v>
      </c>
    </row>
    <row r="128" spans="2:19" ht="60" customHeight="1" x14ac:dyDescent="0.25">
      <c r="B128" t="s">
        <v>2923</v>
      </c>
      <c r="C128" t="s">
        <v>2924</v>
      </c>
      <c r="D128" s="11">
        <v>22.59</v>
      </c>
      <c r="E128" t="s">
        <v>1815</v>
      </c>
      <c r="F128" t="s">
        <v>3108</v>
      </c>
      <c r="G128" t="s">
        <v>1813</v>
      </c>
      <c r="H128" s="11"/>
      <c r="I128" s="13">
        <f>H128*(1-IFERROR(VLOOKUP(G128,Rabat!$C$9:$D$43,2,0),0))</f>
        <v>0</v>
      </c>
      <c r="K128" s="12" t="str">
        <f>HYPERLINK("https://b2b.kobi.pl/pl/product/9202,oprawa-przysufitowa-3pl-pakos-1113?currency=PLN")</f>
        <v>https://b2b.kobi.pl/pl/product/9202,oprawa-przysufitowa-3pl-pakos-1113?currency=PLN</v>
      </c>
      <c r="L128" t="s">
        <v>14</v>
      </c>
      <c r="M128" t="s">
        <v>2602</v>
      </c>
      <c r="N128">
        <v>0</v>
      </c>
      <c r="O128">
        <v>0</v>
      </c>
      <c r="P128">
        <v>0</v>
      </c>
      <c r="Q128">
        <v>0</v>
      </c>
      <c r="R128">
        <v>0</v>
      </c>
      <c r="S128">
        <v>0</v>
      </c>
    </row>
    <row r="129" spans="2:19" ht="60" customHeight="1" x14ac:dyDescent="0.25">
      <c r="B129" t="s">
        <v>2915</v>
      </c>
      <c r="C129" t="s">
        <v>2916</v>
      </c>
      <c r="D129" s="11">
        <v>8.19</v>
      </c>
      <c r="E129" t="s">
        <v>1815</v>
      </c>
      <c r="F129" t="s">
        <v>3104</v>
      </c>
      <c r="G129" t="s">
        <v>1813</v>
      </c>
      <c r="H129" s="11"/>
      <c r="I129" s="13">
        <f>H129*(1-IFERROR(VLOOKUP(G129,Rabat!$C$9:$D$43,2,0),0))</f>
        <v>0</v>
      </c>
      <c r="K129" s="12" t="str">
        <f>HYPERLINK("https://b2b.kobi.pl/pl/product/9246,oprawa-przysufitowa-1pl-sky-1500?currency=PLN")</f>
        <v>https://b2b.kobi.pl/pl/product/9246,oprawa-przysufitowa-1pl-sky-1500?currency=PLN</v>
      </c>
      <c r="L129" t="s">
        <v>14</v>
      </c>
      <c r="M129" t="s">
        <v>2602</v>
      </c>
      <c r="N129">
        <v>0</v>
      </c>
      <c r="O129">
        <v>0</v>
      </c>
      <c r="P129">
        <v>0</v>
      </c>
      <c r="Q129">
        <v>0</v>
      </c>
      <c r="R129">
        <v>0</v>
      </c>
      <c r="S129">
        <v>0</v>
      </c>
    </row>
    <row r="130" spans="2:19" ht="60" customHeight="1" x14ac:dyDescent="0.25">
      <c r="B130" t="s">
        <v>2864</v>
      </c>
      <c r="C130" t="s">
        <v>2865</v>
      </c>
      <c r="D130" s="11">
        <v>15</v>
      </c>
      <c r="E130" t="s">
        <v>1815</v>
      </c>
      <c r="F130" t="s">
        <v>3072</v>
      </c>
      <c r="G130" t="s">
        <v>1813</v>
      </c>
      <c r="H130" s="11"/>
      <c r="I130" s="13">
        <f>H130*(1-IFERROR(VLOOKUP(G130,Rabat!$C$9:$D$43,2,0),0))</f>
        <v>0</v>
      </c>
      <c r="K130" s="12" t="str">
        <f>HYPERLINK("https://b2b.kobi.pl/pl/product/9254,lampa-wiszaca-marina-grafit?currency=PLN")</f>
        <v>https://b2b.kobi.pl/pl/product/9254,lampa-wiszaca-marina-grafit?currency=PLN</v>
      </c>
      <c r="L130" t="s">
        <v>14</v>
      </c>
      <c r="M130" t="s">
        <v>2602</v>
      </c>
      <c r="N130">
        <v>0</v>
      </c>
      <c r="O130">
        <v>0</v>
      </c>
      <c r="P130">
        <v>0</v>
      </c>
      <c r="Q130">
        <v>0</v>
      </c>
      <c r="R130">
        <v>0</v>
      </c>
      <c r="S130">
        <v>0</v>
      </c>
    </row>
    <row r="131" spans="2:19" ht="60" customHeight="1" x14ac:dyDescent="0.25">
      <c r="B131" t="s">
        <v>2852</v>
      </c>
      <c r="C131" t="s">
        <v>2853</v>
      </c>
      <c r="D131" s="11">
        <v>29.99</v>
      </c>
      <c r="E131" t="s">
        <v>1815</v>
      </c>
      <c r="F131" t="s">
        <v>3066</v>
      </c>
      <c r="G131" t="s">
        <v>1813</v>
      </c>
      <c r="H131" s="11"/>
      <c r="I131" s="13">
        <f>H131*(1-IFERROR(VLOOKUP(G131,Rabat!$C$9:$D$43,2,0),0))</f>
        <v>0</v>
      </c>
      <c r="K131" s="12" t="str">
        <f>HYPERLINK("https://b2b.kobi.pl/pl/product/9257,lampa-wiszaca-gino-czarna?currency=PLN")</f>
        <v>https://b2b.kobi.pl/pl/product/9257,lampa-wiszaca-gino-czarna?currency=PLN</v>
      </c>
      <c r="L131" t="s">
        <v>14</v>
      </c>
      <c r="M131" t="s">
        <v>2602</v>
      </c>
      <c r="N131">
        <v>0</v>
      </c>
      <c r="O131">
        <v>0</v>
      </c>
      <c r="P131">
        <v>0</v>
      </c>
      <c r="Q131">
        <v>0</v>
      </c>
      <c r="R131">
        <v>0</v>
      </c>
      <c r="S131">
        <v>0</v>
      </c>
    </row>
    <row r="132" spans="2:19" ht="60" customHeight="1" x14ac:dyDescent="0.25">
      <c r="B132" t="s">
        <v>2983</v>
      </c>
      <c r="C132" t="s">
        <v>2984</v>
      </c>
      <c r="D132" s="11">
        <v>29.87</v>
      </c>
      <c r="E132" t="s">
        <v>1815</v>
      </c>
      <c r="F132" t="s">
        <v>3139</v>
      </c>
      <c r="G132" t="s">
        <v>1813</v>
      </c>
      <c r="H132" s="11"/>
      <c r="I132" s="13">
        <f>H132*(1-IFERROR(VLOOKUP(G132,Rabat!$C$9:$D$43,2,0),0))</f>
        <v>0</v>
      </c>
      <c r="K132" s="12" t="str">
        <f>HYPERLINK("https://b2b.kobi.pl/pl/product/9266,plafon-stereo-4-bialy?currency=PLN")</f>
        <v>https://b2b.kobi.pl/pl/product/9266,plafon-stereo-4-bialy?currency=PLN</v>
      </c>
      <c r="L132" t="s">
        <v>14</v>
      </c>
      <c r="M132" t="s">
        <v>2602</v>
      </c>
      <c r="N132">
        <v>0</v>
      </c>
      <c r="O132">
        <v>0</v>
      </c>
      <c r="P132">
        <v>0</v>
      </c>
      <c r="Q132">
        <v>0</v>
      </c>
      <c r="R132">
        <v>0</v>
      </c>
      <c r="S132">
        <v>0</v>
      </c>
    </row>
    <row r="133" spans="2:19" ht="60" customHeight="1" x14ac:dyDescent="0.25">
      <c r="B133" t="s">
        <v>2981</v>
      </c>
      <c r="C133" t="s">
        <v>2982</v>
      </c>
      <c r="D133" s="11">
        <v>5</v>
      </c>
      <c r="E133" t="s">
        <v>1815</v>
      </c>
      <c r="F133" t="s">
        <v>3138</v>
      </c>
      <c r="G133" t="s">
        <v>1813</v>
      </c>
      <c r="H133" s="11"/>
      <c r="I133" s="13">
        <f>H133*(1-IFERROR(VLOOKUP(G133,Rabat!$C$9:$D$43,2,0),0))</f>
        <v>0</v>
      </c>
      <c r="K133" s="12" t="str">
        <f>HYPERLINK("https://b2b.kobi.pl/pl/product/9267,plafon-stereo-1-czarny?currency=PLN")</f>
        <v>https://b2b.kobi.pl/pl/product/9267,plafon-stereo-1-czarny?currency=PLN</v>
      </c>
      <c r="L133" t="s">
        <v>14</v>
      </c>
      <c r="M133" t="s">
        <v>2602</v>
      </c>
      <c r="N133">
        <v>0</v>
      </c>
      <c r="O133">
        <v>0</v>
      </c>
      <c r="P133">
        <v>0</v>
      </c>
      <c r="Q133">
        <v>0</v>
      </c>
      <c r="R133">
        <v>0</v>
      </c>
      <c r="S133">
        <v>0</v>
      </c>
    </row>
    <row r="134" spans="2:19" ht="60" customHeight="1" x14ac:dyDescent="0.25">
      <c r="B134" t="s">
        <v>2979</v>
      </c>
      <c r="C134" t="s">
        <v>2980</v>
      </c>
      <c r="D134" s="11">
        <v>9</v>
      </c>
      <c r="E134" t="s">
        <v>1815</v>
      </c>
      <c r="F134" t="s">
        <v>3137</v>
      </c>
      <c r="G134" t="s">
        <v>1813</v>
      </c>
      <c r="H134" s="11"/>
      <c r="I134" s="13">
        <f>H134*(1-IFERROR(VLOOKUP(G134,Rabat!$C$9:$D$43,2,0),0))</f>
        <v>0</v>
      </c>
      <c r="K134" s="12" t="str">
        <f>HYPERLINK("https://b2b.kobi.pl/pl/product/9268,plafon-stereo-czarny?currency=PLN")</f>
        <v>https://b2b.kobi.pl/pl/product/9268,plafon-stereo-czarny?currency=PLN</v>
      </c>
      <c r="L134" t="s">
        <v>14</v>
      </c>
      <c r="M134" t="s">
        <v>2602</v>
      </c>
      <c r="N134">
        <v>0</v>
      </c>
      <c r="O134">
        <v>0</v>
      </c>
      <c r="P134">
        <v>0</v>
      </c>
      <c r="Q134">
        <v>0</v>
      </c>
      <c r="R134">
        <v>0</v>
      </c>
      <c r="S134">
        <v>0</v>
      </c>
    </row>
    <row r="135" spans="2:19" ht="60" customHeight="1" x14ac:dyDescent="0.25">
      <c r="B135" t="s">
        <v>2799</v>
      </c>
      <c r="C135" t="s">
        <v>2800</v>
      </c>
      <c r="D135" s="11">
        <v>11.75</v>
      </c>
      <c r="E135" t="s">
        <v>1815</v>
      </c>
      <c r="F135" t="s">
        <v>3039</v>
      </c>
      <c r="G135" t="s">
        <v>1813</v>
      </c>
      <c r="H135" s="11"/>
      <c r="I135" s="13">
        <f>H135*(1-IFERROR(VLOOKUP(G135,Rabat!$C$9:$D$43,2,0),0))</f>
        <v>0</v>
      </c>
      <c r="K135" s="12" t="str">
        <f>HYPERLINK("https://b2b.kobi.pl/pl/product/9269,kinkiet-nazaria-kolo-bialy?currency=PLN")</f>
        <v>https://b2b.kobi.pl/pl/product/9269,kinkiet-nazaria-kolo-bialy?currency=PLN</v>
      </c>
      <c r="L135" t="s">
        <v>14</v>
      </c>
      <c r="M135" t="s">
        <v>2602</v>
      </c>
      <c r="N135">
        <v>0</v>
      </c>
      <c r="O135">
        <v>0</v>
      </c>
      <c r="P135">
        <v>0</v>
      </c>
      <c r="Q135">
        <v>0</v>
      </c>
      <c r="R135">
        <v>0</v>
      </c>
      <c r="S135">
        <v>0</v>
      </c>
    </row>
    <row r="136" spans="2:19" ht="60" customHeight="1" x14ac:dyDescent="0.25">
      <c r="B136" t="s">
        <v>2973</v>
      </c>
      <c r="C136" t="s">
        <v>2974</v>
      </c>
      <c r="D136" s="11">
        <v>20.25</v>
      </c>
      <c r="E136" t="s">
        <v>1815</v>
      </c>
      <c r="F136" t="s">
        <v>3134</v>
      </c>
      <c r="G136" t="s">
        <v>1813</v>
      </c>
      <c r="H136" s="11"/>
      <c r="I136" s="13">
        <f>H136*(1-IFERROR(VLOOKUP(G136,Rabat!$C$9:$D$43,2,0),0))</f>
        <v>0</v>
      </c>
      <c r="K136" s="12" t="str">
        <f>HYPERLINK("https://b2b.kobi.pl/pl/product/9271,plafon-nazaria-kolo-bialy?currency=PLN")</f>
        <v>https://b2b.kobi.pl/pl/product/9271,plafon-nazaria-kolo-bialy?currency=PLN</v>
      </c>
      <c r="L136" t="s">
        <v>14</v>
      </c>
      <c r="M136" t="s">
        <v>2602</v>
      </c>
      <c r="N136">
        <v>0</v>
      </c>
      <c r="O136">
        <v>0</v>
      </c>
      <c r="P136">
        <v>0</v>
      </c>
      <c r="Q136">
        <v>0</v>
      </c>
      <c r="R136">
        <v>0</v>
      </c>
      <c r="S136">
        <v>0</v>
      </c>
    </row>
    <row r="137" spans="2:19" ht="60" customHeight="1" x14ac:dyDescent="0.25">
      <c r="B137" t="s">
        <v>2975</v>
      </c>
      <c r="C137" t="s">
        <v>2976</v>
      </c>
      <c r="D137" s="11">
        <v>18.690000000000001</v>
      </c>
      <c r="E137" t="s">
        <v>1815</v>
      </c>
      <c r="F137" t="s">
        <v>3135</v>
      </c>
      <c r="G137" t="s">
        <v>1813</v>
      </c>
      <c r="H137" s="11"/>
      <c r="I137" s="13">
        <f>H137*(1-IFERROR(VLOOKUP(G137,Rabat!$C$9:$D$43,2,0),0))</f>
        <v>0</v>
      </c>
      <c r="K137" s="12" t="str">
        <f>HYPERLINK("https://b2b.kobi.pl/pl/product/9272,plafon-nazaria-kwadrat-bialy?currency=PLN")</f>
        <v>https://b2b.kobi.pl/pl/product/9272,plafon-nazaria-kwadrat-bialy?currency=PLN</v>
      </c>
      <c r="L137" t="s">
        <v>14</v>
      </c>
      <c r="M137" t="s">
        <v>2602</v>
      </c>
      <c r="N137">
        <v>0</v>
      </c>
      <c r="O137">
        <v>0</v>
      </c>
      <c r="P137">
        <v>0</v>
      </c>
      <c r="Q137">
        <v>0</v>
      </c>
      <c r="R137">
        <v>0</v>
      </c>
      <c r="S137">
        <v>0</v>
      </c>
    </row>
    <row r="138" spans="2:19" ht="60" customHeight="1" x14ac:dyDescent="0.25">
      <c r="B138" t="s">
        <v>2868</v>
      </c>
      <c r="C138" t="s">
        <v>2869</v>
      </c>
      <c r="D138" s="11">
        <v>31.06</v>
      </c>
      <c r="E138" t="s">
        <v>1815</v>
      </c>
      <c r="F138" t="s">
        <v>3074</v>
      </c>
      <c r="G138" t="s">
        <v>1813</v>
      </c>
      <c r="H138" s="11"/>
      <c r="I138" s="13">
        <f>H138*(1-IFERROR(VLOOKUP(G138,Rabat!$C$9:$D$43,2,0),0))</f>
        <v>0</v>
      </c>
      <c r="K138" s="12" t="str">
        <f>HYPERLINK("https://b2b.kobi.pl/pl/product/9277,lampa-wiszaca-oncept-4?currency=PLN")</f>
        <v>https://b2b.kobi.pl/pl/product/9277,lampa-wiszaca-oncept-4?currency=PLN</v>
      </c>
      <c r="L138" t="s">
        <v>14</v>
      </c>
      <c r="M138" t="s">
        <v>2602</v>
      </c>
      <c r="N138">
        <v>0</v>
      </c>
      <c r="O138">
        <v>0</v>
      </c>
      <c r="P138">
        <v>0</v>
      </c>
      <c r="Q138">
        <v>0</v>
      </c>
      <c r="R138">
        <v>0</v>
      </c>
      <c r="S138">
        <v>0</v>
      </c>
    </row>
    <row r="139" spans="2:19" ht="60" customHeight="1" x14ac:dyDescent="0.25">
      <c r="B139" t="s">
        <v>2841</v>
      </c>
      <c r="C139" t="s">
        <v>2842</v>
      </c>
      <c r="D139" s="11">
        <v>45.4</v>
      </c>
      <c r="E139" t="s">
        <v>1815</v>
      </c>
      <c r="F139" t="s">
        <v>3060</v>
      </c>
      <c r="G139" t="s">
        <v>1813</v>
      </c>
      <c r="H139" s="11"/>
      <c r="I139" s="13">
        <f>H139*(1-IFERROR(VLOOKUP(G139,Rabat!$C$9:$D$43,2,0),0))</f>
        <v>0</v>
      </c>
      <c r="K139" s="12" t="str">
        <f>HYPERLINK("https://b2b.kobi.pl/pl/product/9278,lampa-wiszaca-concept-6?currency=PLN")</f>
        <v>https://b2b.kobi.pl/pl/product/9278,lampa-wiszaca-concept-6?currency=PLN</v>
      </c>
      <c r="L139" t="s">
        <v>14</v>
      </c>
      <c r="M139" t="s">
        <v>2602</v>
      </c>
      <c r="N139">
        <v>0</v>
      </c>
      <c r="O139">
        <v>0</v>
      </c>
      <c r="P139">
        <v>0</v>
      </c>
      <c r="Q139">
        <v>0</v>
      </c>
      <c r="R139">
        <v>0</v>
      </c>
      <c r="S139">
        <v>0</v>
      </c>
    </row>
    <row r="140" spans="2:19" ht="60" customHeight="1" x14ac:dyDescent="0.25">
      <c r="B140" t="s">
        <v>2872</v>
      </c>
      <c r="C140" t="s">
        <v>2873</v>
      </c>
      <c r="D140" s="11">
        <v>67.2</v>
      </c>
      <c r="E140" t="s">
        <v>1815</v>
      </c>
      <c r="F140" t="s">
        <v>3076</v>
      </c>
      <c r="G140" t="s">
        <v>1813</v>
      </c>
      <c r="H140" s="11"/>
      <c r="I140" s="13">
        <f>H140*(1-IFERROR(VLOOKUP(G140,Rabat!$C$9:$D$43,2,0),0))</f>
        <v>0</v>
      </c>
      <c r="K140" s="12" t="str">
        <f>HYPERLINK("https://b2b.kobi.pl/pl/product/9049,lampa-wiszaca-polaris-1656?currency=PLN")</f>
        <v>https://b2b.kobi.pl/pl/product/9049,lampa-wiszaca-polaris-1656?currency=PLN</v>
      </c>
      <c r="L140" t="s">
        <v>14</v>
      </c>
      <c r="M140" t="s">
        <v>2602</v>
      </c>
      <c r="N140">
        <v>0</v>
      </c>
      <c r="O140">
        <v>0.31</v>
      </c>
      <c r="P140">
        <v>0.34100000000000003</v>
      </c>
      <c r="Q140">
        <v>0</v>
      </c>
      <c r="R140">
        <v>0</v>
      </c>
      <c r="S140">
        <v>0</v>
      </c>
    </row>
    <row r="141" spans="2:19" ht="60" customHeight="1" x14ac:dyDescent="0.25">
      <c r="B141" t="s">
        <v>2821</v>
      </c>
      <c r="C141" t="s">
        <v>2822</v>
      </c>
      <c r="D141" s="11">
        <v>13.44</v>
      </c>
      <c r="E141" t="s">
        <v>1815</v>
      </c>
      <c r="F141" t="s">
        <v>3050</v>
      </c>
      <c r="G141" t="s">
        <v>1813</v>
      </c>
      <c r="H141" s="11"/>
      <c r="I141" s="13">
        <f>H141*(1-IFERROR(VLOOKUP(G141,Rabat!$C$9:$D$43,2,0),0))</f>
        <v>0</v>
      </c>
      <c r="K141" s="12" t="str">
        <f>HYPERLINK("https://b2b.kobi.pl/pl/product/9062,lampa-evora-286?currency=PLN")</f>
        <v>https://b2b.kobi.pl/pl/product/9062,lampa-evora-286?currency=PLN</v>
      </c>
      <c r="L141" t="s">
        <v>14</v>
      </c>
      <c r="M141" t="s">
        <v>2602</v>
      </c>
      <c r="N141">
        <v>0</v>
      </c>
      <c r="O141">
        <v>0.31</v>
      </c>
      <c r="P141">
        <v>0.34100000000000003</v>
      </c>
      <c r="Q141">
        <v>0</v>
      </c>
      <c r="R141">
        <v>0</v>
      </c>
      <c r="S141">
        <v>0</v>
      </c>
    </row>
    <row r="142" spans="2:19" ht="60" customHeight="1" x14ac:dyDescent="0.25">
      <c r="B142" t="s">
        <v>2941</v>
      </c>
      <c r="C142" t="s">
        <v>2942</v>
      </c>
      <c r="D142" s="11">
        <v>13.45</v>
      </c>
      <c r="E142" t="s">
        <v>1815</v>
      </c>
      <c r="F142" t="s">
        <v>3117</v>
      </c>
      <c r="G142" t="s">
        <v>1813</v>
      </c>
      <c r="H142" s="11"/>
      <c r="I142" s="13">
        <f>H142*(1-IFERROR(VLOOKUP(G142,Rabat!$C$9:$D$43,2,0),0))</f>
        <v>0</v>
      </c>
      <c r="K142" s="12" t="str">
        <f>HYPERLINK("https://b2b.kobi.pl/pl/product/9073,oprawa-tyber3-308?currency=PLN")</f>
        <v>https://b2b.kobi.pl/pl/product/9073,oprawa-tyber3-308?currency=PLN</v>
      </c>
      <c r="L142" t="s">
        <v>14</v>
      </c>
      <c r="M142" t="s">
        <v>2602</v>
      </c>
      <c r="N142">
        <v>0</v>
      </c>
      <c r="O142">
        <v>0.31</v>
      </c>
      <c r="P142">
        <v>0.34100000000000003</v>
      </c>
      <c r="Q142">
        <v>0</v>
      </c>
      <c r="R142">
        <v>0</v>
      </c>
      <c r="S142">
        <v>0</v>
      </c>
    </row>
    <row r="143" spans="2:19" ht="60" customHeight="1" x14ac:dyDescent="0.25">
      <c r="B143" t="s">
        <v>2809</v>
      </c>
      <c r="C143" t="s">
        <v>2810</v>
      </c>
      <c r="D143" s="11">
        <v>14.22</v>
      </c>
      <c r="E143" t="s">
        <v>1815</v>
      </c>
      <c r="F143" t="s">
        <v>3044</v>
      </c>
      <c r="G143" t="s">
        <v>1813</v>
      </c>
      <c r="H143" s="11"/>
      <c r="I143" s="13">
        <f>H143*(1-IFERROR(VLOOKUP(G143,Rabat!$C$9:$D$43,2,0),0))</f>
        <v>0</v>
      </c>
      <c r="K143" s="12" t="str">
        <f>HYPERLINK("https://b2b.kobi.pl/pl/product/9089,lampa-nil-3487?currency=PLN")</f>
        <v>https://b2b.kobi.pl/pl/product/9089,lampa-nil-3487?currency=PLN</v>
      </c>
      <c r="L143" t="s">
        <v>14</v>
      </c>
      <c r="M143" t="s">
        <v>2602</v>
      </c>
      <c r="N143">
        <v>0</v>
      </c>
      <c r="O143">
        <v>0.31</v>
      </c>
      <c r="P143">
        <v>0.34100000000000003</v>
      </c>
      <c r="Q143">
        <v>0</v>
      </c>
      <c r="R143">
        <v>0</v>
      </c>
      <c r="S143">
        <v>0</v>
      </c>
    </row>
    <row r="144" spans="2:19" ht="60" customHeight="1" x14ac:dyDescent="0.25">
      <c r="B144" t="s">
        <v>2858</v>
      </c>
      <c r="C144" t="s">
        <v>2859</v>
      </c>
      <c r="D144" s="11">
        <v>8</v>
      </c>
      <c r="E144" t="s">
        <v>1815</v>
      </c>
      <c r="F144" t="s">
        <v>3069</v>
      </c>
      <c r="G144" t="s">
        <v>1813</v>
      </c>
      <c r="H144" s="11"/>
      <c r="I144" s="13">
        <f>H144*(1-IFERROR(VLOOKUP(G144,Rabat!$C$9:$D$43,2,0),0))</f>
        <v>0</v>
      </c>
      <c r="K144" s="12" t="str">
        <f>HYPERLINK("https://b2b.kobi.pl/pl/product/9093,lampa-wiszaca-kos-3638?currency=PLN")</f>
        <v>https://b2b.kobi.pl/pl/product/9093,lampa-wiszaca-kos-3638?currency=PLN</v>
      </c>
      <c r="L144" t="s">
        <v>14</v>
      </c>
      <c r="M144" t="s">
        <v>2602</v>
      </c>
      <c r="N144">
        <v>0</v>
      </c>
      <c r="O144">
        <v>0.31</v>
      </c>
      <c r="P144">
        <v>0.34100000000000003</v>
      </c>
      <c r="Q144">
        <v>0</v>
      </c>
      <c r="R144">
        <v>0</v>
      </c>
      <c r="S144">
        <v>0</v>
      </c>
    </row>
    <row r="145" spans="2:19" ht="60" customHeight="1" x14ac:dyDescent="0.25">
      <c r="B145" t="s">
        <v>2860</v>
      </c>
      <c r="C145" t="s">
        <v>2861</v>
      </c>
      <c r="D145" s="11">
        <v>8</v>
      </c>
      <c r="E145" t="s">
        <v>1815</v>
      </c>
      <c r="F145" t="s">
        <v>3070</v>
      </c>
      <c r="G145" t="s">
        <v>1813</v>
      </c>
      <c r="H145" s="11"/>
      <c r="I145" s="13">
        <f>H145*(1-IFERROR(VLOOKUP(G145,Rabat!$C$9:$D$43,2,0),0))</f>
        <v>0</v>
      </c>
      <c r="K145" s="12" t="str">
        <f>HYPERLINK("https://b2b.kobi.pl/pl/product/9094,lampa-wiszaca-kos-3640?currency=PLN")</f>
        <v>https://b2b.kobi.pl/pl/product/9094,lampa-wiszaca-kos-3640?currency=PLN</v>
      </c>
      <c r="L145" t="s">
        <v>14</v>
      </c>
      <c r="M145" t="s">
        <v>2602</v>
      </c>
      <c r="N145">
        <v>0</v>
      </c>
      <c r="O145">
        <v>0.31</v>
      </c>
      <c r="P145">
        <v>0.34100000000000003</v>
      </c>
      <c r="Q145">
        <v>0</v>
      </c>
      <c r="R145">
        <v>0</v>
      </c>
      <c r="S145">
        <v>0</v>
      </c>
    </row>
    <row r="146" spans="2:19" ht="60" customHeight="1" x14ac:dyDescent="0.25">
      <c r="B146" t="s">
        <v>2813</v>
      </c>
      <c r="C146" t="s">
        <v>2814</v>
      </c>
      <c r="D146" s="11">
        <v>15</v>
      </c>
      <c r="E146" t="s">
        <v>1815</v>
      </c>
      <c r="F146" t="s">
        <v>3046</v>
      </c>
      <c r="G146" t="s">
        <v>1813</v>
      </c>
      <c r="H146" s="11"/>
      <c r="I146" s="13">
        <f>H146*(1-IFERROR(VLOOKUP(G146,Rabat!$C$9:$D$43,2,0),0))</f>
        <v>0</v>
      </c>
      <c r="K146" s="12" t="str">
        <f>HYPERLINK("https://b2b.kobi.pl/pl/product/9096,lampa-wiszaca-belize-3715?currency=PLN")</f>
        <v>https://b2b.kobi.pl/pl/product/9096,lampa-wiszaca-belize-3715?currency=PLN</v>
      </c>
      <c r="L146" t="s">
        <v>14</v>
      </c>
      <c r="M146" t="s">
        <v>2602</v>
      </c>
      <c r="N146">
        <v>0</v>
      </c>
      <c r="O146">
        <v>0.31</v>
      </c>
      <c r="P146">
        <v>0.34100000000000003</v>
      </c>
      <c r="Q146">
        <v>0</v>
      </c>
      <c r="R146">
        <v>0</v>
      </c>
      <c r="S146">
        <v>0</v>
      </c>
    </row>
    <row r="147" spans="2:19" ht="60" customHeight="1" x14ac:dyDescent="0.25">
      <c r="B147" t="s">
        <v>2874</v>
      </c>
      <c r="C147" t="s">
        <v>2875</v>
      </c>
      <c r="D147" s="11">
        <v>22.4</v>
      </c>
      <c r="E147" t="s">
        <v>1815</v>
      </c>
      <c r="F147" t="s">
        <v>3077</v>
      </c>
      <c r="G147" t="s">
        <v>1813</v>
      </c>
      <c r="H147" s="11"/>
      <c r="I147" s="13">
        <f>H147*(1-IFERROR(VLOOKUP(G147,Rabat!$C$9:$D$43,2,0),0))</f>
        <v>0</v>
      </c>
      <c r="K147" s="12" t="str">
        <f>HYPERLINK("https://b2b.kobi.pl/pl/product/9099,lampa-wiszaca-polaris-3819?currency=PLN")</f>
        <v>https://b2b.kobi.pl/pl/product/9099,lampa-wiszaca-polaris-3819?currency=PLN</v>
      </c>
      <c r="L147" t="s">
        <v>14</v>
      </c>
      <c r="M147" t="s">
        <v>2602</v>
      </c>
      <c r="N147">
        <v>0</v>
      </c>
      <c r="O147">
        <v>0.31</v>
      </c>
      <c r="P147">
        <v>0.34100000000000003</v>
      </c>
      <c r="Q147">
        <v>0</v>
      </c>
      <c r="R147">
        <v>0</v>
      </c>
      <c r="S147">
        <v>0</v>
      </c>
    </row>
    <row r="148" spans="2:19" ht="60" customHeight="1" x14ac:dyDescent="0.25">
      <c r="B148" t="s">
        <v>4298</v>
      </c>
      <c r="C148" t="s">
        <v>2846</v>
      </c>
      <c r="D148" s="11">
        <v>16.43</v>
      </c>
      <c r="E148" t="s">
        <v>1815</v>
      </c>
      <c r="F148" t="s">
        <v>3062</v>
      </c>
      <c r="G148" t="s">
        <v>1813</v>
      </c>
      <c r="H148" s="11"/>
      <c r="I148" s="13">
        <f>H148*(1-IFERROR(VLOOKUP(G148,Rabat!$C$9:$D$43,2,0),0))</f>
        <v>0</v>
      </c>
      <c r="K148" s="12" t="str">
        <f>HYPERLINK("https://b2b.kobi.pl/pl/product/9109,lampa-wiszaca-evora-585?currency=PLN")</f>
        <v>https://b2b.kobi.pl/pl/product/9109,lampa-wiszaca-evora-585?currency=PLN</v>
      </c>
      <c r="L148" t="s">
        <v>14</v>
      </c>
      <c r="M148" t="s">
        <v>2602</v>
      </c>
      <c r="N148">
        <v>0</v>
      </c>
      <c r="O148">
        <v>0.31</v>
      </c>
      <c r="P148">
        <v>0.34100000000000003</v>
      </c>
      <c r="Q148">
        <v>0</v>
      </c>
      <c r="R148">
        <v>0</v>
      </c>
      <c r="S148">
        <v>0</v>
      </c>
    </row>
    <row r="149" spans="2:19" ht="60" customHeight="1" x14ac:dyDescent="0.25">
      <c r="B149" t="s">
        <v>2845</v>
      </c>
      <c r="C149" t="s">
        <v>2847</v>
      </c>
      <c r="D149" s="11">
        <v>22.4</v>
      </c>
      <c r="E149" t="s">
        <v>1815</v>
      </c>
      <c r="F149" t="s">
        <v>3063</v>
      </c>
      <c r="G149" t="s">
        <v>1813</v>
      </c>
      <c r="H149" s="11"/>
      <c r="I149" s="13">
        <f>H149*(1-IFERROR(VLOOKUP(G149,Rabat!$C$9:$D$43,2,0),0))</f>
        <v>0</v>
      </c>
      <c r="K149" s="12" t="str">
        <f>HYPERLINK("https://b2b.kobi.pl/pl/product/9111,lampa-wiszaca-evora-585?currency=PLN")</f>
        <v>https://b2b.kobi.pl/pl/product/9111,lampa-wiszaca-evora-585?currency=PLN</v>
      </c>
      <c r="L149" t="s">
        <v>14</v>
      </c>
      <c r="M149" t="s">
        <v>2602</v>
      </c>
      <c r="N149">
        <v>0</v>
      </c>
      <c r="O149">
        <v>0.31</v>
      </c>
      <c r="P149">
        <v>0.34100000000000003</v>
      </c>
      <c r="Q149">
        <v>0</v>
      </c>
      <c r="R149">
        <v>0</v>
      </c>
      <c r="S149">
        <v>0</v>
      </c>
    </row>
    <row r="150" spans="2:19" ht="60" customHeight="1" x14ac:dyDescent="0.25">
      <c r="B150" t="s">
        <v>2823</v>
      </c>
      <c r="C150" t="s">
        <v>2824</v>
      </c>
      <c r="D150" s="11">
        <v>19</v>
      </c>
      <c r="E150" t="s">
        <v>1815</v>
      </c>
      <c r="F150" t="s">
        <v>3051</v>
      </c>
      <c r="G150" t="s">
        <v>1813</v>
      </c>
      <c r="H150" s="11"/>
      <c r="I150" s="13">
        <f>H150*(1-IFERROR(VLOOKUP(G150,Rabat!$C$9:$D$43,2,0),0))</f>
        <v>0</v>
      </c>
      <c r="K150" s="12" t="str">
        <f>HYPERLINK("https://b2b.kobi.pl/pl/product/9139,lampa-nil-782?currency=PLN")</f>
        <v>https://b2b.kobi.pl/pl/product/9139,lampa-nil-782?currency=PLN</v>
      </c>
      <c r="L150" t="s">
        <v>14</v>
      </c>
      <c r="M150" t="s">
        <v>2602</v>
      </c>
      <c r="N150">
        <v>0</v>
      </c>
      <c r="O150">
        <v>0.31</v>
      </c>
      <c r="P150">
        <v>0.34100000000000003</v>
      </c>
      <c r="Q150">
        <v>0</v>
      </c>
      <c r="R150">
        <v>0</v>
      </c>
      <c r="S150">
        <v>0</v>
      </c>
    </row>
    <row r="151" spans="2:19" ht="60" customHeight="1" x14ac:dyDescent="0.25">
      <c r="B151" t="s">
        <v>2815</v>
      </c>
      <c r="C151" t="s">
        <v>2816</v>
      </c>
      <c r="D151" s="11">
        <v>37.33</v>
      </c>
      <c r="E151" t="s">
        <v>1815</v>
      </c>
      <c r="F151" t="s">
        <v>3047</v>
      </c>
      <c r="G151" t="s">
        <v>1813</v>
      </c>
      <c r="H151" s="11"/>
      <c r="I151" s="13">
        <f>H151*(1-IFERROR(VLOOKUP(G151,Rabat!$C$9:$D$43,2,0),0))</f>
        <v>0</v>
      </c>
      <c r="K151" s="12" t="str">
        <f>HYPERLINK("https://b2b.kobi.pl/pl/product/9140,lampa-polaris-814?currency=PLN")</f>
        <v>https://b2b.kobi.pl/pl/product/9140,lampa-polaris-814?currency=PLN</v>
      </c>
      <c r="L151" t="s">
        <v>14</v>
      </c>
      <c r="M151" t="s">
        <v>2602</v>
      </c>
      <c r="N151">
        <v>0</v>
      </c>
      <c r="O151">
        <v>0.31</v>
      </c>
      <c r="P151">
        <v>0.34100000000000003</v>
      </c>
      <c r="Q151">
        <v>0</v>
      </c>
      <c r="R151">
        <v>0</v>
      </c>
      <c r="S151">
        <v>0</v>
      </c>
    </row>
    <row r="152" spans="2:19" ht="60" customHeight="1" x14ac:dyDescent="0.25">
      <c r="B152" t="s">
        <v>2943</v>
      </c>
      <c r="C152" t="s">
        <v>2944</v>
      </c>
      <c r="D152" s="11">
        <v>13.44</v>
      </c>
      <c r="E152" t="s">
        <v>1815</v>
      </c>
      <c r="F152" t="s">
        <v>3118</v>
      </c>
      <c r="G152" t="s">
        <v>1813</v>
      </c>
      <c r="H152" s="11"/>
      <c r="I152" s="13">
        <f>H152*(1-IFERROR(VLOOKUP(G152,Rabat!$C$9:$D$43,2,0),0))</f>
        <v>0</v>
      </c>
      <c r="K152" s="12" t="str">
        <f>HYPERLINK("https://b2b.kobi.pl/pl/product/9074,oprawa-tyber3-3089?currency=PLN")</f>
        <v>https://b2b.kobi.pl/pl/product/9074,oprawa-tyber3-3089?currency=PLN</v>
      </c>
      <c r="L152" t="s">
        <v>14</v>
      </c>
      <c r="M152" t="s">
        <v>2602</v>
      </c>
      <c r="N152">
        <v>0</v>
      </c>
      <c r="O152">
        <v>0.31</v>
      </c>
      <c r="P152">
        <v>0.34100000000000003</v>
      </c>
      <c r="Q152">
        <v>0</v>
      </c>
      <c r="R152">
        <v>0</v>
      </c>
      <c r="S152">
        <v>0</v>
      </c>
    </row>
    <row r="153" spans="2:19" ht="60" customHeight="1" x14ac:dyDescent="0.25">
      <c r="B153" t="s">
        <v>2856</v>
      </c>
      <c r="C153" t="s">
        <v>2857</v>
      </c>
      <c r="D153" s="11">
        <v>41.82</v>
      </c>
      <c r="E153" t="s">
        <v>1815</v>
      </c>
      <c r="F153" t="s">
        <v>3068</v>
      </c>
      <c r="G153" t="s">
        <v>1813</v>
      </c>
      <c r="H153" s="11"/>
      <c r="I153" s="13">
        <f>H153*(1-IFERROR(VLOOKUP(G153,Rabat!$C$9:$D$43,2,0),0))</f>
        <v>0</v>
      </c>
      <c r="K153" s="12" t="str">
        <f>HYPERLINK("https://b2b.kobi.pl/pl/product/9044,lampa-wiszaca-kos-1270?currency=PLN")</f>
        <v>https://b2b.kobi.pl/pl/product/9044,lampa-wiszaca-kos-1270?currency=PLN</v>
      </c>
      <c r="L153" t="s">
        <v>14</v>
      </c>
      <c r="M153" t="s">
        <v>2602</v>
      </c>
      <c r="N153">
        <v>0</v>
      </c>
      <c r="O153">
        <v>0.31</v>
      </c>
      <c r="P153">
        <v>0.34100000000000003</v>
      </c>
      <c r="Q153">
        <v>0</v>
      </c>
      <c r="R153">
        <v>0</v>
      </c>
      <c r="S153">
        <v>0</v>
      </c>
    </row>
    <row r="154" spans="2:19" ht="60" customHeight="1" x14ac:dyDescent="0.25">
      <c r="B154" t="s">
        <v>2819</v>
      </c>
      <c r="C154" t="s">
        <v>2820</v>
      </c>
      <c r="D154" s="11">
        <v>5</v>
      </c>
      <c r="E154" t="s">
        <v>1815</v>
      </c>
      <c r="F154" t="s">
        <v>3049</v>
      </c>
      <c r="G154" t="s">
        <v>1813</v>
      </c>
      <c r="H154" s="11"/>
      <c r="I154" s="13">
        <f>H154*(1-IFERROR(VLOOKUP(G154,Rabat!$C$9:$D$43,2,0),0))</f>
        <v>0</v>
      </c>
      <c r="K154" s="12" t="str">
        <f>HYPERLINK("https://b2b.kobi.pl/pl/product/9085,lampa-nil-3636?currency=PLN")</f>
        <v>https://b2b.kobi.pl/pl/product/9085,lampa-nil-3636?currency=PLN</v>
      </c>
      <c r="L154" t="s">
        <v>14</v>
      </c>
      <c r="M154" t="s">
        <v>2602</v>
      </c>
      <c r="N154">
        <v>0</v>
      </c>
      <c r="O154">
        <v>0.31</v>
      </c>
      <c r="P154">
        <v>0.34100000000000003</v>
      </c>
      <c r="Q154">
        <v>0</v>
      </c>
      <c r="R154">
        <v>0</v>
      </c>
      <c r="S154">
        <v>0</v>
      </c>
    </row>
    <row r="155" spans="2:19" ht="60" customHeight="1" x14ac:dyDescent="0.25">
      <c r="B155" t="s">
        <v>2862</v>
      </c>
      <c r="C155" t="s">
        <v>2863</v>
      </c>
      <c r="D155" s="11">
        <v>37.4</v>
      </c>
      <c r="F155" t="s">
        <v>3071</v>
      </c>
      <c r="G155" t="s">
        <v>1813</v>
      </c>
      <c r="H155" s="11"/>
      <c r="I155" s="13">
        <f>H155*(1-IFERROR(VLOOKUP(G155,Rabat!$C$9:$D$43,2,0),0))</f>
        <v>0</v>
      </c>
      <c r="K155" s="12" t="str">
        <f>HYPERLINK("https://b2b.kobi.pl/pl/product/9092,lampa-wiszaca-kreta-3627?currency=PLN")</f>
        <v>https://b2b.kobi.pl/pl/product/9092,lampa-wiszaca-kreta-3627?currency=PLN</v>
      </c>
      <c r="L155" t="s">
        <v>14</v>
      </c>
      <c r="M155" t="s">
        <v>2602</v>
      </c>
      <c r="N155">
        <v>0</v>
      </c>
      <c r="O155">
        <v>0.31</v>
      </c>
      <c r="P155">
        <v>0.34100000000000003</v>
      </c>
      <c r="Q155">
        <v>0</v>
      </c>
      <c r="R155">
        <v>0</v>
      </c>
      <c r="S155">
        <v>0</v>
      </c>
    </row>
    <row r="156" spans="2:19" ht="60" customHeight="1" x14ac:dyDescent="0.25">
      <c r="B156" t="s">
        <v>2801</v>
      </c>
      <c r="C156" t="s">
        <v>2802</v>
      </c>
      <c r="D156" s="11">
        <v>15</v>
      </c>
      <c r="F156" t="s">
        <v>3040</v>
      </c>
      <c r="G156" t="s">
        <v>1813</v>
      </c>
      <c r="H156" s="11"/>
      <c r="I156" s="13">
        <f>H156*(1-IFERROR(VLOOKUP(G156,Rabat!$C$9:$D$43,2,0),0))</f>
        <v>0</v>
      </c>
      <c r="K156" s="12" t="str">
        <f>HYPERLINK("https://b2b.kobi.pl/pl/product/9101,lampa-wiszaca-arizona-3828?currency=PLN")</f>
        <v>https://b2b.kobi.pl/pl/product/9101,lampa-wiszaca-arizona-3828?currency=PLN</v>
      </c>
      <c r="L156" t="s">
        <v>14</v>
      </c>
      <c r="M156" t="s">
        <v>2602</v>
      </c>
      <c r="N156">
        <v>0</v>
      </c>
      <c r="O156">
        <v>0.31</v>
      </c>
      <c r="P156">
        <v>0.34100000000000003</v>
      </c>
      <c r="Q156">
        <v>0</v>
      </c>
      <c r="R156">
        <v>0</v>
      </c>
      <c r="S156">
        <v>0</v>
      </c>
    </row>
    <row r="157" spans="2:19" ht="60" customHeight="1" x14ac:dyDescent="0.25">
      <c r="B157" t="s">
        <v>2803</v>
      </c>
      <c r="C157" t="s">
        <v>2804</v>
      </c>
      <c r="D157" s="11">
        <v>20.91</v>
      </c>
      <c r="F157" t="s">
        <v>3041</v>
      </c>
      <c r="G157" t="s">
        <v>1813</v>
      </c>
      <c r="H157" s="11"/>
      <c r="I157" s="13">
        <f>H157*(1-IFERROR(VLOOKUP(G157,Rabat!$C$9:$D$43,2,0),0))</f>
        <v>0</v>
      </c>
      <c r="K157" s="12" t="str">
        <f>HYPERLINK("https://b2b.kobi.pl/pl/product/9090,lampa-malmo-3528?currency=PLN")</f>
        <v>https://b2b.kobi.pl/pl/product/9090,lampa-malmo-3528?currency=PLN</v>
      </c>
      <c r="L157" t="s">
        <v>14</v>
      </c>
      <c r="M157" t="s">
        <v>2602</v>
      </c>
      <c r="N157">
        <v>0</v>
      </c>
      <c r="O157">
        <v>0.31</v>
      </c>
      <c r="P157">
        <v>0.34100000000000003</v>
      </c>
      <c r="Q157">
        <v>0</v>
      </c>
      <c r="R157">
        <v>0</v>
      </c>
      <c r="S157">
        <v>0</v>
      </c>
    </row>
    <row r="158" spans="2:19" ht="60" customHeight="1" x14ac:dyDescent="0.25">
      <c r="B158" t="s">
        <v>2805</v>
      </c>
      <c r="C158" t="s">
        <v>2806</v>
      </c>
      <c r="D158" s="11">
        <v>28.38</v>
      </c>
      <c r="F158" t="s">
        <v>3042</v>
      </c>
      <c r="G158" t="s">
        <v>1813</v>
      </c>
      <c r="H158" s="11"/>
      <c r="I158" s="13">
        <f>H158*(1-IFERROR(VLOOKUP(G158,Rabat!$C$9:$D$43,2,0),0))</f>
        <v>0</v>
      </c>
      <c r="K158" s="12" t="str">
        <f>HYPERLINK("https://b2b.kobi.pl/pl/product/9138,lampa-malmo-753?currency=PLN")</f>
        <v>https://b2b.kobi.pl/pl/product/9138,lampa-malmo-753?currency=PLN</v>
      </c>
      <c r="L158" t="s">
        <v>14</v>
      </c>
      <c r="M158" t="s">
        <v>2602</v>
      </c>
      <c r="N158">
        <v>0</v>
      </c>
      <c r="O158">
        <v>0.31</v>
      </c>
      <c r="P158">
        <v>0.34100000000000003</v>
      </c>
      <c r="Q158">
        <v>0</v>
      </c>
      <c r="R158">
        <v>0</v>
      </c>
      <c r="S158">
        <v>0</v>
      </c>
    </row>
    <row r="159" spans="2:19" ht="60" customHeight="1" x14ac:dyDescent="0.25">
      <c r="B159" t="s">
        <v>3021</v>
      </c>
      <c r="C159" t="s">
        <v>3022</v>
      </c>
      <c r="D159" s="11">
        <v>26.48</v>
      </c>
      <c r="F159" t="s">
        <v>3159</v>
      </c>
      <c r="G159" t="s">
        <v>1813</v>
      </c>
      <c r="H159" s="11"/>
      <c r="I159" s="13">
        <f>H159*(1-IFERROR(VLOOKUP(G159,Rabat!$C$9:$D$43,2,0),0))</f>
        <v>0</v>
      </c>
      <c r="K159" s="12" t="str">
        <f>HYPERLINK("https://b2b.kobi.pl/pl/product/9224,zwis-qr111-azzaano-g53-3x50w-ral9006-sr?currency=PLN")</f>
        <v>https://b2b.kobi.pl/pl/product/9224,zwis-qr111-azzaano-g53-3x50w-ral9006-sr?currency=PLN</v>
      </c>
      <c r="L159" t="s">
        <v>14</v>
      </c>
      <c r="M159" t="s">
        <v>2602</v>
      </c>
      <c r="N159">
        <v>0</v>
      </c>
      <c r="O159">
        <v>0.31</v>
      </c>
      <c r="P159">
        <v>0.34100000000000003</v>
      </c>
      <c r="Q159">
        <v>0</v>
      </c>
      <c r="R159">
        <v>0</v>
      </c>
      <c r="S159">
        <v>0</v>
      </c>
    </row>
    <row r="160" spans="2:19" ht="60" customHeight="1" x14ac:dyDescent="0.25">
      <c r="B160" t="s">
        <v>2825</v>
      </c>
      <c r="C160" t="s">
        <v>2826</v>
      </c>
      <c r="D160" s="11">
        <v>23.31</v>
      </c>
      <c r="F160" t="s">
        <v>3052</v>
      </c>
      <c r="G160" t="s">
        <v>1813</v>
      </c>
      <c r="H160" s="11"/>
      <c r="I160" s="13">
        <f>H160*(1-IFERROR(VLOOKUP(G160,Rabat!$C$9:$D$43,2,0),0))</f>
        <v>0</v>
      </c>
      <c r="K160" s="12" t="str">
        <f>HYPERLINK("https://b2b.kobi.pl/pl/product/9079,lampa-hongkong-m-bialy?currency=PLN")</f>
        <v>https://b2b.kobi.pl/pl/product/9079,lampa-hongkong-m-bialy?currency=PLN</v>
      </c>
      <c r="L160" t="s">
        <v>14</v>
      </c>
      <c r="M160" t="s">
        <v>2602</v>
      </c>
      <c r="N160">
        <v>0</v>
      </c>
      <c r="O160">
        <v>1.5</v>
      </c>
      <c r="P160">
        <v>1.65</v>
      </c>
      <c r="Q160">
        <v>0</v>
      </c>
      <c r="R160">
        <v>0</v>
      </c>
      <c r="S160">
        <v>0</v>
      </c>
    </row>
    <row r="161" spans="2:19" ht="60" customHeight="1" x14ac:dyDescent="0.25">
      <c r="B161" t="s">
        <v>2827</v>
      </c>
      <c r="C161" t="s">
        <v>2828</v>
      </c>
      <c r="D161" s="11">
        <v>17.47</v>
      </c>
      <c r="E161" t="s">
        <v>1815</v>
      </c>
      <c r="F161" t="s">
        <v>3053</v>
      </c>
      <c r="G161" t="s">
        <v>1813</v>
      </c>
      <c r="H161" s="11"/>
      <c r="I161" s="13">
        <f>H161*(1-IFERROR(VLOOKUP(G161,Rabat!$C$9:$D$43,2,0),0))</f>
        <v>0</v>
      </c>
      <c r="K161" s="12" t="str">
        <f>HYPERLINK("https://b2b.kobi.pl/pl/product/9082,lampa-como-a-m-bialy?currency=PLN")</f>
        <v>https://b2b.kobi.pl/pl/product/9082,lampa-como-a-m-bialy?currency=PLN</v>
      </c>
      <c r="L161" t="s">
        <v>14</v>
      </c>
      <c r="M161" t="s">
        <v>2602</v>
      </c>
      <c r="N161">
        <v>0</v>
      </c>
      <c r="O161">
        <v>0.8</v>
      </c>
      <c r="P161">
        <v>0.88</v>
      </c>
      <c r="Q161">
        <v>0</v>
      </c>
      <c r="R161">
        <v>0</v>
      </c>
      <c r="S161">
        <v>0</v>
      </c>
    </row>
    <row r="162" spans="2:19" ht="60" customHeight="1" x14ac:dyDescent="0.25">
      <c r="B162" t="s">
        <v>3674</v>
      </c>
      <c r="C162" t="s">
        <v>3675</v>
      </c>
      <c r="D162" s="11">
        <v>53.9</v>
      </c>
      <c r="E162" t="s">
        <v>1815</v>
      </c>
      <c r="F162" t="s">
        <v>3676</v>
      </c>
      <c r="G162" t="s">
        <v>1813</v>
      </c>
      <c r="H162" s="11"/>
      <c r="I162" s="13">
        <f>H162*(1-IFERROR(VLOOKUP(G162,Rabat!$C$9:$D$43,2,0),0))</f>
        <v>0</v>
      </c>
      <c r="J162" t="s">
        <v>1818</v>
      </c>
      <c r="K162" s="12" t="str">
        <f>HYPERLINK("https://b2b.kobi.pl/pl/product/13571,zestaw-crete-girlanda-ogrodowa-5m-kabel-5m-5x-klosz-m1?currency=PLN")</f>
        <v>https://b2b.kobi.pl/pl/product/13571,zestaw-crete-girlanda-ogrodowa-5m-kabel-5m-5x-klosz-m1?currency=PLN</v>
      </c>
      <c r="L162" t="s">
        <v>14</v>
      </c>
      <c r="N162">
        <v>0</v>
      </c>
      <c r="O162">
        <v>1.99</v>
      </c>
      <c r="P162">
        <v>2.83</v>
      </c>
      <c r="Q162">
        <v>0</v>
      </c>
      <c r="R162">
        <v>0</v>
      </c>
      <c r="S162">
        <v>0</v>
      </c>
    </row>
    <row r="163" spans="2:19" ht="60" customHeight="1" x14ac:dyDescent="0.25">
      <c r="B163" t="s">
        <v>3677</v>
      </c>
      <c r="C163" t="s">
        <v>3678</v>
      </c>
      <c r="D163" s="11">
        <v>52.35</v>
      </c>
      <c r="E163" t="s">
        <v>1815</v>
      </c>
      <c r="F163" t="s">
        <v>3679</v>
      </c>
      <c r="G163" t="s">
        <v>1813</v>
      </c>
      <c r="H163" s="11"/>
      <c r="I163" s="13">
        <f>H163*(1-IFERROR(VLOOKUP(G163,Rabat!$C$9:$D$43,2,0),0))</f>
        <v>0</v>
      </c>
      <c r="J163" t="s">
        <v>1818</v>
      </c>
      <c r="K163" s="12" t="str">
        <f>HYPERLINK("https://b2b.kobi.pl/pl/product/13572,zestaw-crete-girlanda-ogrodowa-5m-kabel-5m-5x-klosz-m2?currency=PLN")</f>
        <v>https://b2b.kobi.pl/pl/product/13572,zestaw-crete-girlanda-ogrodowa-5m-kabel-5m-5x-klosz-m2?currency=PLN</v>
      </c>
      <c r="L163" t="s">
        <v>14</v>
      </c>
      <c r="N163">
        <v>0</v>
      </c>
      <c r="O163">
        <v>1.99</v>
      </c>
      <c r="P163">
        <v>2.83</v>
      </c>
      <c r="Q163">
        <v>0</v>
      </c>
      <c r="R163">
        <v>0</v>
      </c>
      <c r="S163">
        <v>0</v>
      </c>
    </row>
    <row r="164" spans="2:19" ht="60" customHeight="1" x14ac:dyDescent="0.25">
      <c r="B164" t="s">
        <v>3680</v>
      </c>
      <c r="C164" t="s">
        <v>3681</v>
      </c>
      <c r="D164" s="11">
        <v>56.48</v>
      </c>
      <c r="E164" t="s">
        <v>1815</v>
      </c>
      <c r="F164" t="s">
        <v>3682</v>
      </c>
      <c r="G164" t="s">
        <v>1813</v>
      </c>
      <c r="H164" s="11"/>
      <c r="I164" s="13">
        <f>H164*(1-IFERROR(VLOOKUP(G164,Rabat!$C$9:$D$43,2,0),0))</f>
        <v>0</v>
      </c>
      <c r="J164" t="s">
        <v>1818</v>
      </c>
      <c r="K164" s="12" t="str">
        <f>HYPERLINK("https://b2b.kobi.pl/pl/product/13573,zestaw-crete-girlanda-ogrodowa-5m-kabel-5m-5x-klosz-d1?currency=PLN")</f>
        <v>https://b2b.kobi.pl/pl/product/13573,zestaw-crete-girlanda-ogrodowa-5m-kabel-5m-5x-klosz-d1?currency=PLN</v>
      </c>
      <c r="L164" t="s">
        <v>14</v>
      </c>
      <c r="N164">
        <v>0</v>
      </c>
      <c r="O164">
        <v>1.52</v>
      </c>
      <c r="P164">
        <v>2.33</v>
      </c>
      <c r="Q164">
        <v>0</v>
      </c>
      <c r="R164">
        <v>0</v>
      </c>
      <c r="S164">
        <v>0</v>
      </c>
    </row>
    <row r="165" spans="2:19" ht="60" customHeight="1" x14ac:dyDescent="0.25">
      <c r="B165" t="s">
        <v>3710</v>
      </c>
      <c r="C165" t="s">
        <v>3711</v>
      </c>
      <c r="D165" s="11">
        <v>62.14</v>
      </c>
      <c r="E165" t="s">
        <v>1815</v>
      </c>
      <c r="F165" t="s">
        <v>3712</v>
      </c>
      <c r="G165" t="s">
        <v>1813</v>
      </c>
      <c r="H165" s="11"/>
      <c r="I165" s="13">
        <f>H165*(1-IFERROR(VLOOKUP(G165,Rabat!$C$9:$D$43,2,0),0))</f>
        <v>0</v>
      </c>
      <c r="J165" t="s">
        <v>1818</v>
      </c>
      <c r="K165" s="12" t="str">
        <f>HYPERLINK("https://b2b.kobi.pl/pl/product/13587,zestaw-crete-girlanda-ogrodowa-5m-kabel-10m-5x-klosz-m1?currency=PLN")</f>
        <v>https://b2b.kobi.pl/pl/product/13587,zestaw-crete-girlanda-ogrodowa-5m-kabel-10m-5x-klosz-m1?currency=PLN</v>
      </c>
      <c r="L165" t="s">
        <v>14</v>
      </c>
      <c r="N165">
        <v>0</v>
      </c>
      <c r="O165">
        <v>2.33</v>
      </c>
      <c r="P165">
        <v>3.24</v>
      </c>
      <c r="Q165">
        <v>0</v>
      </c>
      <c r="R165">
        <v>0</v>
      </c>
      <c r="S165">
        <v>0</v>
      </c>
    </row>
    <row r="166" spans="2:19" ht="60" customHeight="1" x14ac:dyDescent="0.25">
      <c r="B166" t="s">
        <v>3713</v>
      </c>
      <c r="C166" t="s">
        <v>3714</v>
      </c>
      <c r="D166" s="11">
        <v>60.59</v>
      </c>
      <c r="E166" t="s">
        <v>1815</v>
      </c>
      <c r="F166" t="s">
        <v>3715</v>
      </c>
      <c r="G166" t="s">
        <v>1813</v>
      </c>
      <c r="H166" s="11"/>
      <c r="I166" s="13">
        <f>H166*(1-IFERROR(VLOOKUP(G166,Rabat!$C$9:$D$43,2,0),0))</f>
        <v>0</v>
      </c>
      <c r="J166" t="s">
        <v>1818</v>
      </c>
      <c r="K166" s="12" t="str">
        <f>HYPERLINK("https://b2b.kobi.pl/pl/product/13588,zestaw-crete-girlanda-ogrodowa-5m-kabel-10m-5x-klosz-m2?currency=PLN")</f>
        <v>https://b2b.kobi.pl/pl/product/13588,zestaw-crete-girlanda-ogrodowa-5m-kabel-10m-5x-klosz-m2?currency=PLN</v>
      </c>
      <c r="L166" t="s">
        <v>14</v>
      </c>
      <c r="N166">
        <v>0</v>
      </c>
      <c r="O166">
        <v>2.33</v>
      </c>
      <c r="P166">
        <v>3.24</v>
      </c>
      <c r="Q166">
        <v>0</v>
      </c>
      <c r="R166">
        <v>0</v>
      </c>
      <c r="S166">
        <v>0</v>
      </c>
    </row>
    <row r="167" spans="2:19" ht="60" customHeight="1" x14ac:dyDescent="0.25">
      <c r="B167" t="s">
        <v>3716</v>
      </c>
      <c r="C167" t="s">
        <v>3717</v>
      </c>
      <c r="D167" s="11">
        <v>105.84</v>
      </c>
      <c r="E167" t="s">
        <v>1815</v>
      </c>
      <c r="F167" t="s">
        <v>3718</v>
      </c>
      <c r="G167" t="s">
        <v>1813</v>
      </c>
      <c r="H167" s="11"/>
      <c r="I167" s="13">
        <f>H167*(1-IFERROR(VLOOKUP(G167,Rabat!$C$9:$D$43,2,0),0))</f>
        <v>0</v>
      </c>
      <c r="J167" t="s">
        <v>1818</v>
      </c>
      <c r="K167" s="12" t="str">
        <f>HYPERLINK("https://b2b.kobi.pl/pl/product/13589,zestaw-crete-girlanda-ogrodowa-10m-kabel-10m-10x-klosz-m1?currency=PLN")</f>
        <v>https://b2b.kobi.pl/pl/product/13589,zestaw-crete-girlanda-ogrodowa-10m-kabel-10m-10x-klosz-m1?currency=PLN</v>
      </c>
      <c r="L167" t="s">
        <v>14</v>
      </c>
      <c r="N167">
        <v>0</v>
      </c>
      <c r="O167">
        <v>3.88</v>
      </c>
      <c r="P167">
        <v>5.14</v>
      </c>
      <c r="Q167">
        <v>0</v>
      </c>
      <c r="R167">
        <v>0</v>
      </c>
      <c r="S167">
        <v>0</v>
      </c>
    </row>
    <row r="168" spans="2:19" ht="60" customHeight="1" x14ac:dyDescent="0.25">
      <c r="B168" t="s">
        <v>3719</v>
      </c>
      <c r="C168" t="s">
        <v>3720</v>
      </c>
      <c r="D168" s="11">
        <v>102.74</v>
      </c>
      <c r="E168" t="s">
        <v>1815</v>
      </c>
      <c r="F168" t="s">
        <v>3721</v>
      </c>
      <c r="G168" t="s">
        <v>1813</v>
      </c>
      <c r="H168" s="11"/>
      <c r="I168" s="13">
        <f>H168*(1-IFERROR(VLOOKUP(G168,Rabat!$C$9:$D$43,2,0),0))</f>
        <v>0</v>
      </c>
      <c r="J168" t="s">
        <v>1818</v>
      </c>
      <c r="K168" s="12" t="str">
        <f>HYPERLINK("https://b2b.kobi.pl/pl/product/13590,zestaw-crete-girlanda-ogrodowa-10m-kabel-10m-10x-klosz-m2?currency=PLN")</f>
        <v>https://b2b.kobi.pl/pl/product/13590,zestaw-crete-girlanda-ogrodowa-10m-kabel-10m-10x-klosz-m2?currency=PLN</v>
      </c>
      <c r="L168" t="s">
        <v>14</v>
      </c>
      <c r="N168">
        <v>0</v>
      </c>
      <c r="O168">
        <v>3.88</v>
      </c>
      <c r="P168">
        <v>5.14</v>
      </c>
      <c r="Q168">
        <v>0</v>
      </c>
      <c r="R168">
        <v>0</v>
      </c>
      <c r="S168">
        <v>0</v>
      </c>
    </row>
    <row r="169" spans="2:19" ht="60" customHeight="1" x14ac:dyDescent="0.25">
      <c r="B169" t="s">
        <v>3722</v>
      </c>
      <c r="C169" t="s">
        <v>3723</v>
      </c>
      <c r="D169" s="11">
        <v>149.54</v>
      </c>
      <c r="E169" t="s">
        <v>1815</v>
      </c>
      <c r="F169" t="s">
        <v>3724</v>
      </c>
      <c r="G169" t="s">
        <v>1813</v>
      </c>
      <c r="H169" s="11"/>
      <c r="I169" s="13">
        <f>H169*(1-IFERROR(VLOOKUP(G169,Rabat!$C$9:$D$43,2,0),0))</f>
        <v>0</v>
      </c>
      <c r="J169" t="s">
        <v>1818</v>
      </c>
      <c r="K169" s="12" t="str">
        <f>HYPERLINK("https://b2b.kobi.pl/pl/product/13591,zestaw-crete-girlanda-ogrodowa-15m-kabel-10m-15x-klosz-m1?currency=PLN")</f>
        <v>https://b2b.kobi.pl/pl/product/13591,zestaw-crete-girlanda-ogrodowa-15m-kabel-10m-15x-klosz-m1?currency=PLN</v>
      </c>
      <c r="L169" t="s">
        <v>14</v>
      </c>
      <c r="N169">
        <v>0</v>
      </c>
      <c r="O169">
        <v>5.43</v>
      </c>
      <c r="P169">
        <v>7.04</v>
      </c>
      <c r="Q169">
        <v>0</v>
      </c>
      <c r="R169">
        <v>0</v>
      </c>
      <c r="S169">
        <v>0</v>
      </c>
    </row>
    <row r="170" spans="2:19" ht="60" customHeight="1" x14ac:dyDescent="0.25">
      <c r="B170" t="s">
        <v>3725</v>
      </c>
      <c r="C170" t="s">
        <v>3726</v>
      </c>
      <c r="D170" s="11">
        <v>144.88999999999999</v>
      </c>
      <c r="E170" t="s">
        <v>1815</v>
      </c>
      <c r="F170" t="s">
        <v>3727</v>
      </c>
      <c r="G170" t="s">
        <v>1813</v>
      </c>
      <c r="H170" s="11"/>
      <c r="I170" s="13">
        <f>H170*(1-IFERROR(VLOOKUP(G170,Rabat!$C$9:$D$43,2,0),0))</f>
        <v>0</v>
      </c>
      <c r="J170" t="s">
        <v>1818</v>
      </c>
      <c r="K170" s="12" t="str">
        <f>HYPERLINK("https://b2b.kobi.pl/pl/product/13592,zestaw-crete-girlanda-ogrodowa-15m-kabel-10m-15x-klosz-m2?currency=PLN")</f>
        <v>https://b2b.kobi.pl/pl/product/13592,zestaw-crete-girlanda-ogrodowa-15m-kabel-10m-15x-klosz-m2?currency=PLN</v>
      </c>
      <c r="L170" t="s">
        <v>14</v>
      </c>
      <c r="N170">
        <v>0</v>
      </c>
      <c r="O170">
        <v>5.43</v>
      </c>
      <c r="P170">
        <v>7.04</v>
      </c>
      <c r="Q170">
        <v>0</v>
      </c>
      <c r="R170">
        <v>0</v>
      </c>
      <c r="S170">
        <v>0</v>
      </c>
    </row>
    <row r="171" spans="2:19" ht="60" customHeight="1" x14ac:dyDescent="0.25">
      <c r="B171" t="s">
        <v>3731</v>
      </c>
      <c r="C171" t="s">
        <v>3732</v>
      </c>
      <c r="D171" s="11">
        <v>187.04</v>
      </c>
      <c r="E171" t="s">
        <v>1815</v>
      </c>
      <c r="F171" t="s">
        <v>3733</v>
      </c>
      <c r="G171" t="s">
        <v>1813</v>
      </c>
      <c r="H171" s="11"/>
      <c r="I171" s="13">
        <f>H171*(1-IFERROR(VLOOKUP(G171,Rabat!$C$9:$D$43,2,0),0))</f>
        <v>0</v>
      </c>
      <c r="J171" t="s">
        <v>1818</v>
      </c>
      <c r="K171" s="12" t="str">
        <f>HYPERLINK("https://b2b.kobi.pl/pl/product/13594,zestaw-crete-girlanda-ogrodowa-20m-kabel-10m-20x-klosz-m2?currency=PLN")</f>
        <v>https://b2b.kobi.pl/pl/product/13594,zestaw-crete-girlanda-ogrodowa-20m-kabel-10m-20x-klosz-m2?currency=PLN</v>
      </c>
      <c r="L171" t="s">
        <v>14</v>
      </c>
      <c r="N171">
        <v>0</v>
      </c>
      <c r="O171">
        <v>6.98</v>
      </c>
      <c r="P171">
        <v>8.94</v>
      </c>
      <c r="Q171">
        <v>0</v>
      </c>
      <c r="R171">
        <v>0</v>
      </c>
      <c r="S171">
        <v>0</v>
      </c>
    </row>
    <row r="172" spans="2:19" ht="60" customHeight="1" x14ac:dyDescent="0.25">
      <c r="B172" t="s">
        <v>3683</v>
      </c>
      <c r="C172" t="s">
        <v>3684</v>
      </c>
      <c r="D172" s="11">
        <v>97.6</v>
      </c>
      <c r="E172" t="s">
        <v>1815</v>
      </c>
      <c r="F172" t="s">
        <v>3685</v>
      </c>
      <c r="G172" t="s">
        <v>1813</v>
      </c>
      <c r="H172" s="11"/>
      <c r="I172" s="13">
        <f>H172*(1-IFERROR(VLOOKUP(G172,Rabat!$C$9:$D$43,2,0),0))</f>
        <v>0</v>
      </c>
      <c r="J172" t="s">
        <v>1818</v>
      </c>
      <c r="K172" s="12" t="str">
        <f>HYPERLINK("https://b2b.kobi.pl/pl/product/13575,zestaw-crete-girlanda-ogrodowa-10m-kabel-5m-10x-klosz-m1?currency=PLN")</f>
        <v>https://b2b.kobi.pl/pl/product/13575,zestaw-crete-girlanda-ogrodowa-10m-kabel-5m-10x-klosz-m1?currency=PLN</v>
      </c>
      <c r="L172" t="s">
        <v>14</v>
      </c>
      <c r="M172" t="s">
        <v>2615</v>
      </c>
      <c r="N172">
        <v>0</v>
      </c>
      <c r="O172">
        <v>3.54</v>
      </c>
      <c r="P172">
        <v>4.7300000000000004</v>
      </c>
      <c r="Q172">
        <v>0</v>
      </c>
      <c r="R172">
        <v>0</v>
      </c>
      <c r="S172">
        <v>0</v>
      </c>
    </row>
    <row r="173" spans="2:19" ht="60" customHeight="1" x14ac:dyDescent="0.25">
      <c r="B173" t="s">
        <v>3686</v>
      </c>
      <c r="C173" t="s">
        <v>3687</v>
      </c>
      <c r="D173" s="11">
        <v>94.5</v>
      </c>
      <c r="E173" t="s">
        <v>1815</v>
      </c>
      <c r="F173" t="s">
        <v>3688</v>
      </c>
      <c r="G173" t="s">
        <v>1813</v>
      </c>
      <c r="H173" s="11"/>
      <c r="I173" s="13">
        <f>H173*(1-IFERROR(VLOOKUP(G173,Rabat!$C$9:$D$43,2,0),0))</f>
        <v>0</v>
      </c>
      <c r="J173" t="s">
        <v>1818</v>
      </c>
      <c r="K173" s="12" t="str">
        <f>HYPERLINK("https://b2b.kobi.pl/pl/product/13576,zestaw-crete-girlanda-ogrodowa-10m-kabel-5m-10x-klosz-m2?currency=PLN")</f>
        <v>https://b2b.kobi.pl/pl/product/13576,zestaw-crete-girlanda-ogrodowa-10m-kabel-5m-10x-klosz-m2?currency=PLN</v>
      </c>
      <c r="L173" t="s">
        <v>14</v>
      </c>
      <c r="M173" t="s">
        <v>2615</v>
      </c>
      <c r="N173">
        <v>0</v>
      </c>
      <c r="O173">
        <v>3.54</v>
      </c>
      <c r="P173">
        <v>4.7300000000000004</v>
      </c>
      <c r="Q173">
        <v>0</v>
      </c>
      <c r="R173">
        <v>0</v>
      </c>
      <c r="S173">
        <v>0</v>
      </c>
    </row>
    <row r="174" spans="2:19" ht="60" customHeight="1" x14ac:dyDescent="0.25">
      <c r="B174" t="s">
        <v>3689</v>
      </c>
      <c r="C174" t="s">
        <v>3690</v>
      </c>
      <c r="D174" s="11">
        <v>102.76</v>
      </c>
      <c r="E174" t="s">
        <v>1815</v>
      </c>
      <c r="F174" t="s">
        <v>3691</v>
      </c>
      <c r="G174" t="s">
        <v>1813</v>
      </c>
      <c r="H174" s="11"/>
      <c r="I174" s="13">
        <f>H174*(1-IFERROR(VLOOKUP(G174,Rabat!$C$9:$D$43,2,0),0))</f>
        <v>0</v>
      </c>
      <c r="J174" t="s">
        <v>1818</v>
      </c>
      <c r="K174" s="12" t="str">
        <f>HYPERLINK("https://b2b.kobi.pl/pl/product/13577,zestaw-crete-girlanda-ogrodowa-10m-kabel-5m-10x-klosz-d1?currency=PLN")</f>
        <v>https://b2b.kobi.pl/pl/product/13577,zestaw-crete-girlanda-ogrodowa-10m-kabel-5m-10x-klosz-d1?currency=PLN</v>
      </c>
      <c r="L174" t="s">
        <v>14</v>
      </c>
      <c r="M174" t="s">
        <v>2615</v>
      </c>
      <c r="N174">
        <v>0</v>
      </c>
      <c r="O174">
        <v>2.6</v>
      </c>
      <c r="P174">
        <v>3.73</v>
      </c>
      <c r="Q174">
        <v>0</v>
      </c>
      <c r="R174">
        <v>0</v>
      </c>
      <c r="S174">
        <v>0</v>
      </c>
    </row>
    <row r="175" spans="2:19" ht="60" customHeight="1" x14ac:dyDescent="0.25">
      <c r="B175" t="s">
        <v>3692</v>
      </c>
      <c r="C175" t="s">
        <v>3693</v>
      </c>
      <c r="D175" s="11">
        <v>185</v>
      </c>
      <c r="E175" t="s">
        <v>1815</v>
      </c>
      <c r="F175" t="s">
        <v>3694</v>
      </c>
      <c r="G175" t="s">
        <v>1813</v>
      </c>
      <c r="H175" s="11"/>
      <c r="I175" s="13">
        <f>H175*(1-IFERROR(VLOOKUP(G175,Rabat!$C$9:$D$43,2,0),0))</f>
        <v>0</v>
      </c>
      <c r="J175" t="s">
        <v>1818</v>
      </c>
      <c r="K175" s="12" t="str">
        <f>HYPERLINK("https://b2b.kobi.pl/pl/product/13579,zestaw-crete-girlanda-ogrodowa-20m-kabel-5m-20x-klosz-m1?currency=PLN")</f>
        <v>https://b2b.kobi.pl/pl/product/13579,zestaw-crete-girlanda-ogrodowa-20m-kabel-5m-20x-klosz-m1?currency=PLN</v>
      </c>
      <c r="L175" t="s">
        <v>14</v>
      </c>
      <c r="M175" t="s">
        <v>2615</v>
      </c>
      <c r="N175">
        <v>0</v>
      </c>
      <c r="O175">
        <v>6.64</v>
      </c>
      <c r="P175">
        <v>8.5299999999999994</v>
      </c>
      <c r="Q175">
        <v>0</v>
      </c>
      <c r="R175">
        <v>0</v>
      </c>
      <c r="S175">
        <v>0</v>
      </c>
    </row>
    <row r="176" spans="2:19" ht="60" customHeight="1" x14ac:dyDescent="0.25">
      <c r="B176" t="s">
        <v>3695</v>
      </c>
      <c r="C176" t="s">
        <v>3696</v>
      </c>
      <c r="D176" s="11">
        <v>178.8</v>
      </c>
      <c r="E176" t="s">
        <v>1815</v>
      </c>
      <c r="F176" t="s">
        <v>3697</v>
      </c>
      <c r="G176" t="s">
        <v>1813</v>
      </c>
      <c r="H176" s="11"/>
      <c r="I176" s="13">
        <f>H176*(1-IFERROR(VLOOKUP(G176,Rabat!$C$9:$D$43,2,0),0))</f>
        <v>0</v>
      </c>
      <c r="J176" t="s">
        <v>1818</v>
      </c>
      <c r="K176" s="12" t="str">
        <f>HYPERLINK("https://b2b.kobi.pl/pl/product/13580,zestaw-crete-girlanda-ogrodowa-20m-kabel-5m-20x-klosz-m2?currency=PLN")</f>
        <v>https://b2b.kobi.pl/pl/product/13580,zestaw-crete-girlanda-ogrodowa-20m-kabel-5m-20x-klosz-m2?currency=PLN</v>
      </c>
      <c r="L176" t="s">
        <v>14</v>
      </c>
      <c r="M176" t="s">
        <v>2615</v>
      </c>
      <c r="N176">
        <v>0</v>
      </c>
      <c r="O176">
        <v>6.64</v>
      </c>
      <c r="P176">
        <v>8.5299999999999994</v>
      </c>
      <c r="Q176">
        <v>0</v>
      </c>
      <c r="R176">
        <v>0</v>
      </c>
      <c r="S176">
        <v>0</v>
      </c>
    </row>
    <row r="177" spans="2:19" ht="60" customHeight="1" x14ac:dyDescent="0.25">
      <c r="B177" t="s">
        <v>3698</v>
      </c>
      <c r="C177" t="s">
        <v>3699</v>
      </c>
      <c r="D177" s="11">
        <v>195.32</v>
      </c>
      <c r="E177" t="s">
        <v>1815</v>
      </c>
      <c r="F177" t="s">
        <v>3700</v>
      </c>
      <c r="G177" t="s">
        <v>1813</v>
      </c>
      <c r="H177" s="11"/>
      <c r="I177" s="13">
        <f>H177*(1-IFERROR(VLOOKUP(G177,Rabat!$C$9:$D$43,2,0),0))</f>
        <v>0</v>
      </c>
      <c r="J177" t="s">
        <v>1818</v>
      </c>
      <c r="K177" s="12" t="str">
        <f>HYPERLINK("https://b2b.kobi.pl/pl/product/13581,zestaw-crete-girlanda-ogrodowa-20m-kabel-5m-20x-klosz-d1?currency=PLN")</f>
        <v>https://b2b.kobi.pl/pl/product/13581,zestaw-crete-girlanda-ogrodowa-20m-kabel-5m-20x-klosz-d1?currency=PLN</v>
      </c>
      <c r="L177" t="s">
        <v>14</v>
      </c>
      <c r="M177" t="s">
        <v>2615</v>
      </c>
      <c r="N177">
        <v>0</v>
      </c>
      <c r="O177">
        <v>4.76</v>
      </c>
      <c r="P177">
        <v>6.53</v>
      </c>
      <c r="Q177">
        <v>0</v>
      </c>
      <c r="R177">
        <v>0</v>
      </c>
      <c r="S177">
        <v>0</v>
      </c>
    </row>
    <row r="178" spans="2:19" ht="60" customHeight="1" x14ac:dyDescent="0.25">
      <c r="B178" t="s">
        <v>3701</v>
      </c>
      <c r="C178" t="s">
        <v>3702</v>
      </c>
      <c r="D178" s="11">
        <v>141.30000000000001</v>
      </c>
      <c r="E178" t="s">
        <v>1815</v>
      </c>
      <c r="F178" t="s">
        <v>3703</v>
      </c>
      <c r="G178" t="s">
        <v>1813</v>
      </c>
      <c r="H178" s="11"/>
      <c r="I178" s="13">
        <f>H178*(1-IFERROR(VLOOKUP(G178,Rabat!$C$9:$D$43,2,0),0))</f>
        <v>0</v>
      </c>
      <c r="J178" t="s">
        <v>1818</v>
      </c>
      <c r="K178" s="12" t="str">
        <f>HYPERLINK("https://b2b.kobi.pl/pl/product/13583,zestaw-crete-girlanda-ogrodowa-15m-kabel-5m-15x-klosz-m1?currency=PLN")</f>
        <v>https://b2b.kobi.pl/pl/product/13583,zestaw-crete-girlanda-ogrodowa-15m-kabel-5m-15x-klosz-m1?currency=PLN</v>
      </c>
      <c r="L178" t="s">
        <v>14</v>
      </c>
      <c r="M178" t="s">
        <v>2615</v>
      </c>
      <c r="N178">
        <v>0</v>
      </c>
      <c r="O178">
        <v>5.09</v>
      </c>
      <c r="P178">
        <v>6.63</v>
      </c>
      <c r="Q178">
        <v>0</v>
      </c>
      <c r="R178">
        <v>0</v>
      </c>
      <c r="S178">
        <v>0</v>
      </c>
    </row>
    <row r="179" spans="2:19" ht="60" customHeight="1" x14ac:dyDescent="0.25">
      <c r="B179" t="s">
        <v>3704</v>
      </c>
      <c r="C179" t="s">
        <v>3705</v>
      </c>
      <c r="D179" s="11">
        <v>136.65</v>
      </c>
      <c r="E179" t="s">
        <v>1815</v>
      </c>
      <c r="F179" t="s">
        <v>3706</v>
      </c>
      <c r="G179" t="s">
        <v>1813</v>
      </c>
      <c r="H179" s="11"/>
      <c r="I179" s="13">
        <f>H179*(1-IFERROR(VLOOKUP(G179,Rabat!$C$9:$D$43,2,0),0))</f>
        <v>0</v>
      </c>
      <c r="J179" t="s">
        <v>1818</v>
      </c>
      <c r="K179" s="12" t="str">
        <f>HYPERLINK("https://b2b.kobi.pl/pl/product/13584,zestaw-crete-girlanda-ogrodowa-15m-kabel-5m-15x-klosz-m2?currency=PLN")</f>
        <v>https://b2b.kobi.pl/pl/product/13584,zestaw-crete-girlanda-ogrodowa-15m-kabel-5m-15x-klosz-m2?currency=PLN</v>
      </c>
      <c r="L179" t="s">
        <v>14</v>
      </c>
      <c r="M179" t="s">
        <v>2615</v>
      </c>
      <c r="N179">
        <v>0</v>
      </c>
      <c r="O179">
        <v>5.09</v>
      </c>
      <c r="P179">
        <v>6.63</v>
      </c>
      <c r="Q179">
        <v>0</v>
      </c>
      <c r="R179">
        <v>0</v>
      </c>
      <c r="S179">
        <v>0</v>
      </c>
    </row>
    <row r="180" spans="2:19" ht="60" customHeight="1" x14ac:dyDescent="0.25">
      <c r="B180" t="s">
        <v>3707</v>
      </c>
      <c r="C180" t="s">
        <v>3708</v>
      </c>
      <c r="D180" s="11">
        <v>149.04</v>
      </c>
      <c r="E180" t="s">
        <v>1815</v>
      </c>
      <c r="F180" t="s">
        <v>3709</v>
      </c>
      <c r="G180" t="s">
        <v>1813</v>
      </c>
      <c r="H180" s="11"/>
      <c r="I180" s="13">
        <f>H180*(1-IFERROR(VLOOKUP(G180,Rabat!$C$9:$D$43,2,0),0))</f>
        <v>0</v>
      </c>
      <c r="J180" t="s">
        <v>1818</v>
      </c>
      <c r="K180" s="12" t="str">
        <f>HYPERLINK("https://b2b.kobi.pl/pl/product/13585,zestaw-crete-girlanda-ogrodowa-15m-kabel-5m-15x-klosz-d1?currency=PLN")</f>
        <v>https://b2b.kobi.pl/pl/product/13585,zestaw-crete-girlanda-ogrodowa-15m-kabel-5m-15x-klosz-d1?currency=PLN</v>
      </c>
      <c r="L180" t="s">
        <v>14</v>
      </c>
      <c r="M180" t="s">
        <v>2615</v>
      </c>
      <c r="N180">
        <v>0</v>
      </c>
      <c r="O180">
        <v>3.68</v>
      </c>
      <c r="P180">
        <v>5.13</v>
      </c>
      <c r="Q180">
        <v>0</v>
      </c>
      <c r="R180">
        <v>0</v>
      </c>
      <c r="S180">
        <v>0</v>
      </c>
    </row>
    <row r="181" spans="2:19" ht="60" customHeight="1" x14ac:dyDescent="0.25">
      <c r="B181" t="s">
        <v>3728</v>
      </c>
      <c r="C181" t="s">
        <v>3729</v>
      </c>
      <c r="D181" s="11">
        <v>193.24</v>
      </c>
      <c r="E181" t="s">
        <v>1815</v>
      </c>
      <c r="F181" t="s">
        <v>3730</v>
      </c>
      <c r="G181" t="s">
        <v>1813</v>
      </c>
      <c r="H181" s="11"/>
      <c r="I181" s="13">
        <f>H181*(1-IFERROR(VLOOKUP(G181,Rabat!$C$9:$D$43,2,0),0))</f>
        <v>0</v>
      </c>
      <c r="J181" t="s">
        <v>1818</v>
      </c>
      <c r="K181" s="12" t="str">
        <f>HYPERLINK("https://b2b.kobi.pl/pl/product/13593,zestaw-crete-girlanda-ogrodowa-20m-kabel-10m-20x-klosz-m1?currency=PLN")</f>
        <v>https://b2b.kobi.pl/pl/product/13593,zestaw-crete-girlanda-ogrodowa-20m-kabel-10m-20x-klosz-m1?currency=PLN</v>
      </c>
      <c r="L181" t="s">
        <v>14</v>
      </c>
      <c r="M181" t="s">
        <v>2605</v>
      </c>
      <c r="N181">
        <v>0</v>
      </c>
      <c r="O181">
        <v>6.98</v>
      </c>
      <c r="P181">
        <v>8.94</v>
      </c>
      <c r="Q181">
        <v>0</v>
      </c>
      <c r="R181">
        <v>0</v>
      </c>
      <c r="S181">
        <v>0</v>
      </c>
    </row>
    <row r="182" spans="2:19" ht="60" customHeight="1" x14ac:dyDescent="0.25">
      <c r="B182" t="s">
        <v>3671</v>
      </c>
      <c r="C182" t="s">
        <v>3672</v>
      </c>
      <c r="D182" s="11">
        <v>7.76</v>
      </c>
      <c r="E182" t="s">
        <v>1815</v>
      </c>
      <c r="F182" t="s">
        <v>3673</v>
      </c>
      <c r="G182" t="s">
        <v>1813</v>
      </c>
      <c r="H182" s="11"/>
      <c r="I182" s="13">
        <f>H182*(1-IFERROR(VLOOKUP(G182,Rabat!$C$9:$D$43,2,0),0))</f>
        <v>0</v>
      </c>
      <c r="K182" s="12" t="str">
        <f>HYPERLINK("https://b2b.kobi.pl/pl/product/9855,zasilacz-12v-24w-do-venezia-kabel-47cm?currency=PLN")</f>
        <v>https://b2b.kobi.pl/pl/product/9855,zasilacz-12v-24w-do-venezia-kabel-47cm?currency=PLN</v>
      </c>
      <c r="L182" t="s">
        <v>14</v>
      </c>
      <c r="M182" t="s">
        <v>2572</v>
      </c>
      <c r="N182">
        <v>0</v>
      </c>
      <c r="O182">
        <v>0.14000000000000001</v>
      </c>
      <c r="P182">
        <v>0.154</v>
      </c>
      <c r="Q182">
        <v>0</v>
      </c>
      <c r="R182">
        <v>0</v>
      </c>
      <c r="S182">
        <v>0</v>
      </c>
    </row>
    <row r="183" spans="2:19" ht="60" customHeight="1" x14ac:dyDescent="0.25">
      <c r="B183" t="s">
        <v>2957</v>
      </c>
      <c r="C183" t="s">
        <v>2958</v>
      </c>
      <c r="D183" s="11">
        <v>5.37</v>
      </c>
      <c r="E183" t="s">
        <v>1815</v>
      </c>
      <c r="F183" t="s">
        <v>3126</v>
      </c>
      <c r="G183" t="s">
        <v>1813</v>
      </c>
      <c r="H183" s="11">
        <v>50</v>
      </c>
      <c r="I183" s="13">
        <f>H183*(1-IFERROR(VLOOKUP(G183,Rabat!$C$9:$D$43,2,0),0))</f>
        <v>50</v>
      </c>
      <c r="J183" t="s">
        <v>1818</v>
      </c>
      <c r="K183" s="12" t="str">
        <f>HYPERLINK("https://b2b.kobi.pl/pl/product/10350,pierscien-ozdobny-cristal-r-czarny-jvs?currency=PLN")</f>
        <v>https://b2b.kobi.pl/pl/product/10350,pierscien-ozdobny-cristal-r-czarny-jvs?currency=PLN</v>
      </c>
      <c r="L183" t="s">
        <v>14</v>
      </c>
      <c r="M183" t="s">
        <v>2606</v>
      </c>
      <c r="N183">
        <v>0</v>
      </c>
      <c r="O183">
        <v>0.13</v>
      </c>
      <c r="P183">
        <v>0.14299999999999999</v>
      </c>
      <c r="Q183">
        <v>0</v>
      </c>
      <c r="R183">
        <v>0</v>
      </c>
      <c r="S183">
        <v>0</v>
      </c>
    </row>
    <row r="184" spans="2:19" x14ac:dyDescent="0.25">
      <c r="D184" s="11"/>
      <c r="K184" s="12"/>
    </row>
    <row r="185" spans="2:19" x14ac:dyDescent="0.25">
      <c r="D185" s="11"/>
      <c r="K185" s="12"/>
      <c r="L185" s="12"/>
    </row>
    <row r="186" spans="2:19" x14ac:dyDescent="0.25">
      <c r="D186" s="11"/>
      <c r="K186" s="12"/>
      <c r="L186" s="12"/>
    </row>
    <row r="187" spans="2:19" x14ac:dyDescent="0.25">
      <c r="D187" s="11"/>
      <c r="K187" s="12"/>
    </row>
    <row r="188" spans="2:19" x14ac:dyDescent="0.25">
      <c r="D188" s="11"/>
      <c r="K188" s="12"/>
      <c r="L188" s="12"/>
    </row>
    <row r="189" spans="2:19" x14ac:dyDescent="0.25">
      <c r="D189" s="11"/>
      <c r="K189" s="12"/>
      <c r="L189" s="12"/>
    </row>
    <row r="190" spans="2:19" x14ac:dyDescent="0.25">
      <c r="D190" s="11"/>
      <c r="K190" s="12"/>
      <c r="L190" s="12"/>
    </row>
    <row r="191" spans="2:19" x14ac:dyDescent="0.25">
      <c r="D191" s="11"/>
      <c r="K191" s="12"/>
    </row>
    <row r="192" spans="2:19" x14ac:dyDescent="0.25">
      <c r="D192" s="11"/>
      <c r="K192" s="12"/>
    </row>
    <row r="193" spans="4:12" x14ac:dyDescent="0.25">
      <c r="D193" s="11"/>
      <c r="K193" s="12"/>
      <c r="L193" s="12"/>
    </row>
    <row r="194" spans="4:12" x14ac:dyDescent="0.25">
      <c r="D194" s="11"/>
      <c r="K194" s="12"/>
      <c r="L194" s="12"/>
    </row>
    <row r="195" spans="4:12" x14ac:dyDescent="0.25">
      <c r="D195" s="11"/>
      <c r="K195" s="12"/>
      <c r="L195" s="12"/>
    </row>
    <row r="196" spans="4:12" x14ac:dyDescent="0.25">
      <c r="D196" s="11"/>
      <c r="K196" s="12"/>
    </row>
    <row r="197" spans="4:12" x14ac:dyDescent="0.25">
      <c r="D197" s="11"/>
      <c r="K197" s="12"/>
    </row>
    <row r="198" spans="4:12" x14ac:dyDescent="0.25">
      <c r="D198" s="11"/>
      <c r="K198" s="12"/>
    </row>
    <row r="199" spans="4:12" x14ac:dyDescent="0.25">
      <c r="D199" s="11"/>
      <c r="K199" s="12"/>
      <c r="L199" s="12"/>
    </row>
    <row r="200" spans="4:12" x14ac:dyDescent="0.25">
      <c r="D200" s="11"/>
      <c r="K200" s="12"/>
      <c r="L200" s="12"/>
    </row>
    <row r="201" spans="4:12" x14ac:dyDescent="0.25">
      <c r="D201" s="11"/>
      <c r="K201" s="12"/>
      <c r="L201" s="12"/>
    </row>
    <row r="202" spans="4:12" x14ac:dyDescent="0.25">
      <c r="D202" s="11"/>
      <c r="K202" s="12"/>
      <c r="L202" s="12"/>
    </row>
    <row r="203" spans="4:12" x14ac:dyDescent="0.25">
      <c r="D203" s="11"/>
      <c r="K203" s="12"/>
      <c r="L203" s="12"/>
    </row>
    <row r="204" spans="4:12" x14ac:dyDescent="0.25">
      <c r="D204" s="11"/>
      <c r="K204" s="12"/>
      <c r="L204" s="12"/>
    </row>
    <row r="205" spans="4:12" x14ac:dyDescent="0.25">
      <c r="D205" s="11"/>
      <c r="K205" s="12"/>
    </row>
    <row r="206" spans="4:12" x14ac:dyDescent="0.25">
      <c r="D206" s="11"/>
      <c r="K206" s="12"/>
    </row>
    <row r="207" spans="4:12" x14ac:dyDescent="0.25">
      <c r="D207" s="11"/>
      <c r="K207" s="12"/>
    </row>
    <row r="208" spans="4:12" x14ac:dyDescent="0.25">
      <c r="D208" s="11"/>
      <c r="K208" s="12"/>
      <c r="L208" s="12"/>
    </row>
    <row r="209" spans="4:12" x14ac:dyDescent="0.25">
      <c r="D209" s="11"/>
      <c r="K209" s="12"/>
      <c r="L209" s="12"/>
    </row>
    <row r="210" spans="4:12" x14ac:dyDescent="0.25">
      <c r="D210" s="11"/>
      <c r="K210" s="12"/>
      <c r="L210" s="12"/>
    </row>
    <row r="211" spans="4:12" x14ac:dyDescent="0.25">
      <c r="D211" s="11"/>
      <c r="K211" s="12"/>
    </row>
    <row r="212" spans="4:12" x14ac:dyDescent="0.25">
      <c r="D212" s="11"/>
      <c r="K212" s="12"/>
    </row>
    <row r="213" spans="4:12" x14ac:dyDescent="0.25">
      <c r="D213" s="11"/>
      <c r="K213" s="12"/>
      <c r="L213" s="12"/>
    </row>
    <row r="214" spans="4:12" x14ac:dyDescent="0.25">
      <c r="D214" s="11"/>
      <c r="K214" s="12"/>
      <c r="L214" s="12"/>
    </row>
    <row r="215" spans="4:12" x14ac:dyDescent="0.25">
      <c r="D215" s="11"/>
      <c r="K215" s="12"/>
      <c r="L215" s="12"/>
    </row>
    <row r="216" spans="4:12" x14ac:dyDescent="0.25">
      <c r="D216" s="11"/>
      <c r="K216" s="12"/>
      <c r="L216" s="12"/>
    </row>
    <row r="217" spans="4:12" x14ac:dyDescent="0.25">
      <c r="D217" s="11"/>
      <c r="K217" s="12"/>
      <c r="L217" s="12"/>
    </row>
    <row r="218" spans="4:12" x14ac:dyDescent="0.25">
      <c r="D218" s="11"/>
      <c r="K218" s="12"/>
    </row>
    <row r="219" spans="4:12" x14ac:dyDescent="0.25">
      <c r="D219" s="11"/>
      <c r="K219" s="12"/>
      <c r="L219" s="12"/>
    </row>
    <row r="220" spans="4:12" x14ac:dyDescent="0.25">
      <c r="D220" s="11"/>
      <c r="K220" s="12"/>
    </row>
    <row r="221" spans="4:12" x14ac:dyDescent="0.25">
      <c r="D221" s="11"/>
      <c r="K221" s="12"/>
    </row>
    <row r="222" spans="4:12" x14ac:dyDescent="0.25">
      <c r="D222" s="11"/>
      <c r="L222" s="12"/>
    </row>
    <row r="223" spans="4:12" x14ac:dyDescent="0.25">
      <c r="D223" s="11"/>
      <c r="L223" s="12"/>
    </row>
    <row r="224" spans="4:12" x14ac:dyDescent="0.25">
      <c r="D224" s="11"/>
      <c r="L224" s="12"/>
    </row>
    <row r="225" spans="4:4" x14ac:dyDescent="0.25">
      <c r="D225" s="11"/>
    </row>
    <row r="226" spans="4:4" x14ac:dyDescent="0.25">
      <c r="D226" s="11"/>
    </row>
    <row r="227" spans="4:4" x14ac:dyDescent="0.25">
      <c r="D227" s="11"/>
    </row>
    <row r="228" spans="4:4" x14ac:dyDescent="0.25">
      <c r="D228" s="11"/>
    </row>
    <row r="229" spans="4:4" x14ac:dyDescent="0.25">
      <c r="D229" s="11"/>
    </row>
    <row r="230" spans="4:4" x14ac:dyDescent="0.25">
      <c r="D230" s="11"/>
    </row>
    <row r="231" spans="4:4" x14ac:dyDescent="0.25">
      <c r="D231" s="11"/>
    </row>
    <row r="232" spans="4:4" x14ac:dyDescent="0.25">
      <c r="D232" s="11"/>
    </row>
    <row r="233" spans="4:4" x14ac:dyDescent="0.25">
      <c r="D233" s="11"/>
    </row>
    <row r="234" spans="4:4" x14ac:dyDescent="0.25">
      <c r="D234" s="11"/>
    </row>
    <row r="235" spans="4:4" x14ac:dyDescent="0.25">
      <c r="D235" s="11"/>
    </row>
    <row r="236" spans="4:4" x14ac:dyDescent="0.25">
      <c r="D236" s="11"/>
    </row>
    <row r="237" spans="4:4" x14ac:dyDescent="0.25">
      <c r="D237" s="11"/>
    </row>
    <row r="238" spans="4:4" x14ac:dyDescent="0.25">
      <c r="D238" s="11"/>
    </row>
    <row r="239" spans="4:4" x14ac:dyDescent="0.25">
      <c r="D239" s="11"/>
    </row>
    <row r="240" spans="4:4" x14ac:dyDescent="0.25">
      <c r="D240" s="11"/>
    </row>
    <row r="241" spans="4:4" x14ac:dyDescent="0.25">
      <c r="D241" s="11"/>
    </row>
    <row r="242" spans="4:4" x14ac:dyDescent="0.25">
      <c r="D242" s="11"/>
    </row>
    <row r="243" spans="4:4" x14ac:dyDescent="0.25">
      <c r="D243" s="11"/>
    </row>
    <row r="244" spans="4:4" x14ac:dyDescent="0.25">
      <c r="D244" s="11"/>
    </row>
    <row r="245" spans="4:4" x14ac:dyDescent="0.25">
      <c r="D245" s="11"/>
    </row>
    <row r="246" spans="4:4" x14ac:dyDescent="0.25">
      <c r="D246" s="11"/>
    </row>
    <row r="247" spans="4:4" x14ac:dyDescent="0.25">
      <c r="D247" s="11"/>
    </row>
    <row r="248" spans="4:4" x14ac:dyDescent="0.25">
      <c r="D248" s="11"/>
    </row>
    <row r="249" spans="4:4" x14ac:dyDescent="0.25">
      <c r="D249" s="11"/>
    </row>
    <row r="250" spans="4:4" x14ac:dyDescent="0.25">
      <c r="D250" s="11"/>
    </row>
    <row r="251" spans="4:4" x14ac:dyDescent="0.25">
      <c r="D251" s="11"/>
    </row>
    <row r="252" spans="4:4" x14ac:dyDescent="0.25">
      <c r="D252" s="11"/>
    </row>
    <row r="253" spans="4:4" x14ac:dyDescent="0.25">
      <c r="D253" s="11"/>
    </row>
    <row r="254" spans="4:4" x14ac:dyDescent="0.25">
      <c r="D254" s="11"/>
    </row>
    <row r="255" spans="4:4" x14ac:dyDescent="0.25">
      <c r="D255" s="11"/>
    </row>
    <row r="256" spans="4:4" x14ac:dyDescent="0.25">
      <c r="D256" s="11"/>
    </row>
    <row r="257" spans="4:4" x14ac:dyDescent="0.25">
      <c r="D257" s="11"/>
    </row>
    <row r="258" spans="4:4" x14ac:dyDescent="0.25">
      <c r="D258" s="11"/>
    </row>
    <row r="259" spans="4:4" x14ac:dyDescent="0.25">
      <c r="D259" s="11"/>
    </row>
    <row r="260" spans="4:4" x14ac:dyDescent="0.25">
      <c r="D260" s="11"/>
    </row>
    <row r="261" spans="4:4" x14ac:dyDescent="0.25">
      <c r="D261" s="11"/>
    </row>
    <row r="262" spans="4:4" x14ac:dyDescent="0.25">
      <c r="D262" s="11"/>
    </row>
    <row r="263" spans="4:4" x14ac:dyDescent="0.25">
      <c r="D263" s="11"/>
    </row>
    <row r="264" spans="4:4" x14ac:dyDescent="0.25">
      <c r="D264" s="11"/>
    </row>
    <row r="265" spans="4:4" x14ac:dyDescent="0.25">
      <c r="D265" s="11"/>
    </row>
    <row r="266" spans="4:4" x14ac:dyDescent="0.25">
      <c r="D266" s="11"/>
    </row>
    <row r="267" spans="4:4" x14ac:dyDescent="0.25">
      <c r="D267" s="11"/>
    </row>
    <row r="268" spans="4:4" x14ac:dyDescent="0.25">
      <c r="D268" s="11"/>
    </row>
    <row r="269" spans="4:4" x14ac:dyDescent="0.25">
      <c r="D269" s="11"/>
    </row>
    <row r="270" spans="4:4" x14ac:dyDescent="0.25">
      <c r="D270" s="11"/>
    </row>
    <row r="271" spans="4:4" x14ac:dyDescent="0.25">
      <c r="D271" s="11"/>
    </row>
    <row r="272" spans="4:4" x14ac:dyDescent="0.25">
      <c r="D272" s="11"/>
    </row>
    <row r="273" spans="4:4" x14ac:dyDescent="0.25">
      <c r="D273" s="11"/>
    </row>
    <row r="274" spans="4:4" x14ac:dyDescent="0.25">
      <c r="D274" s="11"/>
    </row>
    <row r="275" spans="4:4" x14ac:dyDescent="0.25">
      <c r="D275" s="11"/>
    </row>
    <row r="276" spans="4:4" x14ac:dyDescent="0.25">
      <c r="D276" s="11"/>
    </row>
    <row r="277" spans="4:4" x14ac:dyDescent="0.25">
      <c r="D277" s="11"/>
    </row>
    <row r="278" spans="4:4" x14ac:dyDescent="0.25">
      <c r="D278" s="11"/>
    </row>
    <row r="279" spans="4:4" x14ac:dyDescent="0.25">
      <c r="D279" s="11"/>
    </row>
    <row r="280" spans="4:4" x14ac:dyDescent="0.25">
      <c r="D280" s="11"/>
    </row>
    <row r="281" spans="4:4" x14ac:dyDescent="0.25">
      <c r="D281" s="11"/>
    </row>
    <row r="282" spans="4:4" x14ac:dyDescent="0.25">
      <c r="D282" s="11"/>
    </row>
    <row r="283" spans="4:4" x14ac:dyDescent="0.25">
      <c r="D283" s="11"/>
    </row>
    <row r="284" spans="4:4" x14ac:dyDescent="0.25">
      <c r="D284" s="11"/>
    </row>
    <row r="285" spans="4:4" x14ac:dyDescent="0.25">
      <c r="D285" s="11"/>
    </row>
    <row r="286" spans="4:4" x14ac:dyDescent="0.25">
      <c r="D286" s="11"/>
    </row>
    <row r="287" spans="4:4" x14ac:dyDescent="0.25">
      <c r="D287" s="11"/>
    </row>
    <row r="288" spans="4:4" x14ac:dyDescent="0.25">
      <c r="D288" s="11"/>
    </row>
    <row r="289" spans="4:4" x14ac:dyDescent="0.25">
      <c r="D289" s="11"/>
    </row>
    <row r="290" spans="4:4" x14ac:dyDescent="0.25">
      <c r="D290" s="11"/>
    </row>
    <row r="291" spans="4:4" x14ac:dyDescent="0.25">
      <c r="D291" s="11"/>
    </row>
    <row r="292" spans="4:4" x14ac:dyDescent="0.25">
      <c r="D292" s="11"/>
    </row>
  </sheetData>
  <sheetProtection algorithmName="SHA-512" hashValue="LYprdjI3UJ6iXAXGuZtBOdofVw900TepFc0a9BHcqP7CHRGySoHEPLPP9OQo4OcWPpywzU9e0MWghBA1ohO47w==" saltValue="v2y8RbdKCC8tbzuOytmZjg==" spinCount="100000" sheet="1" scenarios="1" autoFilter="0"/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49e49616-0f5a-47db-9b91-359a7ba2cae4">
      <Terms xmlns="http://schemas.microsoft.com/office/infopath/2007/PartnerControls"/>
    </lcf76f155ced4ddcb4097134ff3c332f>
    <TaxCatchAll xmlns="ed7f8a68-4407-42f3-9b61-52e0ae0d3acf" xsi:nil="true"/>
  </documentManagement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kument" ma:contentTypeID="0x010100AC1FFFF62A340A498984CDC99D2DC2CA" ma:contentTypeVersion="12" ma:contentTypeDescription="Utwórz nowy dokument." ma:contentTypeScope="" ma:versionID="f5edaab0e2cb39a1b495680c15804a54">
  <xsd:schema xmlns:xsd="http://www.w3.org/2001/XMLSchema" xmlns:xs="http://www.w3.org/2001/XMLSchema" xmlns:p="http://schemas.microsoft.com/office/2006/metadata/properties" xmlns:ns2="49e49616-0f5a-47db-9b91-359a7ba2cae4" xmlns:ns3="ed7f8a68-4407-42f3-9b61-52e0ae0d3acf" targetNamespace="http://schemas.microsoft.com/office/2006/metadata/properties" ma:root="true" ma:fieldsID="29eb0fe9f08bc00587ab6c5dd5516cf5" ns2:_="" ns3:_="">
    <xsd:import namespace="49e49616-0f5a-47db-9b91-359a7ba2cae4"/>
    <xsd:import namespace="ed7f8a68-4407-42f3-9b61-52e0ae0d3acf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DateTaken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9e49616-0f5a-47db-9b91-359a7ba2cae4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DateTaken" ma:index="1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4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16" nillable="true" ma:taxonomy="true" ma:internalName="lcf76f155ced4ddcb4097134ff3c332f" ma:taxonomyFieldName="MediaServiceImageTags" ma:displayName="Tagi obrazów" ma:readOnly="false" ma:fieldId="{5cf76f15-5ced-4ddc-b409-7134ff3c332f}" ma:taxonomyMulti="true" ma:sspId="addbf202-6dca-4540-84c0-84bbab6b6471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8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Location" ma:index="19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ed7f8a68-4407-42f3-9b61-52e0ae0d3acf" elementFormDefault="qualified">
    <xsd:import namespace="http://schemas.microsoft.com/office/2006/documentManagement/types"/>
    <xsd:import namespace="http://schemas.microsoft.com/office/infopath/2007/PartnerControls"/>
    <xsd:element name="TaxCatchAll" ma:index="17" nillable="true" ma:displayName="Taxonomy Catch All Column" ma:hidden="true" ma:list="{902af842-54c2-4164-894a-df7a100071c2}" ma:internalName="TaxCatchAll" ma:showField="CatchAllData" ma:web="ed7f8a68-4407-42f3-9b61-52e0ae0d3acf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 zawartości"/>
        <xsd:element ref="dc:title" minOccurs="0" maxOccurs="1" ma:index="4" ma:displayName="Tytuł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C7710855-5BEC-4A1C-BD56-DFB1DEB5F902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111CAEC6-77F8-405D-B2F3-168C1A4B1C3F}">
  <ds:schemaRefs>
    <ds:schemaRef ds:uri="http://schemas.microsoft.com/office/2006/metadata/properties"/>
    <ds:schemaRef ds:uri="http://schemas.microsoft.com/office/infopath/2007/PartnerControls"/>
    <ds:schemaRef ds:uri="266a08f5-a58e-4a5d-af0e-7f6bd2891de7"/>
    <ds:schemaRef ds:uri="e8ca7e84-e463-4a46-977a-1a9e7ddc2974"/>
    <ds:schemaRef ds:uri="49e49616-0f5a-47db-9b91-359a7ba2cae4"/>
    <ds:schemaRef ds:uri="ed7f8a68-4407-42f3-9b61-52e0ae0d3acf"/>
  </ds:schemaRefs>
</ds:datastoreItem>
</file>

<file path=customXml/itemProps3.xml><?xml version="1.0" encoding="utf-8"?>
<ds:datastoreItem xmlns:ds="http://schemas.openxmlformats.org/officeDocument/2006/customXml" ds:itemID="{6B6BA69C-BCF4-4D9B-8DFC-993162224431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49e49616-0f5a-47db-9b91-359a7ba2cae4"/>
    <ds:schemaRef ds:uri="ed7f8a68-4407-42f3-9b61-52e0ae0d3acf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Arkusze</vt:lpstr>
      </vt:variant>
      <vt:variant>
        <vt:i4>3</vt:i4>
      </vt:variant>
      <vt:variant>
        <vt:lpstr>Nazwane zakresy</vt:lpstr>
      </vt:variant>
      <vt:variant>
        <vt:i4>2</vt:i4>
      </vt:variant>
    </vt:vector>
  </HeadingPairs>
  <TitlesOfParts>
    <vt:vector size="5" baseType="lpstr">
      <vt:lpstr>Rabat</vt:lpstr>
      <vt:lpstr>cennik</vt:lpstr>
      <vt:lpstr>cennik wyprzedaż</vt:lpstr>
      <vt:lpstr>cennik!Wybieranie</vt:lpstr>
      <vt:lpstr>'cennik wyprzedaż'!Wybieranie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EProgorowicz</dc:creator>
  <cp:lastModifiedBy>Ewelina Łuszczewska</cp:lastModifiedBy>
  <cp:lastPrinted>2022-08-05T06:34:19Z</cp:lastPrinted>
  <dcterms:created xsi:type="dcterms:W3CDTF">2021-06-15T08:35:20Z</dcterms:created>
  <dcterms:modified xsi:type="dcterms:W3CDTF">2026-09-03T06:15:42Z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0x010100AC1FFFF62A340A498984CDC99D2DC2CA</vt:lpwstr>
  </property>
  <property fmtid="{D5CDD505-2E9C-101B-9397-08002B2CF9AE}" pid="3" name="MediaServiceImageTags">
    <vt:lpwstr/>
  </property>
</Properties>
</file>