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\\mars\Zasoby\BOK\CENNIK KOBI\2026 cenniki\"/>
    </mc:Choice>
  </mc:AlternateContent>
  <xr:revisionPtr revIDLastSave="0" documentId="13_ncr:1_{C1F3AAB7-65DC-494A-BB41-AB717F2456CF}" xr6:coauthVersionLast="47" xr6:coauthVersionMax="47" xr10:uidLastSave="{00000000-0000-0000-0000-000000000000}"/>
  <bookViews>
    <workbookView xWindow="28680" yWindow="-120" windowWidth="29040" windowHeight="15720" activeTab="1" xr2:uid="{C39E6345-525F-4B24-ABC5-912BEA5A5659}"/>
  </bookViews>
  <sheets>
    <sheet name="Rabat" sheetId="1" r:id="rId1"/>
    <sheet name="cennik" sheetId="2" r:id="rId2"/>
    <sheet name="Arkusz1" sheetId="3" r:id="rId3"/>
  </sheets>
  <definedNames>
    <definedName name="_xlnm._FilterDatabase" localSheetId="1" hidden="1">cennik!$B$2:$Q$935</definedName>
    <definedName name="_xlnm.Extract" localSheetId="1">cennik!$J$2:$Y$2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00" i="2" l="1"/>
  <c r="P1099" i="2"/>
  <c r="P1098" i="2"/>
  <c r="P1097" i="2"/>
  <c r="P1096" i="2"/>
  <c r="P1095" i="2"/>
  <c r="P1094" i="2"/>
  <c r="P1093" i="2"/>
  <c r="P1092" i="2"/>
  <c r="P1091" i="2"/>
  <c r="P1090" i="2"/>
  <c r="P1088" i="2"/>
  <c r="P1086" i="2"/>
  <c r="P1085" i="2"/>
  <c r="P1084" i="2"/>
  <c r="P1083" i="2"/>
  <c r="P1082" i="2"/>
  <c r="P1081" i="2"/>
  <c r="P1080" i="2"/>
  <c r="P1079" i="2"/>
  <c r="P1078" i="2"/>
  <c r="P1077" i="2"/>
  <c r="P1076" i="2"/>
  <c r="P1075" i="2"/>
  <c r="P1074" i="2"/>
  <c r="P1073" i="2"/>
  <c r="P1072" i="2"/>
  <c r="P1071" i="2"/>
  <c r="P1070" i="2"/>
  <c r="P1069" i="2"/>
  <c r="P1068" i="2"/>
  <c r="P1067" i="2"/>
  <c r="P1066" i="2"/>
  <c r="P1065" i="2"/>
  <c r="P1064" i="2"/>
  <c r="P1063" i="2"/>
  <c r="P1061" i="2"/>
  <c r="P1060" i="2"/>
  <c r="P1059" i="2"/>
  <c r="P1058" i="2"/>
  <c r="P1057" i="2"/>
  <c r="P1056" i="2"/>
  <c r="P1055" i="2"/>
  <c r="P1054" i="2"/>
  <c r="P1053" i="2"/>
  <c r="P1052" i="2"/>
  <c r="P1051" i="2"/>
  <c r="P1050" i="2"/>
  <c r="P1049" i="2"/>
  <c r="P1048" i="2"/>
  <c r="P1047" i="2"/>
  <c r="P1046" i="2"/>
  <c r="P1045" i="2"/>
  <c r="P1044" i="2"/>
  <c r="P1043" i="2"/>
  <c r="P1042" i="2"/>
  <c r="P1041" i="2"/>
  <c r="P1040" i="2"/>
  <c r="P1039" i="2"/>
  <c r="P1038" i="2"/>
  <c r="P1037" i="2"/>
  <c r="P1036" i="2"/>
  <c r="P1035" i="2"/>
  <c r="P1034" i="2"/>
  <c r="P1033" i="2"/>
  <c r="P1032" i="2"/>
  <c r="P1031" i="2"/>
  <c r="P1030" i="2"/>
  <c r="P1029" i="2"/>
  <c r="P1028" i="2"/>
  <c r="P1027" i="2"/>
  <c r="P1026" i="2"/>
  <c r="P1025" i="2"/>
  <c r="P1024" i="2"/>
  <c r="P1023" i="2"/>
  <c r="P1022" i="2"/>
  <c r="P1021" i="2"/>
  <c r="P1020" i="2"/>
  <c r="P1019" i="2"/>
  <c r="P1018" i="2"/>
  <c r="P1017" i="2"/>
  <c r="P1016" i="2"/>
  <c r="P1015" i="2"/>
  <c r="P1014" i="2"/>
  <c r="P1013" i="2"/>
  <c r="P1012" i="2"/>
  <c r="P1011" i="2"/>
  <c r="P1010" i="2"/>
  <c r="P1009" i="2"/>
  <c r="P1008" i="2"/>
  <c r="P1007" i="2"/>
  <c r="P1006" i="2"/>
  <c r="P1005" i="2"/>
  <c r="P1004" i="2"/>
  <c r="P1003" i="2"/>
  <c r="P1002" i="2"/>
  <c r="P1001" i="2"/>
  <c r="P1000" i="2"/>
  <c r="P999" i="2"/>
  <c r="P998" i="2"/>
  <c r="P997" i="2"/>
  <c r="P996" i="2"/>
  <c r="P995" i="2"/>
  <c r="P994" i="2"/>
  <c r="P993" i="2"/>
  <c r="P992" i="2"/>
  <c r="P991" i="2"/>
  <c r="Q990" i="2"/>
  <c r="P990" i="2"/>
  <c r="Q989" i="2"/>
  <c r="P989" i="2"/>
  <c r="Q988" i="2"/>
  <c r="P988" i="2"/>
  <c r="Q987" i="2"/>
  <c r="P987" i="2"/>
  <c r="Q986" i="2"/>
  <c r="P986" i="2"/>
  <c r="Q985" i="2"/>
  <c r="P985" i="2"/>
  <c r="Q984" i="2"/>
  <c r="P984" i="2"/>
  <c r="P983" i="2"/>
  <c r="P982" i="2"/>
  <c r="P981" i="2"/>
  <c r="P980" i="2"/>
  <c r="P979" i="2"/>
  <c r="P978" i="2"/>
  <c r="P977" i="2"/>
  <c r="P976" i="2"/>
  <c r="P975" i="2"/>
  <c r="P974" i="2"/>
  <c r="P973" i="2"/>
  <c r="P972" i="2"/>
  <c r="P971" i="2"/>
  <c r="P970" i="2"/>
  <c r="P969" i="2"/>
  <c r="P968" i="2"/>
  <c r="P967" i="2"/>
  <c r="P966" i="2"/>
  <c r="Q965" i="2"/>
  <c r="P965" i="2"/>
  <c r="Q964" i="2"/>
  <c r="P964" i="2"/>
  <c r="Q963" i="2"/>
  <c r="P963" i="2"/>
  <c r="Q962" i="2"/>
  <c r="P962" i="2"/>
  <c r="Q961" i="2"/>
  <c r="P961" i="2"/>
  <c r="Q960" i="2"/>
  <c r="P960" i="2"/>
  <c r="Q959" i="2"/>
  <c r="P959" i="2"/>
  <c r="Q958" i="2"/>
  <c r="P958" i="2"/>
  <c r="Q957" i="2"/>
  <c r="P957" i="2"/>
  <c r="Q956" i="2"/>
  <c r="P956" i="2"/>
  <c r="Q955" i="2"/>
  <c r="P955" i="2"/>
  <c r="Q954" i="2"/>
  <c r="P954" i="2"/>
  <c r="P953" i="2"/>
  <c r="P952" i="2"/>
  <c r="P951" i="2"/>
  <c r="P950" i="2"/>
  <c r="P949" i="2"/>
  <c r="P948" i="2"/>
  <c r="P947" i="2"/>
  <c r="P946" i="2"/>
  <c r="P945" i="2"/>
  <c r="P944" i="2"/>
  <c r="P943" i="2"/>
  <c r="P942" i="2"/>
  <c r="P941" i="2"/>
  <c r="P940" i="2"/>
  <c r="P939" i="2"/>
  <c r="P938" i="2"/>
  <c r="P937" i="2"/>
  <c r="P936" i="2"/>
  <c r="P935" i="2"/>
  <c r="P934" i="2"/>
  <c r="P933" i="2"/>
  <c r="P932" i="2"/>
  <c r="P931" i="2"/>
  <c r="P930" i="2"/>
  <c r="P929" i="2"/>
  <c r="P928" i="2"/>
  <c r="P927" i="2"/>
  <c r="P926" i="2"/>
  <c r="P925" i="2"/>
  <c r="P924" i="2"/>
  <c r="P923" i="2"/>
  <c r="P922" i="2"/>
  <c r="P921" i="2"/>
  <c r="P920" i="2"/>
  <c r="P919" i="2"/>
  <c r="P918" i="2"/>
  <c r="P917" i="2"/>
  <c r="P916" i="2"/>
  <c r="P915" i="2"/>
  <c r="P914" i="2"/>
  <c r="P913" i="2"/>
  <c r="P912" i="2"/>
  <c r="P911" i="2"/>
  <c r="P910" i="2"/>
  <c r="P909" i="2"/>
  <c r="P908" i="2"/>
  <c r="P907" i="2"/>
  <c r="P906" i="2"/>
  <c r="P905" i="2"/>
  <c r="P904" i="2"/>
  <c r="P903" i="2"/>
  <c r="P902" i="2"/>
  <c r="P901" i="2"/>
  <c r="P900" i="2"/>
  <c r="P899" i="2"/>
  <c r="P898" i="2"/>
  <c r="P897" i="2"/>
  <c r="Q896" i="2"/>
  <c r="P896" i="2"/>
  <c r="P895" i="2"/>
  <c r="Q894" i="2"/>
  <c r="P894" i="2"/>
  <c r="P893" i="2"/>
  <c r="Q892" i="2"/>
  <c r="P892" i="2"/>
  <c r="P891" i="2"/>
  <c r="P890" i="2"/>
  <c r="P889" i="2"/>
  <c r="P888" i="2"/>
  <c r="P887" i="2"/>
  <c r="P886" i="2"/>
  <c r="P885" i="2"/>
  <c r="P884" i="2"/>
  <c r="P883" i="2"/>
  <c r="P882" i="2"/>
  <c r="P881" i="2"/>
  <c r="P880" i="2"/>
  <c r="P879" i="2"/>
  <c r="P878" i="2"/>
  <c r="P877" i="2"/>
  <c r="P876" i="2"/>
  <c r="P875" i="2"/>
  <c r="P874" i="2"/>
  <c r="P873" i="2"/>
  <c r="P872" i="2"/>
  <c r="P871" i="2"/>
  <c r="P870" i="2"/>
  <c r="P869" i="2"/>
  <c r="P868" i="2"/>
  <c r="P867" i="2"/>
  <c r="P866" i="2"/>
  <c r="P865" i="2"/>
  <c r="P864" i="2"/>
  <c r="P863" i="2"/>
  <c r="P862" i="2"/>
  <c r="P861" i="2"/>
  <c r="P860" i="2"/>
  <c r="P859" i="2"/>
  <c r="P858" i="2"/>
  <c r="P857" i="2"/>
  <c r="P856" i="2"/>
  <c r="P855" i="2"/>
  <c r="P854" i="2"/>
  <c r="P853" i="2"/>
  <c r="P852" i="2"/>
  <c r="P851" i="2"/>
  <c r="P850" i="2"/>
  <c r="P849" i="2"/>
  <c r="P848" i="2"/>
  <c r="P847" i="2"/>
  <c r="P846" i="2"/>
  <c r="P845" i="2"/>
  <c r="P844" i="2"/>
  <c r="P843" i="2"/>
  <c r="P842" i="2"/>
  <c r="P841" i="2"/>
  <c r="P840" i="2"/>
  <c r="P839" i="2"/>
  <c r="P838" i="2"/>
  <c r="P837" i="2"/>
  <c r="P836" i="2"/>
  <c r="P835" i="2"/>
  <c r="P834" i="2"/>
  <c r="P832" i="2"/>
  <c r="P831" i="2"/>
  <c r="P830" i="2"/>
  <c r="P829" i="2"/>
  <c r="P828" i="2"/>
  <c r="P827" i="2"/>
  <c r="P826" i="2"/>
  <c r="P825" i="2"/>
  <c r="P824" i="2"/>
  <c r="P823" i="2"/>
  <c r="P822" i="2"/>
  <c r="P821" i="2"/>
  <c r="P820" i="2"/>
  <c r="P819" i="2"/>
  <c r="P818" i="2"/>
  <c r="P817" i="2"/>
  <c r="P816" i="2"/>
  <c r="P815" i="2"/>
  <c r="P814" i="2"/>
  <c r="P813" i="2"/>
  <c r="P812" i="2"/>
  <c r="P811" i="2"/>
  <c r="P810" i="2"/>
  <c r="P809" i="2"/>
  <c r="P808" i="2"/>
  <c r="P807" i="2"/>
  <c r="P806" i="2"/>
  <c r="P805" i="2"/>
  <c r="P804" i="2"/>
  <c r="P803" i="2"/>
  <c r="P802" i="2"/>
  <c r="P801" i="2"/>
  <c r="P800" i="2"/>
  <c r="P799" i="2"/>
  <c r="P798" i="2"/>
  <c r="P797" i="2"/>
  <c r="P796" i="2"/>
  <c r="P795" i="2"/>
  <c r="P794" i="2"/>
  <c r="P793" i="2"/>
  <c r="P792" i="2"/>
  <c r="P791" i="2"/>
  <c r="P790" i="2"/>
  <c r="P789" i="2"/>
  <c r="P788" i="2"/>
  <c r="P787" i="2"/>
  <c r="P786" i="2"/>
  <c r="P785" i="2"/>
  <c r="P784" i="2"/>
  <c r="P783" i="2"/>
  <c r="P782" i="2"/>
  <c r="P781" i="2"/>
  <c r="P780" i="2"/>
  <c r="P779" i="2"/>
  <c r="P778" i="2"/>
  <c r="P777" i="2"/>
  <c r="P776" i="2"/>
  <c r="P775" i="2"/>
  <c r="P774" i="2"/>
  <c r="P773" i="2"/>
  <c r="P772" i="2"/>
  <c r="P771" i="2"/>
  <c r="P770" i="2"/>
  <c r="P769" i="2"/>
  <c r="P768" i="2"/>
  <c r="P767" i="2"/>
  <c r="P766" i="2"/>
  <c r="P765" i="2"/>
  <c r="P764" i="2"/>
  <c r="P763" i="2"/>
  <c r="P762" i="2"/>
  <c r="Q761" i="2"/>
  <c r="P761" i="2"/>
  <c r="Q760" i="2"/>
  <c r="P760" i="2"/>
  <c r="Q759" i="2"/>
  <c r="P759" i="2"/>
  <c r="Q758" i="2"/>
  <c r="P758" i="2"/>
  <c r="P757" i="2"/>
  <c r="P756" i="2"/>
  <c r="P755" i="2"/>
  <c r="P754" i="2"/>
  <c r="P753" i="2"/>
  <c r="P752" i="2"/>
  <c r="P751" i="2"/>
  <c r="P750" i="2"/>
  <c r="P749" i="2"/>
  <c r="P748" i="2"/>
  <c r="P747" i="2"/>
  <c r="P746" i="2"/>
  <c r="P745" i="2"/>
  <c r="P744" i="2"/>
  <c r="P743" i="2"/>
  <c r="P742" i="2"/>
  <c r="P741" i="2"/>
  <c r="P740" i="2"/>
  <c r="Q739" i="2"/>
  <c r="P739" i="2"/>
  <c r="Q738" i="2"/>
  <c r="P738" i="2"/>
  <c r="Q737" i="2"/>
  <c r="P737" i="2"/>
  <c r="Q736" i="2"/>
  <c r="P736" i="2"/>
  <c r="P735" i="2"/>
  <c r="P734" i="2"/>
  <c r="P733" i="2"/>
  <c r="P732" i="2"/>
  <c r="P731" i="2"/>
  <c r="P730" i="2"/>
  <c r="P729" i="2"/>
  <c r="P728" i="2"/>
  <c r="P727" i="2"/>
  <c r="P726" i="2"/>
  <c r="P725" i="2"/>
  <c r="P724" i="2"/>
  <c r="P723" i="2"/>
  <c r="P722" i="2"/>
  <c r="P721" i="2"/>
  <c r="P720" i="2"/>
  <c r="P719" i="2"/>
  <c r="P718" i="2"/>
  <c r="P717" i="2"/>
  <c r="P716" i="2"/>
  <c r="P715" i="2"/>
  <c r="P714" i="2"/>
  <c r="P713" i="2"/>
  <c r="P712" i="2"/>
  <c r="P711" i="2"/>
  <c r="P710" i="2"/>
  <c r="P709" i="2"/>
  <c r="P708" i="2"/>
  <c r="P707" i="2"/>
  <c r="P706" i="2"/>
  <c r="P705" i="2"/>
  <c r="P704" i="2"/>
  <c r="P703" i="2"/>
  <c r="P702" i="2"/>
  <c r="P701" i="2"/>
  <c r="P700" i="2"/>
  <c r="P699" i="2"/>
  <c r="P698" i="2"/>
  <c r="P697" i="2"/>
  <c r="P696" i="2"/>
  <c r="P695" i="2"/>
  <c r="P694" i="2"/>
  <c r="P693" i="2"/>
  <c r="P692" i="2"/>
  <c r="P691" i="2"/>
  <c r="P690" i="2"/>
  <c r="Q689" i="2"/>
  <c r="P689" i="2"/>
  <c r="Q688" i="2"/>
  <c r="P688" i="2"/>
  <c r="Q687" i="2"/>
  <c r="P687" i="2"/>
  <c r="Q686" i="2"/>
  <c r="P686" i="2"/>
  <c r="Q685" i="2"/>
  <c r="P685" i="2"/>
  <c r="Q684" i="2"/>
  <c r="P684" i="2"/>
  <c r="Q683" i="2"/>
  <c r="P683" i="2"/>
  <c r="Q682" i="2"/>
  <c r="P682" i="2"/>
  <c r="Q681" i="2"/>
  <c r="P681" i="2"/>
  <c r="P680" i="2"/>
  <c r="Q679" i="2"/>
  <c r="P679" i="2"/>
  <c r="Q678" i="2"/>
  <c r="P678" i="2"/>
  <c r="Q677" i="2"/>
  <c r="P677" i="2"/>
  <c r="P676" i="2"/>
  <c r="P675" i="2"/>
  <c r="P674" i="2"/>
  <c r="P673" i="2"/>
  <c r="Q672" i="2"/>
  <c r="P672" i="2"/>
  <c r="Q671" i="2"/>
  <c r="P671" i="2"/>
  <c r="Q670" i="2"/>
  <c r="P670" i="2"/>
  <c r="Q669" i="2"/>
  <c r="P669" i="2"/>
  <c r="Q668" i="2"/>
  <c r="P668" i="2"/>
  <c r="Q667" i="2"/>
  <c r="P667" i="2"/>
  <c r="P666" i="2"/>
  <c r="P665" i="2"/>
  <c r="P664" i="2"/>
  <c r="Q663" i="2"/>
  <c r="P663" i="2"/>
  <c r="P662" i="2"/>
  <c r="Q661" i="2"/>
  <c r="P661" i="2"/>
  <c r="P660" i="2"/>
  <c r="Q659" i="2"/>
  <c r="P659" i="2"/>
  <c r="P658" i="2"/>
  <c r="Q657" i="2"/>
  <c r="P657" i="2"/>
  <c r="P656" i="2"/>
  <c r="P655" i="2"/>
  <c r="P654" i="2"/>
  <c r="P653" i="2"/>
  <c r="P652" i="2"/>
  <c r="P651" i="2"/>
  <c r="P650" i="2"/>
  <c r="P649" i="2"/>
  <c r="Q648" i="2"/>
  <c r="P648" i="2"/>
  <c r="Q647" i="2"/>
  <c r="P647" i="2"/>
  <c r="Q646" i="2"/>
  <c r="P646" i="2"/>
  <c r="Q645" i="2"/>
  <c r="P645" i="2"/>
  <c r="Q644" i="2"/>
  <c r="P644" i="2"/>
  <c r="Q643" i="2"/>
  <c r="P643" i="2"/>
  <c r="P642" i="2"/>
  <c r="Q641" i="2"/>
  <c r="P641" i="2"/>
  <c r="Q640" i="2"/>
  <c r="P640" i="2"/>
  <c r="P639" i="2"/>
  <c r="Q638" i="2"/>
  <c r="P638" i="2"/>
  <c r="Q637" i="2"/>
  <c r="P637" i="2"/>
  <c r="Q636" i="2"/>
  <c r="P636" i="2"/>
  <c r="Q635" i="2"/>
  <c r="P635" i="2"/>
  <c r="P634" i="2"/>
  <c r="Q633" i="2"/>
  <c r="P633" i="2"/>
  <c r="P632" i="2"/>
  <c r="P631" i="2"/>
  <c r="P630" i="2"/>
  <c r="P629" i="2"/>
  <c r="P628" i="2"/>
  <c r="P627" i="2"/>
  <c r="P626" i="2"/>
  <c r="P625" i="2"/>
  <c r="P624" i="2"/>
  <c r="P623" i="2"/>
  <c r="P622" i="2"/>
  <c r="P621" i="2"/>
  <c r="P620" i="2"/>
  <c r="P619" i="2"/>
  <c r="P618" i="2"/>
  <c r="P617" i="2"/>
  <c r="P616" i="2"/>
  <c r="P615" i="2"/>
  <c r="P614" i="2"/>
  <c r="P613" i="2"/>
  <c r="P612" i="2"/>
  <c r="P611" i="2"/>
  <c r="P610" i="2"/>
  <c r="P609" i="2"/>
  <c r="P608" i="2"/>
  <c r="P607" i="2"/>
  <c r="P606" i="2"/>
  <c r="P605" i="2"/>
  <c r="P604" i="2"/>
  <c r="Q603" i="2"/>
  <c r="P603" i="2"/>
  <c r="P602" i="2"/>
  <c r="P601" i="2"/>
  <c r="P600" i="2"/>
  <c r="Q599" i="2"/>
  <c r="P599" i="2"/>
  <c r="Q598" i="2"/>
  <c r="P598" i="2"/>
  <c r="Q597" i="2"/>
  <c r="P597" i="2"/>
  <c r="Q596" i="2"/>
  <c r="P596" i="2"/>
  <c r="Q595" i="2"/>
  <c r="P595" i="2"/>
  <c r="Q594" i="2"/>
  <c r="P594" i="2"/>
  <c r="Q593" i="2"/>
  <c r="P593" i="2"/>
  <c r="Q592" i="2"/>
  <c r="P592" i="2"/>
  <c r="Q591" i="2"/>
  <c r="P591" i="2"/>
  <c r="Q590" i="2"/>
  <c r="P590" i="2"/>
  <c r="Q589" i="2"/>
  <c r="P589" i="2"/>
  <c r="Q588" i="2"/>
  <c r="P588" i="2"/>
  <c r="P587" i="2"/>
  <c r="P586" i="2"/>
  <c r="P585" i="2"/>
  <c r="P584" i="2"/>
  <c r="P583" i="2"/>
  <c r="P582" i="2"/>
  <c r="P581" i="2"/>
  <c r="P580" i="2"/>
  <c r="P579" i="2"/>
  <c r="P578" i="2"/>
  <c r="P577" i="2"/>
  <c r="P576" i="2"/>
  <c r="P575" i="2"/>
  <c r="P574" i="2"/>
  <c r="Q573" i="2"/>
  <c r="P573" i="2"/>
  <c r="Q572" i="2"/>
  <c r="P572" i="2"/>
  <c r="Q571" i="2"/>
  <c r="P571" i="2"/>
  <c r="Q570" i="2"/>
  <c r="P570" i="2"/>
  <c r="Q569" i="2"/>
  <c r="P569" i="2"/>
  <c r="Q568" i="2"/>
  <c r="P568" i="2"/>
  <c r="Q567" i="2"/>
  <c r="P567" i="2"/>
  <c r="Q566" i="2"/>
  <c r="P566" i="2"/>
  <c r="Q565" i="2"/>
  <c r="P565" i="2"/>
  <c r="Q564" i="2"/>
  <c r="P564" i="2"/>
  <c r="Q563" i="2"/>
  <c r="P563" i="2"/>
  <c r="Q562" i="2"/>
  <c r="P562" i="2"/>
  <c r="Q561" i="2"/>
  <c r="P561" i="2"/>
  <c r="Q560" i="2"/>
  <c r="P560" i="2"/>
  <c r="Q559" i="2"/>
  <c r="P559" i="2"/>
  <c r="Q558" i="2"/>
  <c r="P558" i="2"/>
  <c r="Q557" i="2"/>
  <c r="P557" i="2"/>
  <c r="Q556" i="2"/>
  <c r="P556" i="2"/>
  <c r="Q555" i="2"/>
  <c r="P555" i="2"/>
  <c r="Q554" i="2"/>
  <c r="P554" i="2"/>
  <c r="Q553" i="2"/>
  <c r="P553" i="2"/>
  <c r="Q552" i="2"/>
  <c r="P552" i="2"/>
  <c r="Q551" i="2"/>
  <c r="P551" i="2"/>
  <c r="Q550" i="2"/>
  <c r="P550" i="2"/>
  <c r="Q549" i="2"/>
  <c r="P549" i="2"/>
  <c r="Q548" i="2"/>
  <c r="P548" i="2"/>
  <c r="Q547" i="2"/>
  <c r="P547" i="2"/>
  <c r="Q546" i="2"/>
  <c r="P546" i="2"/>
  <c r="Q545" i="2"/>
  <c r="P545" i="2"/>
  <c r="Q544" i="2"/>
  <c r="P544" i="2"/>
  <c r="Q543" i="2"/>
  <c r="P543" i="2"/>
  <c r="Q542" i="2"/>
  <c r="P542" i="2"/>
  <c r="Q541" i="2"/>
  <c r="P541" i="2"/>
  <c r="P540" i="2"/>
  <c r="P539" i="2"/>
  <c r="P538" i="2"/>
  <c r="P537" i="2"/>
  <c r="P536" i="2"/>
  <c r="Q535" i="2"/>
  <c r="P535" i="2"/>
  <c r="Q534" i="2"/>
  <c r="P534" i="2"/>
  <c r="Q533" i="2"/>
  <c r="P533" i="2"/>
  <c r="Q532" i="2"/>
  <c r="P532" i="2"/>
  <c r="Q531" i="2"/>
  <c r="P531" i="2"/>
  <c r="Q530" i="2"/>
  <c r="P530" i="2"/>
  <c r="Q529" i="2"/>
  <c r="P529" i="2"/>
  <c r="Q528" i="2"/>
  <c r="P528" i="2"/>
  <c r="Q527" i="2"/>
  <c r="P527" i="2"/>
  <c r="Q526" i="2"/>
  <c r="P526" i="2"/>
  <c r="Q525" i="2"/>
  <c r="P525" i="2"/>
  <c r="Q524" i="2"/>
  <c r="P524" i="2"/>
  <c r="Q523" i="2"/>
  <c r="P523" i="2"/>
  <c r="Q522" i="2"/>
  <c r="P522" i="2"/>
  <c r="Q521" i="2"/>
  <c r="P521" i="2"/>
  <c r="Q520" i="2"/>
  <c r="P520" i="2"/>
  <c r="Q519" i="2"/>
  <c r="P519" i="2"/>
  <c r="Q518" i="2"/>
  <c r="P518" i="2"/>
  <c r="Q517" i="2"/>
  <c r="P517" i="2"/>
  <c r="Q516" i="2"/>
  <c r="P516" i="2"/>
  <c r="Q515" i="2"/>
  <c r="P515" i="2"/>
  <c r="P514" i="2"/>
  <c r="P513" i="2"/>
  <c r="P512" i="2"/>
  <c r="Q511" i="2"/>
  <c r="P511" i="2"/>
  <c r="P510" i="2"/>
  <c r="P509" i="2"/>
  <c r="P508" i="2"/>
  <c r="P507" i="2"/>
  <c r="P506" i="2"/>
  <c r="P505" i="2"/>
  <c r="Q504" i="2"/>
  <c r="P504" i="2"/>
  <c r="Q503" i="2"/>
  <c r="P503" i="2"/>
  <c r="P502" i="2"/>
  <c r="P501" i="2"/>
  <c r="P500" i="2"/>
  <c r="P499" i="2"/>
  <c r="P498" i="2"/>
  <c r="P497" i="2"/>
  <c r="P496" i="2"/>
  <c r="P495" i="2"/>
  <c r="P494" i="2"/>
  <c r="P493" i="2"/>
  <c r="P492" i="2"/>
  <c r="P491" i="2"/>
  <c r="P490" i="2"/>
  <c r="P489" i="2"/>
  <c r="P488" i="2"/>
  <c r="P487" i="2"/>
  <c r="P486" i="2"/>
  <c r="P485" i="2"/>
  <c r="P484" i="2"/>
  <c r="P483" i="2"/>
  <c r="P482" i="2"/>
  <c r="P481" i="2"/>
  <c r="P480" i="2"/>
  <c r="P479" i="2"/>
  <c r="P478" i="2"/>
  <c r="P477" i="2"/>
  <c r="P476" i="2"/>
  <c r="P475" i="2"/>
  <c r="P474" i="2"/>
  <c r="P473" i="2"/>
  <c r="P472" i="2"/>
  <c r="P471" i="2"/>
  <c r="P470" i="2"/>
  <c r="P469" i="2"/>
  <c r="P468" i="2"/>
  <c r="P467" i="2"/>
  <c r="P466" i="2"/>
  <c r="P465" i="2"/>
  <c r="P464" i="2"/>
  <c r="Q463" i="2"/>
  <c r="P463" i="2"/>
  <c r="Q462" i="2"/>
  <c r="P462" i="2"/>
  <c r="Q461" i="2"/>
  <c r="P461" i="2"/>
  <c r="Q460" i="2"/>
  <c r="P460" i="2"/>
  <c r="P459" i="2"/>
  <c r="P458" i="2"/>
  <c r="P457" i="2"/>
  <c r="P456" i="2"/>
  <c r="Q455" i="2"/>
  <c r="P455" i="2"/>
  <c r="Q454" i="2"/>
  <c r="P454" i="2"/>
  <c r="P453" i="2"/>
  <c r="P452" i="2"/>
  <c r="P451" i="2"/>
  <c r="P450" i="2"/>
  <c r="P449" i="2"/>
  <c r="P448" i="2"/>
  <c r="P447" i="2"/>
  <c r="P446" i="2"/>
  <c r="P445" i="2"/>
  <c r="P444" i="2"/>
  <c r="P443" i="2"/>
  <c r="P442" i="2"/>
  <c r="P441" i="2"/>
  <c r="P440" i="2"/>
  <c r="P439" i="2"/>
  <c r="P438" i="2"/>
  <c r="P437" i="2"/>
  <c r="P436" i="2"/>
  <c r="P435" i="2"/>
  <c r="P434" i="2"/>
  <c r="P433" i="2"/>
  <c r="P432" i="2"/>
  <c r="P431" i="2"/>
  <c r="P430" i="2"/>
  <c r="P429" i="2"/>
  <c r="P428" i="2"/>
  <c r="P427" i="2"/>
  <c r="P426" i="2"/>
  <c r="P425" i="2"/>
  <c r="P424" i="2"/>
  <c r="P423" i="2"/>
  <c r="P422" i="2"/>
  <c r="P421" i="2"/>
  <c r="P420" i="2"/>
  <c r="P419" i="2"/>
  <c r="P418" i="2"/>
  <c r="P417" i="2"/>
  <c r="P416" i="2"/>
  <c r="P415" i="2"/>
  <c r="P414" i="2"/>
  <c r="P413" i="2"/>
  <c r="P412" i="2"/>
  <c r="P411" i="2"/>
  <c r="P410" i="2"/>
  <c r="P409" i="2"/>
  <c r="P408" i="2"/>
  <c r="P407" i="2"/>
  <c r="P406" i="2"/>
  <c r="P405" i="2"/>
  <c r="P404" i="2"/>
  <c r="P403" i="2"/>
  <c r="P402" i="2"/>
  <c r="P401" i="2"/>
  <c r="P400" i="2"/>
  <c r="P399" i="2"/>
  <c r="P398" i="2"/>
  <c r="P397" i="2"/>
  <c r="P396" i="2"/>
  <c r="Q395" i="2"/>
  <c r="P395" i="2"/>
  <c r="Q394" i="2"/>
  <c r="P394" i="2"/>
  <c r="P393" i="2"/>
  <c r="P392" i="2"/>
  <c r="P391" i="2"/>
  <c r="Q390" i="2"/>
  <c r="P390" i="2"/>
  <c r="Q389" i="2"/>
  <c r="P389" i="2"/>
  <c r="Q388" i="2"/>
  <c r="P388" i="2"/>
  <c r="Q387" i="2"/>
  <c r="P387" i="2"/>
  <c r="Q386" i="2"/>
  <c r="P386" i="2"/>
  <c r="Q385" i="2"/>
  <c r="P385" i="2"/>
  <c r="Q384" i="2"/>
  <c r="P384" i="2"/>
  <c r="Q383" i="2"/>
  <c r="P383" i="2"/>
  <c r="Q382" i="2"/>
  <c r="P382" i="2"/>
  <c r="Q381" i="2"/>
  <c r="P381" i="2"/>
  <c r="Q380" i="2"/>
  <c r="P380" i="2"/>
  <c r="Q379" i="2"/>
  <c r="P379" i="2"/>
  <c r="Q378" i="2"/>
  <c r="P378" i="2"/>
  <c r="Q377" i="2"/>
  <c r="P377" i="2"/>
  <c r="Q376" i="2"/>
  <c r="P376" i="2"/>
  <c r="Q375" i="2"/>
  <c r="P375" i="2"/>
  <c r="Q374" i="2"/>
  <c r="P374" i="2"/>
  <c r="Q373" i="2"/>
  <c r="P373" i="2"/>
  <c r="Q372" i="2"/>
  <c r="P372" i="2"/>
  <c r="Q371" i="2"/>
  <c r="P371" i="2"/>
  <c r="Q370" i="2"/>
  <c r="P370" i="2"/>
  <c r="P369" i="2"/>
  <c r="P368" i="2"/>
  <c r="P367" i="2"/>
  <c r="P366" i="2"/>
  <c r="Q365" i="2"/>
  <c r="P365" i="2"/>
  <c r="Q364" i="2"/>
  <c r="P364" i="2"/>
  <c r="Q363" i="2"/>
  <c r="P363" i="2"/>
  <c r="Q362" i="2"/>
  <c r="P362" i="2"/>
  <c r="Q361" i="2"/>
  <c r="P361" i="2"/>
  <c r="Q360" i="2"/>
  <c r="P360" i="2"/>
  <c r="Q359" i="2"/>
  <c r="P359" i="2"/>
  <c r="Q358" i="2"/>
  <c r="P358" i="2"/>
  <c r="Q357" i="2"/>
  <c r="P357" i="2"/>
  <c r="Q356" i="2"/>
  <c r="P356" i="2"/>
  <c r="Q355" i="2"/>
  <c r="P355" i="2"/>
  <c r="Q354" i="2"/>
  <c r="P354" i="2"/>
  <c r="Q353" i="2"/>
  <c r="P353" i="2"/>
  <c r="Q352" i="2"/>
  <c r="P352" i="2"/>
  <c r="Q351" i="2"/>
  <c r="P351" i="2"/>
  <c r="Q350" i="2"/>
  <c r="P350" i="2"/>
  <c r="Q349" i="2"/>
  <c r="P349" i="2"/>
  <c r="Q348" i="2"/>
  <c r="P348" i="2"/>
  <c r="Q347" i="2"/>
  <c r="P347" i="2"/>
  <c r="Q346" i="2"/>
  <c r="P346" i="2"/>
  <c r="Q345" i="2"/>
  <c r="P345" i="2"/>
  <c r="Q344" i="2"/>
  <c r="P344" i="2"/>
  <c r="Q343" i="2"/>
  <c r="P343" i="2"/>
  <c r="Q342" i="2"/>
  <c r="P342" i="2"/>
  <c r="Q341" i="2"/>
  <c r="P341" i="2"/>
  <c r="Q340" i="2"/>
  <c r="P340" i="2"/>
  <c r="Q339" i="2"/>
  <c r="P339" i="2"/>
  <c r="Q338" i="2"/>
  <c r="P338" i="2"/>
  <c r="Q337" i="2"/>
  <c r="P337" i="2"/>
  <c r="P336" i="2"/>
  <c r="Q335" i="2"/>
  <c r="P335" i="2"/>
  <c r="Q334" i="2"/>
  <c r="P334" i="2"/>
  <c r="Q333" i="2"/>
  <c r="P333" i="2"/>
  <c r="Q332" i="2"/>
  <c r="P332" i="2"/>
  <c r="Q331" i="2"/>
  <c r="P331" i="2"/>
  <c r="Q330" i="2"/>
  <c r="P330" i="2"/>
  <c r="Q329" i="2"/>
  <c r="P329" i="2"/>
  <c r="Q328" i="2"/>
  <c r="P328" i="2"/>
  <c r="Q327" i="2"/>
  <c r="P327" i="2"/>
  <c r="Q326" i="2"/>
  <c r="P326" i="2"/>
  <c r="Q325" i="2"/>
  <c r="P325" i="2"/>
  <c r="Q324" i="2"/>
  <c r="P324" i="2"/>
  <c r="Q323" i="2"/>
  <c r="P323" i="2"/>
  <c r="Q322" i="2"/>
  <c r="P322" i="2"/>
  <c r="Q321" i="2"/>
  <c r="P321" i="2"/>
  <c r="Q320" i="2"/>
  <c r="P320" i="2"/>
  <c r="Q319" i="2"/>
  <c r="P319" i="2"/>
  <c r="Q318" i="2"/>
  <c r="P318" i="2"/>
  <c r="Q317" i="2"/>
  <c r="P317" i="2"/>
  <c r="Q316" i="2"/>
  <c r="P316" i="2"/>
  <c r="Q315" i="2"/>
  <c r="P315" i="2"/>
  <c r="Q314" i="2"/>
  <c r="P314" i="2"/>
  <c r="Q313" i="2"/>
  <c r="P313" i="2"/>
  <c r="Q312" i="2"/>
  <c r="P312" i="2"/>
  <c r="Q311" i="2"/>
  <c r="P311" i="2"/>
  <c r="Q310" i="2"/>
  <c r="P310" i="2"/>
  <c r="Q309" i="2"/>
  <c r="P309" i="2"/>
  <c r="Q308" i="2"/>
  <c r="P308" i="2"/>
  <c r="Q307" i="2"/>
  <c r="P307" i="2"/>
  <c r="Q306" i="2"/>
  <c r="P306" i="2"/>
  <c r="Q305" i="2"/>
  <c r="P305" i="2"/>
  <c r="Q304" i="2"/>
  <c r="P304" i="2"/>
  <c r="Q303" i="2"/>
  <c r="P303" i="2"/>
  <c r="Q302" i="2"/>
  <c r="P302" i="2"/>
  <c r="Q301" i="2"/>
  <c r="P301" i="2"/>
  <c r="Q300" i="2"/>
  <c r="P300" i="2"/>
  <c r="Q299" i="2"/>
  <c r="P299" i="2"/>
  <c r="Q298" i="2"/>
  <c r="P298" i="2"/>
  <c r="Q297" i="2"/>
  <c r="P297" i="2"/>
  <c r="Q296" i="2"/>
  <c r="P296" i="2"/>
  <c r="Q295" i="2"/>
  <c r="P295" i="2"/>
  <c r="Q294" i="2"/>
  <c r="P294" i="2"/>
  <c r="Q293" i="2"/>
  <c r="P293" i="2"/>
  <c r="Q292" i="2"/>
  <c r="P292" i="2"/>
  <c r="Q291" i="2"/>
  <c r="P291" i="2"/>
  <c r="Q290" i="2"/>
  <c r="P290" i="2"/>
  <c r="Q289" i="2"/>
  <c r="P289" i="2"/>
  <c r="Q288" i="2"/>
  <c r="P288" i="2"/>
  <c r="Q287" i="2"/>
  <c r="P287" i="2"/>
  <c r="Q286" i="2"/>
  <c r="P286" i="2"/>
  <c r="Q285" i="2"/>
  <c r="P285" i="2"/>
  <c r="Q284" i="2"/>
  <c r="P284" i="2"/>
  <c r="Q283" i="2"/>
  <c r="P283" i="2"/>
  <c r="Q282" i="2"/>
  <c r="P282" i="2"/>
  <c r="P281" i="2"/>
  <c r="P280" i="2"/>
  <c r="P279" i="2"/>
  <c r="Q278" i="2"/>
  <c r="P278" i="2"/>
  <c r="Q277" i="2"/>
  <c r="P277" i="2"/>
  <c r="Q276" i="2"/>
  <c r="P276" i="2"/>
  <c r="Q275" i="2"/>
  <c r="P275" i="2"/>
  <c r="Q274" i="2"/>
  <c r="P274" i="2"/>
  <c r="Q273" i="2"/>
  <c r="P273" i="2"/>
  <c r="Q272" i="2"/>
  <c r="P272" i="2"/>
  <c r="Q271" i="2"/>
  <c r="P271" i="2"/>
  <c r="Q270" i="2"/>
  <c r="P270" i="2"/>
  <c r="Q269" i="2"/>
  <c r="P269" i="2"/>
  <c r="Q268" i="2"/>
  <c r="P268" i="2"/>
  <c r="Q267" i="2"/>
  <c r="P267" i="2"/>
  <c r="Q266" i="2"/>
  <c r="P266" i="2"/>
  <c r="Q265" i="2"/>
  <c r="P265" i="2"/>
  <c r="Q264" i="2"/>
  <c r="P264" i="2"/>
  <c r="Q263" i="2"/>
  <c r="P263" i="2"/>
  <c r="Q262" i="2"/>
  <c r="P262" i="2"/>
  <c r="Q261" i="2"/>
  <c r="P261" i="2"/>
  <c r="P260" i="2"/>
  <c r="Q259" i="2"/>
  <c r="P259" i="2"/>
  <c r="Q258" i="2"/>
  <c r="P258" i="2"/>
  <c r="Q257" i="2"/>
  <c r="P257" i="2"/>
  <c r="Q256" i="2"/>
  <c r="P256" i="2"/>
  <c r="Q255" i="2"/>
  <c r="P255" i="2"/>
  <c r="Q254" i="2"/>
  <c r="P254" i="2"/>
  <c r="Q253" i="2"/>
  <c r="P253" i="2"/>
  <c r="Q252" i="2"/>
  <c r="P252" i="2"/>
  <c r="Q251" i="2"/>
  <c r="P251" i="2"/>
  <c r="Q250" i="2"/>
  <c r="P250" i="2"/>
  <c r="Q249" i="2"/>
  <c r="P249" i="2"/>
  <c r="Q248" i="2"/>
  <c r="P248" i="2"/>
  <c r="Q247" i="2"/>
  <c r="P247" i="2"/>
  <c r="Q246" i="2"/>
  <c r="P246" i="2"/>
  <c r="Q245" i="2"/>
  <c r="P245" i="2"/>
  <c r="Q244" i="2"/>
  <c r="P244" i="2"/>
  <c r="Q243" i="2"/>
  <c r="P243" i="2"/>
  <c r="Q242" i="2"/>
  <c r="P242" i="2"/>
  <c r="Q241" i="2"/>
  <c r="P241" i="2"/>
  <c r="Q240" i="2"/>
  <c r="P240" i="2"/>
  <c r="Q239" i="2"/>
  <c r="P239" i="2"/>
  <c r="Q238" i="2"/>
  <c r="P238" i="2"/>
  <c r="Q237" i="2"/>
  <c r="P237" i="2"/>
  <c r="Q236" i="2"/>
  <c r="P236" i="2"/>
  <c r="Q235" i="2"/>
  <c r="P235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Q219" i="2"/>
  <c r="P219" i="2"/>
  <c r="P218" i="2"/>
  <c r="Q217" i="2"/>
  <c r="P217" i="2"/>
  <c r="Q216" i="2"/>
  <c r="P216" i="2"/>
  <c r="Q215" i="2"/>
  <c r="P215" i="2"/>
  <c r="Q214" i="2"/>
  <c r="P214" i="2"/>
  <c r="Q213" i="2"/>
  <c r="P213" i="2"/>
  <c r="P212" i="2"/>
  <c r="P211" i="2"/>
  <c r="P210" i="2"/>
  <c r="P209" i="2"/>
  <c r="P208" i="2"/>
  <c r="P207" i="2"/>
  <c r="Q206" i="2"/>
  <c r="P206" i="2"/>
  <c r="Q205" i="2"/>
  <c r="P205" i="2"/>
  <c r="Q204" i="2"/>
  <c r="P204" i="2"/>
  <c r="P203" i="2"/>
  <c r="P202" i="2"/>
  <c r="P201" i="2"/>
  <c r="P200" i="2"/>
  <c r="P199" i="2"/>
  <c r="P198" i="2"/>
  <c r="P197" i="2"/>
  <c r="P196" i="2"/>
  <c r="P195" i="2"/>
  <c r="P194" i="2"/>
  <c r="Q193" i="2"/>
  <c r="P193" i="2"/>
  <c r="Q192" i="2"/>
  <c r="P192" i="2"/>
  <c r="Q191" i="2"/>
  <c r="P191" i="2"/>
  <c r="Q190" i="2"/>
  <c r="P190" i="2"/>
  <c r="Q189" i="2"/>
  <c r="P189" i="2"/>
  <c r="Q188" i="2"/>
  <c r="P188" i="2"/>
  <c r="Q187" i="2"/>
  <c r="P187" i="2"/>
  <c r="Q186" i="2"/>
  <c r="P186" i="2"/>
  <c r="P185" i="2"/>
  <c r="P184" i="2"/>
  <c r="P183" i="2"/>
  <c r="Q182" i="2"/>
  <c r="P182" i="2"/>
  <c r="Q181" i="2"/>
  <c r="P181" i="2"/>
  <c r="Q180" i="2"/>
  <c r="P180" i="2"/>
  <c r="Q179" i="2"/>
  <c r="P179" i="2"/>
  <c r="Q178" i="2"/>
  <c r="P178" i="2"/>
  <c r="Q177" i="2"/>
  <c r="P177" i="2"/>
  <c r="Q176" i="2"/>
  <c r="P176" i="2"/>
  <c r="Q175" i="2"/>
  <c r="P175" i="2"/>
  <c r="Q174" i="2"/>
  <c r="P174" i="2"/>
  <c r="Q173" i="2"/>
  <c r="P173" i="2"/>
  <c r="Q172" i="2"/>
  <c r="P172" i="2"/>
  <c r="Q171" i="2"/>
  <c r="P171" i="2"/>
  <c r="Q170" i="2"/>
  <c r="P170" i="2"/>
  <c r="Q169" i="2"/>
  <c r="P169" i="2"/>
  <c r="Q168" i="2"/>
  <c r="P168" i="2"/>
  <c r="Q167" i="2"/>
  <c r="P167" i="2"/>
  <c r="Q166" i="2"/>
  <c r="P166" i="2"/>
  <c r="Q165" i="2"/>
  <c r="P165" i="2"/>
  <c r="Q164" i="2"/>
  <c r="P164" i="2"/>
  <c r="Q163" i="2"/>
  <c r="P163" i="2"/>
  <c r="Q162" i="2"/>
  <c r="P162" i="2"/>
  <c r="Q161" i="2"/>
  <c r="P161" i="2"/>
  <c r="Q160" i="2"/>
  <c r="P160" i="2"/>
  <c r="Q159" i="2"/>
  <c r="P159" i="2"/>
  <c r="Q158" i="2"/>
  <c r="P158" i="2"/>
  <c r="Q157" i="2"/>
  <c r="P157" i="2"/>
  <c r="Q156" i="2"/>
  <c r="P156" i="2"/>
  <c r="Q155" i="2"/>
  <c r="P155" i="2"/>
  <c r="Q154" i="2"/>
  <c r="P154" i="2"/>
  <c r="Q153" i="2"/>
  <c r="P153" i="2"/>
  <c r="Q152" i="2"/>
  <c r="P152" i="2"/>
  <c r="Q151" i="2"/>
  <c r="P151" i="2"/>
  <c r="Q150" i="2"/>
  <c r="P150" i="2"/>
  <c r="Q149" i="2"/>
  <c r="P149" i="2"/>
  <c r="Q148" i="2"/>
  <c r="P148" i="2"/>
  <c r="Q147" i="2"/>
  <c r="P147" i="2"/>
  <c r="Q146" i="2"/>
  <c r="P146" i="2"/>
  <c r="Q145" i="2"/>
  <c r="P145" i="2"/>
  <c r="Q144" i="2"/>
  <c r="P144" i="2"/>
  <c r="Q143" i="2"/>
  <c r="P143" i="2"/>
  <c r="Q142" i="2"/>
  <c r="P142" i="2"/>
  <c r="Q141" i="2"/>
  <c r="P141" i="2"/>
  <c r="Q140" i="2"/>
  <c r="P140" i="2"/>
  <c r="Q139" i="2"/>
  <c r="P139" i="2"/>
  <c r="Q138" i="2"/>
  <c r="P138" i="2"/>
  <c r="Q137" i="2"/>
  <c r="P137" i="2"/>
  <c r="Q136" i="2"/>
  <c r="P136" i="2"/>
  <c r="Q135" i="2"/>
  <c r="P135" i="2"/>
  <c r="Q134" i="2"/>
  <c r="P134" i="2"/>
  <c r="Q133" i="2"/>
  <c r="P133" i="2"/>
  <c r="Q132" i="2"/>
  <c r="P132" i="2"/>
  <c r="Q131" i="2"/>
  <c r="P131" i="2"/>
  <c r="Q130" i="2"/>
  <c r="P130" i="2"/>
  <c r="Q129" i="2"/>
  <c r="P129" i="2"/>
  <c r="Q128" i="2"/>
  <c r="P128" i="2"/>
  <c r="Q127" i="2"/>
  <c r="P127" i="2"/>
  <c r="Q126" i="2"/>
  <c r="P126" i="2"/>
  <c r="Q125" i="2"/>
  <c r="P125" i="2"/>
  <c r="Q124" i="2"/>
  <c r="P124" i="2"/>
  <c r="Q123" i="2"/>
  <c r="P123" i="2"/>
  <c r="Q122" i="2"/>
  <c r="P122" i="2"/>
  <c r="Q121" i="2"/>
  <c r="P121" i="2"/>
  <c r="Q120" i="2"/>
  <c r="P120" i="2"/>
  <c r="Q119" i="2"/>
  <c r="P119" i="2"/>
  <c r="Q118" i="2"/>
  <c r="P118" i="2"/>
  <c r="Q117" i="2"/>
  <c r="P117" i="2"/>
  <c r="Q116" i="2"/>
  <c r="P116" i="2"/>
  <c r="Q115" i="2"/>
  <c r="P115" i="2"/>
  <c r="Q114" i="2"/>
  <c r="P114" i="2"/>
  <c r="Q113" i="2"/>
  <c r="P113" i="2"/>
  <c r="Q112" i="2"/>
  <c r="P112" i="2"/>
  <c r="Q111" i="2"/>
  <c r="P111" i="2"/>
  <c r="Q110" i="2"/>
  <c r="P110" i="2"/>
  <c r="Q109" i="2"/>
  <c r="P109" i="2"/>
  <c r="Q108" i="2"/>
  <c r="P108" i="2"/>
  <c r="Q107" i="2"/>
  <c r="P107" i="2"/>
  <c r="Q106" i="2"/>
  <c r="P106" i="2"/>
  <c r="Q105" i="2"/>
  <c r="P105" i="2"/>
  <c r="Q104" i="2"/>
  <c r="P104" i="2"/>
  <c r="Q103" i="2"/>
  <c r="P103" i="2"/>
  <c r="Q102" i="2"/>
  <c r="P102" i="2"/>
  <c r="Q101" i="2"/>
  <c r="P101" i="2"/>
  <c r="Q100" i="2"/>
  <c r="P100" i="2"/>
  <c r="Q99" i="2"/>
  <c r="P99" i="2"/>
  <c r="Q98" i="2"/>
  <c r="P98" i="2"/>
  <c r="Q97" i="2"/>
  <c r="P97" i="2"/>
  <c r="Q96" i="2"/>
  <c r="P96" i="2"/>
  <c r="Q95" i="2"/>
  <c r="P95" i="2"/>
  <c r="Q94" i="2"/>
  <c r="P94" i="2"/>
  <c r="Q93" i="2"/>
  <c r="P93" i="2"/>
  <c r="Q92" i="2"/>
  <c r="P92" i="2"/>
  <c r="Q91" i="2"/>
  <c r="P91" i="2"/>
  <c r="Q90" i="2"/>
  <c r="P90" i="2"/>
  <c r="Q89" i="2"/>
  <c r="P89" i="2"/>
  <c r="Q88" i="2"/>
  <c r="P88" i="2"/>
  <c r="Q87" i="2"/>
  <c r="P87" i="2"/>
  <c r="Q86" i="2"/>
  <c r="P86" i="2"/>
  <c r="Q85" i="2"/>
  <c r="P85" i="2"/>
  <c r="Q84" i="2"/>
  <c r="P84" i="2"/>
  <c r="Q83" i="2"/>
  <c r="P83" i="2"/>
  <c r="Q82" i="2"/>
  <c r="P82" i="2"/>
  <c r="Q81" i="2"/>
  <c r="P81" i="2"/>
  <c r="Q80" i="2"/>
  <c r="P80" i="2"/>
  <c r="Q79" i="2"/>
  <c r="P79" i="2"/>
  <c r="Q78" i="2"/>
  <c r="P78" i="2"/>
  <c r="Q77" i="2"/>
  <c r="P77" i="2"/>
  <c r="Q76" i="2"/>
  <c r="P76" i="2"/>
  <c r="Q75" i="2"/>
  <c r="P75" i="2"/>
  <c r="Q74" i="2"/>
  <c r="P74" i="2"/>
  <c r="Q73" i="2"/>
  <c r="P73" i="2"/>
  <c r="Q72" i="2"/>
  <c r="P72" i="2"/>
  <c r="Q71" i="2"/>
  <c r="P71" i="2"/>
  <c r="Q70" i="2"/>
  <c r="P70" i="2"/>
  <c r="Q69" i="2"/>
  <c r="P69" i="2"/>
  <c r="Q68" i="2"/>
  <c r="P68" i="2"/>
  <c r="Q67" i="2"/>
  <c r="P67" i="2"/>
  <c r="Q66" i="2"/>
  <c r="P66" i="2"/>
  <c r="Q65" i="2"/>
  <c r="P65" i="2"/>
  <c r="Q64" i="2"/>
  <c r="P64" i="2"/>
  <c r="Q63" i="2"/>
  <c r="P63" i="2"/>
  <c r="Q62" i="2"/>
  <c r="P62" i="2"/>
  <c r="Q61" i="2"/>
  <c r="P61" i="2"/>
  <c r="Q60" i="2"/>
  <c r="P60" i="2"/>
  <c r="Q59" i="2"/>
  <c r="P59" i="2"/>
  <c r="Q58" i="2"/>
  <c r="P58" i="2"/>
  <c r="Q57" i="2"/>
  <c r="P57" i="2"/>
  <c r="Q56" i="2"/>
  <c r="P56" i="2"/>
  <c r="Q55" i="2"/>
  <c r="P55" i="2"/>
  <c r="Q54" i="2"/>
  <c r="P54" i="2"/>
  <c r="Q53" i="2"/>
  <c r="P53" i="2"/>
  <c r="Q52" i="2"/>
  <c r="P52" i="2"/>
  <c r="Q51" i="2"/>
  <c r="P51" i="2"/>
  <c r="Q50" i="2"/>
  <c r="P50" i="2"/>
  <c r="Q49" i="2"/>
  <c r="P49" i="2"/>
  <c r="Q48" i="2"/>
  <c r="P48" i="2"/>
  <c r="Q47" i="2"/>
  <c r="P47" i="2"/>
  <c r="Q46" i="2"/>
  <c r="P46" i="2"/>
  <c r="Q45" i="2"/>
  <c r="P45" i="2"/>
  <c r="Q44" i="2"/>
  <c r="P44" i="2"/>
  <c r="Q43" i="2"/>
  <c r="P43" i="2"/>
  <c r="Q42" i="2"/>
  <c r="P42" i="2"/>
  <c r="Q41" i="2"/>
  <c r="P41" i="2"/>
  <c r="Q40" i="2"/>
  <c r="P40" i="2"/>
  <c r="Q39" i="2"/>
  <c r="P39" i="2"/>
  <c r="Q38" i="2"/>
  <c r="P38" i="2"/>
  <c r="Q37" i="2"/>
  <c r="P37" i="2"/>
  <c r="Q36" i="2"/>
  <c r="P36" i="2"/>
  <c r="Q35" i="2"/>
  <c r="P35" i="2"/>
  <c r="Q34" i="2"/>
  <c r="P34" i="2"/>
  <c r="Q33" i="2"/>
  <c r="P33" i="2"/>
  <c r="Q32" i="2"/>
  <c r="P32" i="2"/>
  <c r="Q31" i="2"/>
  <c r="P31" i="2"/>
  <c r="Q30" i="2"/>
  <c r="P30" i="2"/>
  <c r="Q29" i="2"/>
  <c r="P29" i="2"/>
  <c r="Q28" i="2"/>
  <c r="P28" i="2"/>
  <c r="Q27" i="2"/>
  <c r="P27" i="2"/>
  <c r="Q26" i="2"/>
  <c r="P26" i="2"/>
  <c r="Q25" i="2"/>
  <c r="P25" i="2"/>
  <c r="Q24" i="2"/>
  <c r="P24" i="2"/>
  <c r="Q23" i="2"/>
  <c r="P23" i="2"/>
  <c r="Q22" i="2"/>
  <c r="P22" i="2"/>
  <c r="Q21" i="2"/>
  <c r="P21" i="2"/>
  <c r="Q20" i="2"/>
  <c r="P20" i="2"/>
  <c r="Q19" i="2"/>
  <c r="P19" i="2"/>
  <c r="Q18" i="2"/>
  <c r="P18" i="2"/>
  <c r="Q17" i="2"/>
  <c r="P17" i="2"/>
  <c r="Q16" i="2"/>
  <c r="P16" i="2"/>
  <c r="Q15" i="2"/>
  <c r="P15" i="2"/>
  <c r="Q14" i="2"/>
  <c r="P14" i="2"/>
  <c r="Q13" i="2"/>
  <c r="P13" i="2"/>
  <c r="Q12" i="2"/>
  <c r="P12" i="2"/>
  <c r="Q11" i="2"/>
  <c r="P11" i="2"/>
  <c r="Q10" i="2"/>
  <c r="P10" i="2"/>
  <c r="Q9" i="2"/>
  <c r="P9" i="2"/>
  <c r="Q8" i="2"/>
  <c r="P8" i="2"/>
  <c r="Q7" i="2"/>
  <c r="P7" i="2"/>
  <c r="Q6" i="2"/>
  <c r="P6" i="2"/>
  <c r="Q5" i="2"/>
  <c r="P5" i="2"/>
  <c r="Q4" i="2"/>
  <c r="P4" i="2"/>
  <c r="Q3" i="2"/>
  <c r="P3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D1" i="2" l="1"/>
</calcChain>
</file>

<file path=xl/sharedStrings.xml><?xml version="1.0" encoding="utf-8"?>
<sst xmlns="http://schemas.openxmlformats.org/spreadsheetml/2006/main" count="12872" uniqueCount="3452">
  <si>
    <t xml:space="preserve">CENNIK PODSTAWOWY </t>
  </si>
  <si>
    <t>obowiązujący od dnia:</t>
  </si>
  <si>
    <t>GRUPA</t>
  </si>
  <si>
    <t>WPISZ RABAT %</t>
  </si>
  <si>
    <t>OPRAWY PRZEMYSŁOWE</t>
  </si>
  <si>
    <t>OPRAWY DOMOWE</t>
  </si>
  <si>
    <t>AKCESORIA</t>
  </si>
  <si>
    <t>ceny cennikowe zawierają opłaty KGO</t>
  </si>
  <si>
    <t>ceny cennikowe nie zawierają podatku VAT (ceny netto)</t>
  </si>
  <si>
    <t>BDO: 000003217</t>
  </si>
  <si>
    <t>www.kobi.pl</t>
  </si>
  <si>
    <t>Cennik obowiązujący od dnia:</t>
  </si>
  <si>
    <t>ŹRÓDŁA ŚWIATŁA</t>
  </si>
  <si>
    <t>EEI</t>
  </si>
  <si>
    <t>KOBI LIGHT SP. Z O.O.</t>
  </si>
  <si>
    <t/>
  </si>
  <si>
    <t>MEBLOWE</t>
  </si>
  <si>
    <t>LED2B</t>
  </si>
  <si>
    <t>NAŚWIETLACZE</t>
  </si>
  <si>
    <t>HIGH BAY</t>
  </si>
  <si>
    <t>PRZEDŁUŻACZE</t>
  </si>
  <si>
    <t>5902846013709</t>
  </si>
  <si>
    <t>5900605095768</t>
  </si>
  <si>
    <t>5902846010579</t>
  </si>
  <si>
    <t>5900605095751</t>
  </si>
  <si>
    <t>5902846016472</t>
  </si>
  <si>
    <t>5902846016960</t>
  </si>
  <si>
    <t>5902846016656</t>
  </si>
  <si>
    <t>5902201300338</t>
  </si>
  <si>
    <t>5902846010586</t>
  </si>
  <si>
    <t>5902201369892</t>
  </si>
  <si>
    <t>5902201307436</t>
  </si>
  <si>
    <t>5902201307443</t>
  </si>
  <si>
    <t>5902201305951</t>
  </si>
  <si>
    <t>5902201305968</t>
  </si>
  <si>
    <t>5902201364972</t>
  </si>
  <si>
    <t>5902201364989</t>
  </si>
  <si>
    <t>5902201364996</t>
  </si>
  <si>
    <t>5900605095720</t>
  </si>
  <si>
    <t>5900605097137</t>
  </si>
  <si>
    <t>5900605097144</t>
  </si>
  <si>
    <t>5902846016816</t>
  </si>
  <si>
    <t>5902846016823</t>
  </si>
  <si>
    <t>5900605095287</t>
  </si>
  <si>
    <t>5900605095294</t>
  </si>
  <si>
    <t>5900605095300</t>
  </si>
  <si>
    <t>5902846017424</t>
  </si>
  <si>
    <t>5902846017455</t>
  </si>
  <si>
    <t>5902846018766</t>
  </si>
  <si>
    <t>5902846015864</t>
  </si>
  <si>
    <t>5902846015871</t>
  </si>
  <si>
    <t>5902846015987</t>
  </si>
  <si>
    <t>5902201302349</t>
  </si>
  <si>
    <t>5902201304503</t>
  </si>
  <si>
    <t>5902201304510</t>
  </si>
  <si>
    <t>5900605094471</t>
  </si>
  <si>
    <t>5900605094488</t>
  </si>
  <si>
    <t>5900605094495</t>
  </si>
  <si>
    <t>5902201305555</t>
  </si>
  <si>
    <t>5900605094501</t>
  </si>
  <si>
    <t>5900605094518</t>
  </si>
  <si>
    <t>5900605094525</t>
  </si>
  <si>
    <t>5900605095317</t>
  </si>
  <si>
    <t>5900605095324</t>
  </si>
  <si>
    <t>5900605095331</t>
  </si>
  <si>
    <t>5902846018681</t>
  </si>
  <si>
    <t>5902846018698</t>
  </si>
  <si>
    <t>5902846018704</t>
  </si>
  <si>
    <t>5900605092767</t>
  </si>
  <si>
    <t>5900605098264</t>
  </si>
  <si>
    <t>5900605093115</t>
  </si>
  <si>
    <t>5902201301960</t>
  </si>
  <si>
    <t>5902201301977</t>
  </si>
  <si>
    <t>5902201301984</t>
  </si>
  <si>
    <t>5900605098295</t>
  </si>
  <si>
    <t>5900605098301</t>
  </si>
  <si>
    <t>5900605098318</t>
  </si>
  <si>
    <t>5902201300727</t>
  </si>
  <si>
    <t>5902201300734</t>
  </si>
  <si>
    <t>5902201300741</t>
  </si>
  <si>
    <t>5900605093467</t>
  </si>
  <si>
    <t>5900605097717</t>
  </si>
  <si>
    <t>5900605093474</t>
  </si>
  <si>
    <t>5902846019107</t>
  </si>
  <si>
    <t>5902846019114</t>
  </si>
  <si>
    <t>5902846019121</t>
  </si>
  <si>
    <t>5902201305876</t>
  </si>
  <si>
    <t>5902201305883</t>
  </si>
  <si>
    <t>5902201305890</t>
  </si>
  <si>
    <t>5902201308334</t>
  </si>
  <si>
    <t>5902201308341</t>
  </si>
  <si>
    <t>5902201308228</t>
  </si>
  <si>
    <t>5902201308235</t>
  </si>
  <si>
    <t>5900605091333</t>
  </si>
  <si>
    <t>5902846013839</t>
  </si>
  <si>
    <t>5900605097090</t>
  </si>
  <si>
    <t>5900605094136</t>
  </si>
  <si>
    <t>5900605097519</t>
  </si>
  <si>
    <t>5900605095553</t>
  </si>
  <si>
    <t>5902846017554</t>
  </si>
  <si>
    <t>5902846011224</t>
  </si>
  <si>
    <t>5902846011231</t>
  </si>
  <si>
    <t>5902846012993</t>
  </si>
  <si>
    <t>5900605091340</t>
  </si>
  <si>
    <t>5902846015277</t>
  </si>
  <si>
    <t>5900605097106</t>
  </si>
  <si>
    <t>5900605094143</t>
  </si>
  <si>
    <t>5900605097540</t>
  </si>
  <si>
    <t>5900605095560</t>
  </si>
  <si>
    <t>5902846017547</t>
  </si>
  <si>
    <t>5902846011248</t>
  </si>
  <si>
    <t>5902846011255</t>
  </si>
  <si>
    <t>5902846013006</t>
  </si>
  <si>
    <t>5902846015895</t>
  </si>
  <si>
    <t>5902846015901</t>
  </si>
  <si>
    <t>5902846015918</t>
  </si>
  <si>
    <t>5900605095126</t>
  </si>
  <si>
    <t>5900605097601</t>
  </si>
  <si>
    <t>5900605095133</t>
  </si>
  <si>
    <t>5900605098127</t>
  </si>
  <si>
    <t>5902201301519</t>
  </si>
  <si>
    <t>5900605093801</t>
  </si>
  <si>
    <t>5900605091319</t>
  </si>
  <si>
    <t>5900605098066</t>
  </si>
  <si>
    <t>5900605097113</t>
  </si>
  <si>
    <t>5900605094112</t>
  </si>
  <si>
    <t>5900605097526</t>
  </si>
  <si>
    <t>5900605095539</t>
  </si>
  <si>
    <t>5902846011200</t>
  </si>
  <si>
    <t>5902846011217</t>
  </si>
  <si>
    <t>5902846012979</t>
  </si>
  <si>
    <t>5900605094129</t>
  </si>
  <si>
    <t>5900605097533</t>
  </si>
  <si>
    <t>5900605095546</t>
  </si>
  <si>
    <t>5902846017561</t>
  </si>
  <si>
    <t>5902201300970</t>
  </si>
  <si>
    <t>5902846012085</t>
  </si>
  <si>
    <t>5906340213740</t>
  </si>
  <si>
    <t>5902846012986</t>
  </si>
  <si>
    <t>5900605097564</t>
  </si>
  <si>
    <t>5902201301632</t>
  </si>
  <si>
    <t>5902201365139</t>
  </si>
  <si>
    <t>5902201365146</t>
  </si>
  <si>
    <t>5902201365153</t>
  </si>
  <si>
    <t>5902201365160</t>
  </si>
  <si>
    <t>5902846016304</t>
  </si>
  <si>
    <t>5902201365177</t>
  </si>
  <si>
    <t>5902201365184</t>
  </si>
  <si>
    <t>5902846010685</t>
  </si>
  <si>
    <t>5902846015802</t>
  </si>
  <si>
    <t>5902846015819</t>
  </si>
  <si>
    <t>5902846016724</t>
  </si>
  <si>
    <t>5902846016731</t>
  </si>
  <si>
    <t>5902201371147</t>
  </si>
  <si>
    <t>5902201371154</t>
  </si>
  <si>
    <t>5902201371161</t>
  </si>
  <si>
    <t>5902201371178</t>
  </si>
  <si>
    <t>5902201371185</t>
  </si>
  <si>
    <t>5902201371192</t>
  </si>
  <si>
    <t>5902201359251</t>
  </si>
  <si>
    <t>5902201359244</t>
  </si>
  <si>
    <t>5902201300796</t>
  </si>
  <si>
    <t>5902201300819</t>
  </si>
  <si>
    <t>5902201364194</t>
  </si>
  <si>
    <t>5902201359589</t>
  </si>
  <si>
    <t>5900605092569</t>
  </si>
  <si>
    <t>5900605098837</t>
  </si>
  <si>
    <t>5902846011774</t>
  </si>
  <si>
    <t>5900605098486</t>
  </si>
  <si>
    <t>5900605098493</t>
  </si>
  <si>
    <t>5900605098462</t>
  </si>
  <si>
    <t>5902846010357</t>
  </si>
  <si>
    <t>5900605098097</t>
  </si>
  <si>
    <t>5900605098479</t>
  </si>
  <si>
    <t>5900605098011</t>
  </si>
  <si>
    <t>5902846010371</t>
  </si>
  <si>
    <t>5900605099278</t>
  </si>
  <si>
    <t>5906340215225</t>
  </si>
  <si>
    <t>5900605098813</t>
  </si>
  <si>
    <t>5902201301649</t>
  </si>
  <si>
    <t>5900605098806</t>
  </si>
  <si>
    <t>5900605098790</t>
  </si>
  <si>
    <t>5902201301656</t>
  </si>
  <si>
    <t>5902201305722</t>
  </si>
  <si>
    <t>5906340215997</t>
  </si>
  <si>
    <t>5902846018872</t>
  </si>
  <si>
    <t>5902846013761</t>
  </si>
  <si>
    <t>5902201304268</t>
  </si>
  <si>
    <t>5900605096628</t>
  </si>
  <si>
    <t>5902846018834</t>
  </si>
  <si>
    <t>5902846018827</t>
  </si>
  <si>
    <t>5902846011361</t>
  </si>
  <si>
    <t>5902846012221</t>
  </si>
  <si>
    <t>5902201364613</t>
  </si>
  <si>
    <t>5902201375596</t>
  </si>
  <si>
    <t>5902201375602</t>
  </si>
  <si>
    <t>5902201375619</t>
  </si>
  <si>
    <t>5900605099384</t>
  </si>
  <si>
    <t>5900605099391</t>
  </si>
  <si>
    <t>5900605099407</t>
  </si>
  <si>
    <t>5900605099360</t>
  </si>
  <si>
    <t>5900605099377</t>
  </si>
  <si>
    <t>5900605099353</t>
  </si>
  <si>
    <t>5900605096116</t>
  </si>
  <si>
    <t>5900605096123</t>
  </si>
  <si>
    <t>5902846011804</t>
  </si>
  <si>
    <t>5902846016854</t>
  </si>
  <si>
    <t>5902846016861</t>
  </si>
  <si>
    <t>5902846015680</t>
  </si>
  <si>
    <t>5902201305739</t>
  </si>
  <si>
    <t>5902201305746</t>
  </si>
  <si>
    <t>5902201365016</t>
  </si>
  <si>
    <t>5902201365023</t>
  </si>
  <si>
    <t>5902201365030</t>
  </si>
  <si>
    <t>5902201365009</t>
  </si>
  <si>
    <t>5902201308372</t>
  </si>
  <si>
    <t>5902201369700</t>
  </si>
  <si>
    <t>5902201369717</t>
  </si>
  <si>
    <t>5902201369724</t>
  </si>
  <si>
    <t>5902201375961</t>
  </si>
  <si>
    <t>5902201375954</t>
  </si>
  <si>
    <t>5902201375978</t>
  </si>
  <si>
    <t>5902846018124</t>
  </si>
  <si>
    <t>5902201300468</t>
  </si>
  <si>
    <t>5902846018131</t>
  </si>
  <si>
    <t>5902846018155</t>
  </si>
  <si>
    <t>5902846013815</t>
  </si>
  <si>
    <t>5902846013822</t>
  </si>
  <si>
    <t>5902846015697</t>
  </si>
  <si>
    <t>5902846018216</t>
  </si>
  <si>
    <t>5902201300505</t>
  </si>
  <si>
    <t>5902846018223</t>
  </si>
  <si>
    <t>5902846018261</t>
  </si>
  <si>
    <t>5902846018278</t>
  </si>
  <si>
    <t>5902201303803</t>
  </si>
  <si>
    <t>5902201303797</t>
  </si>
  <si>
    <t>5902201303810</t>
  </si>
  <si>
    <t>5902846010265</t>
  </si>
  <si>
    <t>5902201371208</t>
  </si>
  <si>
    <t>5902201371215</t>
  </si>
  <si>
    <t>5902201359343</t>
  </si>
  <si>
    <t>5902201359350</t>
  </si>
  <si>
    <t>5902201359367</t>
  </si>
  <si>
    <t>5902201359374</t>
  </si>
  <si>
    <t>5902201359381</t>
  </si>
  <si>
    <t>5902201374414</t>
  </si>
  <si>
    <t>5900605099414</t>
  </si>
  <si>
    <t>5902201364552</t>
  </si>
  <si>
    <t>5902201375572</t>
  </si>
  <si>
    <t>5902201375565</t>
  </si>
  <si>
    <t>5902201375558</t>
  </si>
  <si>
    <t>5902201375541</t>
  </si>
  <si>
    <t>5902201301267</t>
  </si>
  <si>
    <t>5902201301274</t>
  </si>
  <si>
    <t>5902201301281</t>
  </si>
  <si>
    <t>5902201301212</t>
  </si>
  <si>
    <t>5902201301229</t>
  </si>
  <si>
    <t>5902201301243</t>
  </si>
  <si>
    <t>5902201305678</t>
  </si>
  <si>
    <t>5902201305661</t>
  </si>
  <si>
    <t>5900605090626</t>
  </si>
  <si>
    <t>5902846015741</t>
  </si>
  <si>
    <t>5902846015758</t>
  </si>
  <si>
    <t>5902846015734</t>
  </si>
  <si>
    <t>5902846015727</t>
  </si>
  <si>
    <t>5900605097892</t>
  </si>
  <si>
    <t>5906340216987</t>
  </si>
  <si>
    <t>5906340218882</t>
  </si>
  <si>
    <t>5906340219599</t>
  </si>
  <si>
    <t>5902201359190</t>
  </si>
  <si>
    <t>5906340219131</t>
  </si>
  <si>
    <t>5906340218875</t>
  </si>
  <si>
    <t>5902201368253</t>
  </si>
  <si>
    <t>5902201368246</t>
  </si>
  <si>
    <t>5902201366280</t>
  </si>
  <si>
    <t>5902201366273</t>
  </si>
  <si>
    <t>5902201366310</t>
  </si>
  <si>
    <t>5902201366242</t>
  </si>
  <si>
    <t>5902201366303</t>
  </si>
  <si>
    <t>5902201366297</t>
  </si>
  <si>
    <t>5902201366235</t>
  </si>
  <si>
    <t>5902201366266</t>
  </si>
  <si>
    <t>5902201366259</t>
  </si>
  <si>
    <t>5902201366334</t>
  </si>
  <si>
    <t>5902201366372</t>
  </si>
  <si>
    <t>5902201366228</t>
  </si>
  <si>
    <t>5902201366389</t>
  </si>
  <si>
    <t>5902201366365</t>
  </si>
  <si>
    <t>5902201366358</t>
  </si>
  <si>
    <t>5902201366327</t>
  </si>
  <si>
    <t>5902201366341</t>
  </si>
  <si>
    <t>5902846013723</t>
  </si>
  <si>
    <t>5902846015444</t>
  </si>
  <si>
    <t>5900605096758</t>
  </si>
  <si>
    <t>5900605097670</t>
  </si>
  <si>
    <t>5900605098684</t>
  </si>
  <si>
    <t>5900605098714</t>
  </si>
  <si>
    <t>5902846014362</t>
  </si>
  <si>
    <t>5902846014379</t>
  </si>
  <si>
    <t>5900605097700</t>
  </si>
  <si>
    <t>5900605097694</t>
  </si>
  <si>
    <t>5902846014409</t>
  </si>
  <si>
    <t>5902846014584</t>
  </si>
  <si>
    <t>5902846014607</t>
  </si>
  <si>
    <t>5902846014638</t>
  </si>
  <si>
    <t>5900605098110</t>
  </si>
  <si>
    <t>5900605095515</t>
  </si>
  <si>
    <t>5900605095522</t>
  </si>
  <si>
    <t>5902201373752</t>
  </si>
  <si>
    <t>5902201373769</t>
  </si>
  <si>
    <t>5902846019350</t>
  </si>
  <si>
    <t>5902846019367</t>
  </si>
  <si>
    <t>5902201374292</t>
  </si>
  <si>
    <t>5902201374308</t>
  </si>
  <si>
    <t>5902201378177</t>
  </si>
  <si>
    <t>5902201373646</t>
  </si>
  <si>
    <t>5902201369946</t>
  </si>
  <si>
    <t>5902201369953</t>
  </si>
  <si>
    <t>5902201369960</t>
  </si>
  <si>
    <t>5902201369977</t>
  </si>
  <si>
    <t>5906340214853</t>
  </si>
  <si>
    <t>5906340214860</t>
  </si>
  <si>
    <t>5902846011149</t>
  </si>
  <si>
    <t>5902846011156</t>
  </si>
  <si>
    <t>5900605098325</t>
  </si>
  <si>
    <t>5900605098363</t>
  </si>
  <si>
    <t>5902846013174</t>
  </si>
  <si>
    <t>5902846013181</t>
  </si>
  <si>
    <t>5906340214914</t>
  </si>
  <si>
    <t>5906340214921</t>
  </si>
  <si>
    <t>5900605097366</t>
  </si>
  <si>
    <t>5900605097373</t>
  </si>
  <si>
    <t>5900605097403</t>
  </si>
  <si>
    <t>5900605097410</t>
  </si>
  <si>
    <t>5902846011446</t>
  </si>
  <si>
    <t>5902846011439</t>
  </si>
  <si>
    <t>5902846011422</t>
  </si>
  <si>
    <t>5902201300437</t>
  </si>
  <si>
    <t>5902846013198</t>
  </si>
  <si>
    <t>5902846013204</t>
  </si>
  <si>
    <t>5900605098332</t>
  </si>
  <si>
    <t>5900605098370</t>
  </si>
  <si>
    <t>5906340215034</t>
  </si>
  <si>
    <t>5906340215041</t>
  </si>
  <si>
    <t>5902201304602</t>
  </si>
  <si>
    <t>5906340210879</t>
  </si>
  <si>
    <t>5906340210824</t>
  </si>
  <si>
    <t>5906340210862</t>
  </si>
  <si>
    <t>5902201304879</t>
  </si>
  <si>
    <t>5906340216185</t>
  </si>
  <si>
    <t>5900605092965</t>
  </si>
  <si>
    <t>5900605093641</t>
  </si>
  <si>
    <t>5900605093443</t>
  </si>
  <si>
    <t>5902846011279</t>
  </si>
  <si>
    <t>5902846011262</t>
  </si>
  <si>
    <t>5900605093429</t>
  </si>
  <si>
    <t>5902846011293</t>
  </si>
  <si>
    <t>5902846011286</t>
  </si>
  <si>
    <t>5900605097830</t>
  </si>
  <si>
    <t>5902201305470</t>
  </si>
  <si>
    <t>5902846011354</t>
  </si>
  <si>
    <t>5906340210947</t>
  </si>
  <si>
    <t>5906340210893</t>
  </si>
  <si>
    <t>5906340210930</t>
  </si>
  <si>
    <t>5902201304886</t>
  </si>
  <si>
    <t>5906340217977</t>
  </si>
  <si>
    <t>5900605094785</t>
  </si>
  <si>
    <t>5900605093573</t>
  </si>
  <si>
    <t>5900605093580</t>
  </si>
  <si>
    <t>5900605097809</t>
  </si>
  <si>
    <t>5902201304916</t>
  </si>
  <si>
    <t>5900605093597</t>
  </si>
  <si>
    <t>5900605093603</t>
  </si>
  <si>
    <t>5902201304923</t>
  </si>
  <si>
    <t>5902201305463</t>
  </si>
  <si>
    <t>5902201305999</t>
  </si>
  <si>
    <t>5902201305708</t>
  </si>
  <si>
    <t>5902201373707</t>
  </si>
  <si>
    <t>5902201373714</t>
  </si>
  <si>
    <t>5902201373721</t>
  </si>
  <si>
    <t>5902201373738</t>
  </si>
  <si>
    <t>5902201373745</t>
  </si>
  <si>
    <t>5902201370881</t>
  </si>
  <si>
    <t>5902201370997</t>
  </si>
  <si>
    <t>5902201370898</t>
  </si>
  <si>
    <t>5902201370935</t>
  </si>
  <si>
    <t>5902201371024</t>
  </si>
  <si>
    <t>5902201371079</t>
  </si>
  <si>
    <t>5902201371116</t>
  </si>
  <si>
    <t>5902201370928</t>
  </si>
  <si>
    <t>5902201371062</t>
  </si>
  <si>
    <t>5902201371000</t>
  </si>
  <si>
    <t>5902201371093</t>
  </si>
  <si>
    <t>5902201370980</t>
  </si>
  <si>
    <t>5902201371086</t>
  </si>
  <si>
    <t>5902201301076</t>
  </si>
  <si>
    <t>5902846012801</t>
  </si>
  <si>
    <t>5902846012634</t>
  </si>
  <si>
    <t>5902846012641</t>
  </si>
  <si>
    <t>5902846012658</t>
  </si>
  <si>
    <t>5902846012665</t>
  </si>
  <si>
    <t>5902846012672</t>
  </si>
  <si>
    <t>5902846012689</t>
  </si>
  <si>
    <t>5902846012795</t>
  </si>
  <si>
    <t>5902846018865</t>
  </si>
  <si>
    <t>5902846012696</t>
  </si>
  <si>
    <t>5902846012702</t>
  </si>
  <si>
    <t>5902846012719</t>
  </si>
  <si>
    <t>5902846012726</t>
  </si>
  <si>
    <t>5902846012771</t>
  </si>
  <si>
    <t>5902846012788</t>
  </si>
  <si>
    <t>5902201301694</t>
  </si>
  <si>
    <t>5902201301182</t>
  </si>
  <si>
    <t>5902846015246</t>
  </si>
  <si>
    <t>5902846015239</t>
  </si>
  <si>
    <t>5902846012757</t>
  </si>
  <si>
    <t>5902846012764</t>
  </si>
  <si>
    <t>5902846012733</t>
  </si>
  <si>
    <t>5902846012740</t>
  </si>
  <si>
    <t>5900605092347</t>
  </si>
  <si>
    <t>5900605090589</t>
  </si>
  <si>
    <t>5900605090572</t>
  </si>
  <si>
    <t>5906340219285</t>
  </si>
  <si>
    <t>5906340218301</t>
  </si>
  <si>
    <t>5900605093849</t>
  </si>
  <si>
    <t>5900605093832</t>
  </si>
  <si>
    <t>5900605091531</t>
  </si>
  <si>
    <t>5900605095225</t>
  </si>
  <si>
    <t>5902201375985</t>
  </si>
  <si>
    <t>5902201382907</t>
  </si>
  <si>
    <t>5902201376005</t>
  </si>
  <si>
    <t>5906340210091</t>
  </si>
  <si>
    <t>5906340210107</t>
  </si>
  <si>
    <t>5906340213719</t>
  </si>
  <si>
    <t>5900605092828</t>
  </si>
  <si>
    <t>5900605092835</t>
  </si>
  <si>
    <t>5900605092804</t>
  </si>
  <si>
    <t>5906340211883</t>
  </si>
  <si>
    <t>5902201308075</t>
  </si>
  <si>
    <t>5902201308082</t>
  </si>
  <si>
    <t>5902201308167</t>
  </si>
  <si>
    <t>5902201308099</t>
  </si>
  <si>
    <t>5902201308174</t>
  </si>
  <si>
    <t>5902201308105</t>
  </si>
  <si>
    <t>5902201308112</t>
  </si>
  <si>
    <t>5902201308129</t>
  </si>
  <si>
    <t>5902201308136</t>
  </si>
  <si>
    <t>5902201308143</t>
  </si>
  <si>
    <t>5902201308181</t>
  </si>
  <si>
    <t>5902201308150</t>
  </si>
  <si>
    <t>5902201308198</t>
  </si>
  <si>
    <t>5902846018889</t>
  </si>
  <si>
    <t>5902201304589</t>
  </si>
  <si>
    <t>5902201304206</t>
  </si>
  <si>
    <t>5902201304596</t>
  </si>
  <si>
    <t>5902201376753</t>
  </si>
  <si>
    <t>5902201376760</t>
  </si>
  <si>
    <t>5902201376777</t>
  </si>
  <si>
    <t>5902201376746</t>
  </si>
  <si>
    <t>5902201378948</t>
  </si>
  <si>
    <t>5902201376852</t>
  </si>
  <si>
    <t>5902201376869</t>
  </si>
  <si>
    <t>5902201376876</t>
  </si>
  <si>
    <t>5902201376883</t>
  </si>
  <si>
    <t>5902201376890</t>
  </si>
  <si>
    <t>5902201376906</t>
  </si>
  <si>
    <t>5902201376821</t>
  </si>
  <si>
    <t>5902201376838</t>
  </si>
  <si>
    <t>5902201376845</t>
  </si>
  <si>
    <t>5902201378184</t>
  </si>
  <si>
    <t>5902201378191</t>
  </si>
  <si>
    <t>5902201378207</t>
  </si>
  <si>
    <t>5902201378214</t>
  </si>
  <si>
    <t>5902201378221</t>
  </si>
  <si>
    <t>5902201378245</t>
  </si>
  <si>
    <t>5902201378252</t>
  </si>
  <si>
    <t>5902201378276</t>
  </si>
  <si>
    <t>5902201378283</t>
  </si>
  <si>
    <t>5902201378290</t>
  </si>
  <si>
    <t>5902201378313</t>
  </si>
  <si>
    <t>5902201378320</t>
  </si>
  <si>
    <t>5902201378399</t>
  </si>
  <si>
    <t>5902201378405</t>
  </si>
  <si>
    <t>5902201378412</t>
  </si>
  <si>
    <t>5902201378436</t>
  </si>
  <si>
    <t>5902201378429</t>
  </si>
  <si>
    <t>5902201378306</t>
  </si>
  <si>
    <t>5902201380705</t>
  </si>
  <si>
    <t>5902201380712</t>
  </si>
  <si>
    <t>5902201381887</t>
  </si>
  <si>
    <t>5902201384307</t>
  </si>
  <si>
    <t>5902201384185</t>
  </si>
  <si>
    <t>5902201384192</t>
  </si>
  <si>
    <t>5902201384208</t>
  </si>
  <si>
    <t>5902201384215</t>
  </si>
  <si>
    <t>5902201384222</t>
  </si>
  <si>
    <t>5902201384239</t>
  </si>
  <si>
    <t>5902201384246</t>
  </si>
  <si>
    <t>5902201384253</t>
  </si>
  <si>
    <t>5902201384260</t>
  </si>
  <si>
    <t>5902201384277</t>
  </si>
  <si>
    <t>5902201384284</t>
  </si>
  <si>
    <t>5902201384291</t>
  </si>
  <si>
    <t>5902201369847</t>
  </si>
  <si>
    <t>5902201369854</t>
  </si>
  <si>
    <t>5902201380835</t>
  </si>
  <si>
    <t>5902201383829</t>
  </si>
  <si>
    <t>5902201383836</t>
  </si>
  <si>
    <t>5902201383867</t>
  </si>
  <si>
    <t>5902201383874</t>
  </si>
  <si>
    <t>5902201383904</t>
  </si>
  <si>
    <t>5902201383911</t>
  </si>
  <si>
    <t>5902201383942</t>
  </si>
  <si>
    <t>5902201383843</t>
  </si>
  <si>
    <t>5902201383850</t>
  </si>
  <si>
    <t>5902201383881</t>
  </si>
  <si>
    <t>5902201383898</t>
  </si>
  <si>
    <t>5902201383928</t>
  </si>
  <si>
    <t>5902201383935</t>
  </si>
  <si>
    <t>5902201383959</t>
  </si>
  <si>
    <t>5902201382945</t>
  </si>
  <si>
    <t>5902201382938</t>
  </si>
  <si>
    <t>5902201382921</t>
  </si>
  <si>
    <t>5902201383164</t>
  </si>
  <si>
    <t>5902201382914</t>
  </si>
  <si>
    <t>5902201383171</t>
  </si>
  <si>
    <t>5902201383195</t>
  </si>
  <si>
    <t>5902201383188</t>
  </si>
  <si>
    <t>5902201383218</t>
  </si>
  <si>
    <t>5902201383201</t>
  </si>
  <si>
    <t>5902201383010</t>
  </si>
  <si>
    <t>5902201383034</t>
  </si>
  <si>
    <t>5902201383058</t>
  </si>
  <si>
    <t>5902201383126</t>
  </si>
  <si>
    <t>5902201383102</t>
  </si>
  <si>
    <t>5902201383096</t>
  </si>
  <si>
    <t>5902201383119</t>
  </si>
  <si>
    <t>5902201383072</t>
  </si>
  <si>
    <t>5902201383089</t>
  </si>
  <si>
    <t>5902201383027</t>
  </si>
  <si>
    <t>5902201383041</t>
  </si>
  <si>
    <t>5902201383065</t>
  </si>
  <si>
    <t>5902201383133</t>
  </si>
  <si>
    <t>5902201383140</t>
  </si>
  <si>
    <t>5902201383157</t>
  </si>
  <si>
    <t>5902201380767</t>
  </si>
  <si>
    <t>5902201380774</t>
  </si>
  <si>
    <t>5902201380781</t>
  </si>
  <si>
    <t>5902201380798</t>
  </si>
  <si>
    <t>5902201380804</t>
  </si>
  <si>
    <t>5902201380811</t>
  </si>
  <si>
    <t>5902201380842</t>
  </si>
  <si>
    <t>5902201380859</t>
  </si>
  <si>
    <t>5902201380866</t>
  </si>
  <si>
    <t>5902201380873</t>
  </si>
  <si>
    <t>5902201380897</t>
  </si>
  <si>
    <t>5902846017387</t>
  </si>
  <si>
    <t>5902201386271</t>
  </si>
  <si>
    <t>5902201386264</t>
  </si>
  <si>
    <t>5902201384413</t>
  </si>
  <si>
    <t>5902201384420</t>
  </si>
  <si>
    <t>CZUJNIK RUCHU BLUETOOTH ZHAGA</t>
  </si>
  <si>
    <t>5902201386288</t>
  </si>
  <si>
    <t>5902201386295</t>
  </si>
  <si>
    <t>5902201386301</t>
  </si>
  <si>
    <t>5902201387124</t>
  </si>
  <si>
    <t>5902201387117</t>
  </si>
  <si>
    <t>5902201387131</t>
  </si>
  <si>
    <t>5902201387148</t>
  </si>
  <si>
    <t>5902201387155</t>
  </si>
  <si>
    <t>5902201389050</t>
  </si>
  <si>
    <t>5902201385977</t>
  </si>
  <si>
    <t>5902201385984</t>
  </si>
  <si>
    <t>5902201386530</t>
  </si>
  <si>
    <t>5902201386523</t>
  </si>
  <si>
    <t>5902201386547</t>
  </si>
  <si>
    <t>5902201386394</t>
  </si>
  <si>
    <t>5902201386400</t>
  </si>
  <si>
    <t>5902201386417</t>
  </si>
  <si>
    <t>5902201386387</t>
  </si>
  <si>
    <t>5902201386462</t>
  </si>
  <si>
    <t>5902201386509</t>
  </si>
  <si>
    <t>5902201386431</t>
  </si>
  <si>
    <t>5902201386479</t>
  </si>
  <si>
    <t>5902201386370</t>
  </si>
  <si>
    <t>Marka</t>
  </si>
  <si>
    <t>Kod</t>
  </si>
  <si>
    <t>Kategoria</t>
  </si>
  <si>
    <t>Podkategoria</t>
  </si>
  <si>
    <t>Artykuł</t>
  </si>
  <si>
    <t>Grupa rabatowa</t>
  </si>
  <si>
    <t>Cena cennikowa</t>
  </si>
  <si>
    <t>Cena po rabacie</t>
  </si>
  <si>
    <t>Kod EAN</t>
  </si>
  <si>
    <t>jm</t>
  </si>
  <si>
    <t>Ilość w opakowaniu zbiorczym</t>
  </si>
  <si>
    <t>Ilość na palecie</t>
  </si>
  <si>
    <t>Gwarancja</t>
  </si>
  <si>
    <t>Eprel</t>
  </si>
  <si>
    <t>Kobi Professional</t>
  </si>
  <si>
    <t>Panele</t>
  </si>
  <si>
    <t>High bay</t>
  </si>
  <si>
    <t>Naświetlacze solarne</t>
  </si>
  <si>
    <t>Plafon LED NUMOS 7W 4000K LX IP65 Kobi Pro</t>
  </si>
  <si>
    <t>000072</t>
  </si>
  <si>
    <t>Plafony</t>
  </si>
  <si>
    <t>Plafon LED ORBIS 10W 4000K LX IP44 Kobi Pro</t>
  </si>
  <si>
    <t>000089</t>
  </si>
  <si>
    <t>LINIOWE LED</t>
  </si>
  <si>
    <t>Nexus</t>
  </si>
  <si>
    <t>Oprawa liniowa hermetyczna LED HPL1 30W IP65 120° Kobi Pro</t>
  </si>
  <si>
    <t>000030</t>
  </si>
  <si>
    <t>Liniowe LED</t>
  </si>
  <si>
    <t>Oprawa liniowa hermetyczna LED HPL1 30W IP65 90° Kobi Pro</t>
  </si>
  <si>
    <t>000031</t>
  </si>
  <si>
    <t>Oprawa liniowa hermetyczna LED HPL1 45W IP65 120° Kobi Pro</t>
  </si>
  <si>
    <t>000032</t>
  </si>
  <si>
    <t>Oprawa liniowa hermetyczna LED HPL1 45W IP65 90° Kobi Pro</t>
  </si>
  <si>
    <t>000034</t>
  </si>
  <si>
    <t>Oprawa liniowa hermetyczna LED HPL1 75W IP65 120° Kobi Pro</t>
  </si>
  <si>
    <t>000035</t>
  </si>
  <si>
    <t>Oprawa liniowa hermetyczna LED HPL1 75W IP65 90° Kobi Pro</t>
  </si>
  <si>
    <t>000037</t>
  </si>
  <si>
    <t>Oprawa liniowa hermetyczna LED HPL2 120W IP65 120° Kobi Pro</t>
  </si>
  <si>
    <t>000039</t>
  </si>
  <si>
    <t>Oprawa liniowa hermetyczna LED HPL2 120W IP65 90° Kobi Pro</t>
  </si>
  <si>
    <t>000040</t>
  </si>
  <si>
    <t>Oprawa liniowa hermetyczna LED HPL2 150W IP65 120° Kobi Pro</t>
  </si>
  <si>
    <t>000041</t>
  </si>
  <si>
    <t>Oprawa liniowa hermetyczna LED HPL1 60W IP65 120° Kobi Pro</t>
  </si>
  <si>
    <t>000042</t>
  </si>
  <si>
    <t>Kobi Premium</t>
  </si>
  <si>
    <t>Downlight LED NEXEYE NE1 15W 4000K IP44 Kobi Pro</t>
  </si>
  <si>
    <t>000061</t>
  </si>
  <si>
    <t>Downlight</t>
  </si>
  <si>
    <t>Downlight LED NEXEYE NE1 30W 4000K IP44 Kobi Pro</t>
  </si>
  <si>
    <t>000065</t>
  </si>
  <si>
    <t>Downlight LED SIGARO CIRCLE PT 6W 4000K Kobi Premium</t>
  </si>
  <si>
    <t>001852</t>
  </si>
  <si>
    <t>Downlight LED SIGARO CIRCLE PT 12W 4000K Kobi Premium</t>
  </si>
  <si>
    <t>001849</t>
  </si>
  <si>
    <t>Downlight LED SIGARO CIRCLE PT 24W 4000K Kobi Premium</t>
  </si>
  <si>
    <t>001851</t>
  </si>
  <si>
    <t>Kobi</t>
  </si>
  <si>
    <t>003778</t>
  </si>
  <si>
    <t>Akcesoria</t>
  </si>
  <si>
    <t>OSPRZĘT ELEKTROINSTALACYJNY</t>
  </si>
  <si>
    <t>Czujnik ruchu LX01 160° PIR biały Kobi Premium</t>
  </si>
  <si>
    <t>002334</t>
  </si>
  <si>
    <t>Czujnik ruchu LX06 360° PIR Kobi Premium</t>
  </si>
  <si>
    <t>002335</t>
  </si>
  <si>
    <t>Czujnik ruchu LX39 IP44 180° PIR biały Kobi Premium</t>
  </si>
  <si>
    <t>002337</t>
  </si>
  <si>
    <t>Czujnik ruchu LX39 IP44 180° PIR czarny Kobi Premium</t>
  </si>
  <si>
    <t>002338</t>
  </si>
  <si>
    <t>Czujnik ruchu LX40 IP44 180° PIR biały Kobi Premium</t>
  </si>
  <si>
    <t>002339</t>
  </si>
  <si>
    <t>Czujnik ruchu LX40 IP44 180° PIR czarny Kobi Premium</t>
  </si>
  <si>
    <t>002340</t>
  </si>
  <si>
    <t>Czujnik ruchu LX41 360° PIR biały Kobi Premium</t>
  </si>
  <si>
    <t>002341</t>
  </si>
  <si>
    <t>Czujnik ruchu LX42 360° PIR Kobi Premium</t>
  </si>
  <si>
    <t>002342</t>
  </si>
  <si>
    <t>Czujnik ruchu LX701 360° MIC Kobi Pro</t>
  </si>
  <si>
    <t>002344</t>
  </si>
  <si>
    <t>002343</t>
  </si>
  <si>
    <t>Downlight LED HALO 5W 3000K Kobi</t>
  </si>
  <si>
    <t>002128</t>
  </si>
  <si>
    <t>Dekoracyjne podtynkowe</t>
  </si>
  <si>
    <t>Downlight LED HALO 5W 4000K Kobi</t>
  </si>
  <si>
    <t>002129</t>
  </si>
  <si>
    <t>Kobi Design</t>
  </si>
  <si>
    <t>Girlanda BAJA LED SET 10x1W 10m  E27 Kobi Design</t>
  </si>
  <si>
    <t>002218</t>
  </si>
  <si>
    <t>Girlandy</t>
  </si>
  <si>
    <t>Girlanda BAJA LED SET 15x1W 15m E27 Kobi Design</t>
  </si>
  <si>
    <t>002220</t>
  </si>
  <si>
    <t>Girlanda BAJA LED SET 20x1W 20m E27 Kobi Design</t>
  </si>
  <si>
    <t>002221</t>
  </si>
  <si>
    <t>Girlanda BAJA LED SET 20x1W E27 10m  Kobi Design</t>
  </si>
  <si>
    <t>002219</t>
  </si>
  <si>
    <t>Girlanda MIMOSA 2 10m 10xE27 Kobi</t>
  </si>
  <si>
    <t>002326</t>
  </si>
  <si>
    <t>Girlanda MIMOSA 10m 20xE27 Kobi</t>
  </si>
  <si>
    <t>002322</t>
  </si>
  <si>
    <t>Girlanda MIMOSA 20m 20xE27 Kobi</t>
  </si>
  <si>
    <t>002324</t>
  </si>
  <si>
    <t>Girlanda MIMOSA LED SET 10m 10x1W E27 Kobi</t>
  </si>
  <si>
    <t>002321</t>
  </si>
  <si>
    <t>Girlanda MIMOSA LED SET 20m 20x1W E27 Kobi</t>
  </si>
  <si>
    <t>002325</t>
  </si>
  <si>
    <t>High Bay LED ANICA 100W 4000K IP65 90° Kobi Pro</t>
  </si>
  <si>
    <t>001553</t>
  </si>
  <si>
    <t>High Bay LED ANICA 100W 4000K IP65 120° Kobi Pro</t>
  </si>
  <si>
    <t>001552</t>
  </si>
  <si>
    <t>High Bay LED ANICA 200W 4000K IP65 90° Kobi Pro</t>
  </si>
  <si>
    <t>001557</t>
  </si>
  <si>
    <t>High Bay LED ANICA 200W 4000K IP65 120° Kobi Pro</t>
  </si>
  <si>
    <t>001556</t>
  </si>
  <si>
    <t>High Bay LED NICO 120W 4000K IP65 60x90° Kobi Pro</t>
  </si>
  <si>
    <t>001770</t>
  </si>
  <si>
    <t>High Bay LED NINA 200W 4000K 110° Kobi Pro</t>
  </si>
  <si>
    <t>001713</t>
  </si>
  <si>
    <t>High Bay LED RIO PRO 100W 4000K IP66 Kobi Pro</t>
  </si>
  <si>
    <t>001840</t>
  </si>
  <si>
    <t>High Bay LED RIO PRO 150W 4000K IP66 Kobi Pro</t>
  </si>
  <si>
    <t>001841</t>
  </si>
  <si>
    <t>High Bay LED RIO PRO 200W 2CCT Kobi Pro</t>
  </si>
  <si>
    <t>001842</t>
  </si>
  <si>
    <t>High Bay LED RIO PRO 200W 4000K IP66 Kobi Pro</t>
  </si>
  <si>
    <t>001843</t>
  </si>
  <si>
    <t>Kinkiet ELIPSE ELEGANCE K 2xG9 Kobi Design</t>
  </si>
  <si>
    <t>001541</t>
  </si>
  <si>
    <t>Lampy wiszące</t>
  </si>
  <si>
    <t>Kinkiet GLOBE ELEGANCE BL GOLD K 1xG9 Kobi Design</t>
  </si>
  <si>
    <t>001536</t>
  </si>
  <si>
    <t>Kinkiet GLOBE ELEGANCE GOLD K 1xG9 Kobi Design</t>
  </si>
  <si>
    <t>001535</t>
  </si>
  <si>
    <t>001529</t>
  </si>
  <si>
    <t>Kinkiet LED LUMIREFLECT 8W 4000K czarny Kobi Design</t>
  </si>
  <si>
    <t>001461</t>
  </si>
  <si>
    <t>Kinkiet LED LUMIREFLECT 10W 4000K czarny Kobi Design</t>
  </si>
  <si>
    <t>001462</t>
  </si>
  <si>
    <t>Kinkiet LED LUMIREFLECT 12W 4000K czarny Kobi Design</t>
  </si>
  <si>
    <t>001463</t>
  </si>
  <si>
    <t>Kinkiet ogrodowy LED OME 10W 4000K LX IP54 czarny LED2B</t>
  </si>
  <si>
    <t>003704</t>
  </si>
  <si>
    <t>Ogrodowe</t>
  </si>
  <si>
    <t>003708</t>
  </si>
  <si>
    <t>Kinkiet ogrodowy LO4101 1xE27 IP54 biały Kobi</t>
  </si>
  <si>
    <t>002247</t>
  </si>
  <si>
    <t>Kinkiet ogrodowy LO4101 1xE27 IP54 czarny Kobi</t>
  </si>
  <si>
    <t>002248</t>
  </si>
  <si>
    <t>Kinkiet ogrodowy LO4101 1xE27 IP54 złoty Kobi</t>
  </si>
  <si>
    <t>002250</t>
  </si>
  <si>
    <t>Kinkiet ogrodowy LO4102 1xE27 IP54 biały Kobi</t>
  </si>
  <si>
    <t>002251</t>
  </si>
  <si>
    <t>Kinkiet ogrodowy LO4102 1xE27 IP54 czarny Kobi</t>
  </si>
  <si>
    <t>002252</t>
  </si>
  <si>
    <t>Kinkiet ogrodowy LO4102 1xE27 IP54 złoty Kobi</t>
  </si>
  <si>
    <t>002254</t>
  </si>
  <si>
    <t>Kinkiet ogrodowy QUAZAR 7 2xGU10 IP44 czarny Kobi</t>
  </si>
  <si>
    <t>002287</t>
  </si>
  <si>
    <t>Kinkiet ogrodowy QUAZAR 7 2xGU10 IP44 szary Kobi</t>
  </si>
  <si>
    <t>002288</t>
  </si>
  <si>
    <t>Kinkiet ogrodowy QUAZAR 9 2xGU10 IP44 szary Kobi</t>
  </si>
  <si>
    <t>002292</t>
  </si>
  <si>
    <t>Kinkiet ogrodowy QUAZAR 11 1xGU10 IP44 czarny Kobi</t>
  </si>
  <si>
    <t>002265</t>
  </si>
  <si>
    <t>Kinkiet ogrodowy QUAZAR 11 1xGU10 IP44 szary Kobi</t>
  </si>
  <si>
    <t>002266</t>
  </si>
  <si>
    <t>Kinkiet ogrodowy QUAZAR 15 1xGU10 IP44 czarny Kobi</t>
  </si>
  <si>
    <t>002273</t>
  </si>
  <si>
    <t>Kinkiet ogrodowy QUAZAR 15 1xGU10 IP44 szary Kobi</t>
  </si>
  <si>
    <t>002278</t>
  </si>
  <si>
    <t>Kinkiet ogrodowy QUERK 3 2xGU10 IP54 czarna LED2B</t>
  </si>
  <si>
    <t>002307</t>
  </si>
  <si>
    <t>Kinkiet ogrodowy QUERK 4 2xGU10 IP54 czarna LED2B</t>
  </si>
  <si>
    <t>002308</t>
  </si>
  <si>
    <t>Kinkiet ogrodowy QUERK 5 2xGU10 IP54 czarna LED2B</t>
  </si>
  <si>
    <t>002309</t>
  </si>
  <si>
    <t>Kinkiet ogrodowy QUERK 6 1xGU10 IP54 czarny LED2B</t>
  </si>
  <si>
    <t>003706</t>
  </si>
  <si>
    <t>Kinkiet ogrodowy QUERK 7 2xGU10 IP54 czarny LED2B</t>
  </si>
  <si>
    <t>003707</t>
  </si>
  <si>
    <t>Kinkiet ogrodowy TEVIO KD 1xE27 IP54 czarny LED2B</t>
  </si>
  <si>
    <t>003701</t>
  </si>
  <si>
    <t>Kinkiet ogrodowy TEVIO KG 1xE27 IP54 czarny LED2B</t>
  </si>
  <si>
    <t>003699</t>
  </si>
  <si>
    <t>Kinkiet ogrodowy TEVIO KG 1xE27 LX IP54 czarny LED2B</t>
  </si>
  <si>
    <t>003700</t>
  </si>
  <si>
    <t>002274</t>
  </si>
  <si>
    <t>002275</t>
  </si>
  <si>
    <t>Ogrodowe solarne</t>
  </si>
  <si>
    <t>Kostka halogenowa K001 G5,3 Kobi</t>
  </si>
  <si>
    <t>002367</t>
  </si>
  <si>
    <t>Kostka halogenowa K002 GU10 Kobi</t>
  </si>
  <si>
    <t>002368</t>
  </si>
  <si>
    <t>Lampa biurkowa LED VENEZIA S 2W 2700K Kobi Design</t>
  </si>
  <si>
    <t>001436</t>
  </si>
  <si>
    <t>WZROST ROŚLIN</t>
  </si>
  <si>
    <t>Lampa do roślin LED BLOOM 20W 3500K Kobi Design</t>
  </si>
  <si>
    <t>001456</t>
  </si>
  <si>
    <t>Wzrost roślin</t>
  </si>
  <si>
    <t>Lampa do roślin LED VERDI 5W 3200K Kobi Design</t>
  </si>
  <si>
    <t>001457</t>
  </si>
  <si>
    <t>Lampa do roślin LED VERDI 10W 3200K Kobi Design</t>
  </si>
  <si>
    <t>001458</t>
  </si>
  <si>
    <t>Lampa do roślin LED VITARO 3 CLIP 10W Kobi Design</t>
  </si>
  <si>
    <t>001513</t>
  </si>
  <si>
    <t>Lampa do roślin LED VITARO 3 ST MINI 10W Kobi Design</t>
  </si>
  <si>
    <t>001515</t>
  </si>
  <si>
    <t>Lampa do roślin LED VITARO 4 CLIP 10W Kobi Design</t>
  </si>
  <si>
    <t>001514</t>
  </si>
  <si>
    <t>Lampa do roślin LED VITARO 4 ST 30W Kobi Design</t>
  </si>
  <si>
    <t>001517</t>
  </si>
  <si>
    <t>Lampa do roślin LED VITARO 4 ST MINI 10W Kobi Design</t>
  </si>
  <si>
    <t>001516</t>
  </si>
  <si>
    <t>Lampa ogrodowa BLAKE 2 1xGU10 IP65 czarna Kobi</t>
  </si>
  <si>
    <t>002263</t>
  </si>
  <si>
    <t>Lampa ogrodowa GARDEN BALL L 1xE27 IP65 Kobi</t>
  </si>
  <si>
    <t>002225</t>
  </si>
  <si>
    <t>Lampa ogrodowa GARDEN BALL M 1xE27 IP65 Kobi</t>
  </si>
  <si>
    <t>002226</t>
  </si>
  <si>
    <t>Lampa ogrodowa GARDEN BALL S 1xE27 IP65 Kobi</t>
  </si>
  <si>
    <t>002227</t>
  </si>
  <si>
    <t>Lampa ogrodowa QUAZAR 17 1xGU10 IP44 szara Kobi</t>
  </si>
  <si>
    <t>002281</t>
  </si>
  <si>
    <t>Lampa ogrodowa QUERK 1 1xGU10 IP54 czarna LED2B</t>
  </si>
  <si>
    <t>002305</t>
  </si>
  <si>
    <t>Lampa ogrodowa QUERK 2 1xGU10 IP54 czarna LED2B</t>
  </si>
  <si>
    <t>002306</t>
  </si>
  <si>
    <t>Lampa ogrodowa solar 300 LED SPARK 3000K IP44 LED2B</t>
  </si>
  <si>
    <t>002314</t>
  </si>
  <si>
    <t>Lampa ogrodowa Solar LED GARDEN BALL 30cm 3000K+RGB Kobi Design</t>
  </si>
  <si>
    <t>003696</t>
  </si>
  <si>
    <t>003697</t>
  </si>
  <si>
    <t>Lampa ogrodowa solar LED HARMONY 3000K IP44 LED2B</t>
  </si>
  <si>
    <t>002241</t>
  </si>
  <si>
    <t>Lampa ogrodowa solar LED SPECTRA 2700K IP44 LED2B</t>
  </si>
  <si>
    <t>002310</t>
  </si>
  <si>
    <t>Lampa ogrodowa solar LED SWAY 6000K IP44 LED2B</t>
  </si>
  <si>
    <t>002318</t>
  </si>
  <si>
    <t>Lampa podłogowa AURIQ ST 1xE27 czarna LED2B</t>
  </si>
  <si>
    <t>001969</t>
  </si>
  <si>
    <t>Lampki biurkowe</t>
  </si>
  <si>
    <t>Lampa podłogowa PLAY SL 6W RGB Kobi Design</t>
  </si>
  <si>
    <t>001459</t>
  </si>
  <si>
    <t>Lampa solarna SOLAR 50 LED LUME RGB LED2B</t>
  </si>
  <si>
    <t>002245</t>
  </si>
  <si>
    <t>Latarka LED X-MPR 5W 6000K IP54 LED2B</t>
  </si>
  <si>
    <t>001430</t>
  </si>
  <si>
    <t>Latarka LED X-MPR MICRO CCT LED2B</t>
  </si>
  <si>
    <t>001431</t>
  </si>
  <si>
    <t>001488</t>
  </si>
  <si>
    <t>001501</t>
  </si>
  <si>
    <t>001502</t>
  </si>
  <si>
    <t>001492</t>
  </si>
  <si>
    <t>Lampa sufitowa ELIPSE ELEGANCE S3 3xG9 Kobi Design</t>
  </si>
  <si>
    <t>001542</t>
  </si>
  <si>
    <t>Lampa sufitowa GLOBE ELEGANCE ASH S3 3xG9 Kobi Design</t>
  </si>
  <si>
    <t>001530</t>
  </si>
  <si>
    <t>Lampa sufitowa GLOBE ELEGANCE ASH S4 4xG9 Kobi Design</t>
  </si>
  <si>
    <t>001531</t>
  </si>
  <si>
    <t>Lampa sufitowa GLOBE ELEGANCE SMOKE S6 6xE14 Kobi Design</t>
  </si>
  <si>
    <t>001527</t>
  </si>
  <si>
    <t>Przedłużacz CONNECTO 4gn+USB/1,5m/Zu+W/1,5mm czarny Kobi Design</t>
  </si>
  <si>
    <t>001450</t>
  </si>
  <si>
    <t>Przedłużacz CONNECTO 4gn+USB/1,5m/Zu+W/1,5mm biały Kobi Design</t>
  </si>
  <si>
    <t>001451</t>
  </si>
  <si>
    <t>Lampa wisząca BOHO BAKU L 1xE27 Kobi Design</t>
  </si>
  <si>
    <t>001475</t>
  </si>
  <si>
    <t>Przedłużacz CONNECTO 4gn+USB/3m/Zu+W/1,5mm czarny Kobi Design</t>
  </si>
  <si>
    <t>001452</t>
  </si>
  <si>
    <t>Lampa wisząca BOHO BAKU M 1xE27 Kobi Design</t>
  </si>
  <si>
    <t>002159</t>
  </si>
  <si>
    <t>Przedłużacz CONNECTO 4gn+USB/3m/Zu+W/1,5mm biały Kobi Design</t>
  </si>
  <si>
    <t>001453</t>
  </si>
  <si>
    <t>Lampa wisząca BOHO BAKU S 1xE27 Kobi Design</t>
  </si>
  <si>
    <t>002160</t>
  </si>
  <si>
    <t>Przedłużacz CONNECTO 4gn+USB/5m/Zu+W/1,5mm czarny Kobi Design</t>
  </si>
  <si>
    <t>001454</t>
  </si>
  <si>
    <t>Lampa wisząca BOHO BEIRUT 1xE27 Kobi Design</t>
  </si>
  <si>
    <t>002158</t>
  </si>
  <si>
    <t>Przedłużacz CONNECTO 4gn+USB/5m/Zu+W/1,5mm biały Kobi Design</t>
  </si>
  <si>
    <t>001455</t>
  </si>
  <si>
    <t>Lampa wisząca BOHO BELMO 1xE27 Kobi Design</t>
  </si>
  <si>
    <t>001480</t>
  </si>
  <si>
    <t>Lampa wisząca BOHO BERN 1xE27 Kobi Design</t>
  </si>
  <si>
    <t>002156</t>
  </si>
  <si>
    <t>Lampa wisząca BOHO BIMINI 1xE27 Kobi Design</t>
  </si>
  <si>
    <t>002153</t>
  </si>
  <si>
    <t>Lampa wisząca BOHO BONN 1xE27 Kobi Design</t>
  </si>
  <si>
    <t>002157</t>
  </si>
  <si>
    <t>Lampa wisząca BOHO BONN RB 1xE27 Kobi Design</t>
  </si>
  <si>
    <t>001469</t>
  </si>
  <si>
    <t>Lampka na monitor LED LUME-IQ 5W CCT Kobi Design</t>
  </si>
  <si>
    <t>001460</t>
  </si>
  <si>
    <t>Lampa wisząca BOHO BONN RW 1xE27 Kobi Design</t>
  </si>
  <si>
    <t>001470</t>
  </si>
  <si>
    <t>Lampa wisząca BOHO BRAGA 1xE27 Kobi Design</t>
  </si>
  <si>
    <t>002152</t>
  </si>
  <si>
    <t>Lampa wisząca BOHO BRUGIA L RB 1xE27 Kobi Design</t>
  </si>
  <si>
    <t>001473</t>
  </si>
  <si>
    <t>Lampa wisząca BOHO BRUGIA L RW 1xE27 Kobi Design</t>
  </si>
  <si>
    <t>001474</t>
  </si>
  <si>
    <t>Przedłużacz FLOWFLEXER ORANGE W 2gn+USB/1,4m/Zu/1,5mm biały Kobi Design</t>
  </si>
  <si>
    <t>001464</t>
  </si>
  <si>
    <t>Lampa wisząca BOHO BRUGIA M 1xE27 Kobi Design</t>
  </si>
  <si>
    <t>002154</t>
  </si>
  <si>
    <t>Przedłużacz FLOWFLEXER ORANGE B 2gn+USB/1,4m/Zu/1,5mm czarny Kobi Design</t>
  </si>
  <si>
    <t>001465</t>
  </si>
  <si>
    <t>Lampa wisząca BOHO BRUGIA M RB 1xE27 Kobi Design</t>
  </si>
  <si>
    <t>001471</t>
  </si>
  <si>
    <t>Lampa wisząca BOHO BRUGIA M RW 1xE27 Kobi Design</t>
  </si>
  <si>
    <t>001472</t>
  </si>
  <si>
    <t>Lampa wisząca BOHO BRUGIA S 1xE27 Kobi Design</t>
  </si>
  <si>
    <t>002155</t>
  </si>
  <si>
    <t>Lampa wisząca BOHO RANGO 1xE27 Kobi Design</t>
  </si>
  <si>
    <t>002163</t>
  </si>
  <si>
    <t>Lampa wisząca BOHO RENNES  1xE27 Kobi Design</t>
  </si>
  <si>
    <t>002164</t>
  </si>
  <si>
    <t>Lampa wisząca BOHO RIGA 1xE27 Kobi Design</t>
  </si>
  <si>
    <t>002161</t>
  </si>
  <si>
    <t>Lampa wisząca BOHO RONDA 1xE27 Kobi Design</t>
  </si>
  <si>
    <t>002162</t>
  </si>
  <si>
    <t>Lampa wisząca BOHO SIBU 1xE27 Kobi Design</t>
  </si>
  <si>
    <t>002166</t>
  </si>
  <si>
    <t>Lampa wisząca BOHO SIENA 3xE27 Kobi Design</t>
  </si>
  <si>
    <t>002165</t>
  </si>
  <si>
    <t>Lampa wisząca BOHO VERONA 1xE27 Kobi Design</t>
  </si>
  <si>
    <t>002167</t>
  </si>
  <si>
    <t>Lampa wisząca BOHO VIENNA 1xE27 Kobi Design</t>
  </si>
  <si>
    <t>002168</t>
  </si>
  <si>
    <t>Lampa wisząca ELIPSE ELEGANCE S 1xG9 Kobi  Design</t>
  </si>
  <si>
    <t>001540</t>
  </si>
  <si>
    <t>Lampa wisząca GLOBE ELEGANCE ASH S 1xG9 Kobi Design</t>
  </si>
  <si>
    <t>001528</t>
  </si>
  <si>
    <t>Lampa wisząca GLOBE ELEGANCE GOLD S2 2xG9 Kobi Design</t>
  </si>
  <si>
    <t>001538</t>
  </si>
  <si>
    <t>Lampa wisząca GLOBE ELEGANCE GOLD S5 5xG9 Kobi Design</t>
  </si>
  <si>
    <t>001533</t>
  </si>
  <si>
    <t>Lampka biurkowa PLANTY CLIP W 1xE27 biała Kobi Design</t>
  </si>
  <si>
    <t>001506</t>
  </si>
  <si>
    <t>Lampka biurkowa PLANTY CLIP B 1xE27 czarna Kobi Design</t>
  </si>
  <si>
    <t>001507</t>
  </si>
  <si>
    <t>Lampa wisząca ogrodowa LO4105 1xE27 IP54 biała Kobi</t>
  </si>
  <si>
    <t>002259</t>
  </si>
  <si>
    <t>Lampa wisząca ogrodowa LO4105 1xE27 IP54 czarna Kobi</t>
  </si>
  <si>
    <t>002260</t>
  </si>
  <si>
    <t>Lampa wisząca ogrodowa LO4105 1xE27 IP54 złota Kobi</t>
  </si>
  <si>
    <t>002262</t>
  </si>
  <si>
    <t>Lampa wisząca ogrodowa TEVIO W 1xE27 IP54 czarna LED2B</t>
  </si>
  <si>
    <t>003702</t>
  </si>
  <si>
    <t>Lampka biurkowa AURIQ 1xE27 biała LED2B</t>
  </si>
  <si>
    <t>001967</t>
  </si>
  <si>
    <t>Lampka biurkowa AURIQ 1xE27 czarna LED2B</t>
  </si>
  <si>
    <t>001968</t>
  </si>
  <si>
    <t>Lampka biurkowa LED LIZBONA 3,5W IP54 Biała Kobi Premium</t>
  </si>
  <si>
    <t>001965</t>
  </si>
  <si>
    <t>Lampka biurkowa LED LIZBONA 3,5W IP54 Czarna Kobi Premium</t>
  </si>
  <si>
    <t>001966</t>
  </si>
  <si>
    <t>001970</t>
  </si>
  <si>
    <t>Panel LED BRISBANE 36W 60x60 4000K biały Kobi Premium</t>
  </si>
  <si>
    <t>001559</t>
  </si>
  <si>
    <t>Panel LED BRISBANE 36W 60x60 4000K czarny Kobi Premium</t>
  </si>
  <si>
    <t>001560</t>
  </si>
  <si>
    <t>Panel LED BRISBANE 36W 30x120 4000K biały Kobi Premium</t>
  </si>
  <si>
    <t>001561</t>
  </si>
  <si>
    <t>Panel LED BRISBANE 36W 30x120 4000K czarny Kobi Premium</t>
  </si>
  <si>
    <t>001562</t>
  </si>
  <si>
    <t>001972</t>
  </si>
  <si>
    <t>001973</t>
  </si>
  <si>
    <t>Lampka biurkowa LED VISUA DESK 5W biała LED2B</t>
  </si>
  <si>
    <t>001974</t>
  </si>
  <si>
    <t>Lampka biurkowa LED VISUA DESK 5W czarna LED2B</t>
  </si>
  <si>
    <t>001975</t>
  </si>
  <si>
    <t>Lampka biurkowa LED VISUA DESK 5W miętowa LED2B</t>
  </si>
  <si>
    <t>001976</t>
  </si>
  <si>
    <t>Panel LED CAPRI 40W 60x60 4000K IP65 Kobi Pro</t>
  </si>
  <si>
    <t>001576</t>
  </si>
  <si>
    <t>Lampka biurkowa LED VISUA DESK 5W niebieska LED2B</t>
  </si>
  <si>
    <t>001977</t>
  </si>
  <si>
    <t>Lampka biurkowa LED VISUA DESK 5W różowa LED2B</t>
  </si>
  <si>
    <t>001978</t>
  </si>
  <si>
    <t>Lampka biurkowa LED VISUA DESK 5W szara LED2B</t>
  </si>
  <si>
    <t>001979</t>
  </si>
  <si>
    <t>Oprawa drogowa LED CYOTO 100W 4000K LX Kobi Premium</t>
  </si>
  <si>
    <t>001580</t>
  </si>
  <si>
    <t>Uliczne</t>
  </si>
  <si>
    <t>Oprawa drogowa LED CYOTO 50W 4000K LX Kobi Premium</t>
  </si>
  <si>
    <t>001581</t>
  </si>
  <si>
    <t>Oprawa hermetyczna LED CORTEZ 2 60W 120cm 4000K IP65 Kobi Premium</t>
  </si>
  <si>
    <t>001583</t>
  </si>
  <si>
    <t>Lampka biurkowa ŚMIESZEK 1xE27 biała Kobi</t>
  </si>
  <si>
    <t>001958</t>
  </si>
  <si>
    <t>Plafon LED DEFENDER 24W 4000K IP66 Kobi Pro</t>
  </si>
  <si>
    <t>001594</t>
  </si>
  <si>
    <t>Lampka biurkowa ŚMIESZEK 1xE27 czarna Kobi</t>
  </si>
  <si>
    <t>001959</t>
  </si>
  <si>
    <t>Plafon LED DEFENDER 18W 4000K LX IP66 Kobi Pro</t>
  </si>
  <si>
    <t>001595</t>
  </si>
  <si>
    <t>Lampka biurkowa ŚMIESZEK 1xE27 czerwona Kobi</t>
  </si>
  <si>
    <t>001960</t>
  </si>
  <si>
    <t>Plafon LED DEFENDER 24W 4000K LX IP66 Kobi Pro</t>
  </si>
  <si>
    <t>001596</t>
  </si>
  <si>
    <t>Lampka biurkowa ŚMIESZEK 1xE27 niebieska Kobi</t>
  </si>
  <si>
    <t>001961</t>
  </si>
  <si>
    <t>Lampka biurkowa ŚMIESZEK 1xE27 różowa Kobi</t>
  </si>
  <si>
    <t>001962</t>
  </si>
  <si>
    <t>Lampka biurkowa ŚMIESZEK 1xE27 zielona Kobi</t>
  </si>
  <si>
    <t>001963</t>
  </si>
  <si>
    <t>Lampka biurkowa ŚMIESZEK 1xE27 żółta Kobi</t>
  </si>
  <si>
    <t>001964</t>
  </si>
  <si>
    <t>Oprawa hermetyczna HERMETIC 1x120 IP65 Kobi</t>
  </si>
  <si>
    <t>001602</t>
  </si>
  <si>
    <t>Liniowe hermetyczne</t>
  </si>
  <si>
    <t>Oprawa hermetyczna HERMETIC 1x150 IP65 Kobi</t>
  </si>
  <si>
    <t>001603</t>
  </si>
  <si>
    <t>Oprawa hermetyczna HERMETIC 1x60 IP65 Kobi</t>
  </si>
  <si>
    <t>001604</t>
  </si>
  <si>
    <t>Linka do panelu LED Kobi</t>
  </si>
  <si>
    <t>001777</t>
  </si>
  <si>
    <t>Oprawa hermetyczna HERMETIC 2x120 IP65 Kobi</t>
  </si>
  <si>
    <t>001605</t>
  </si>
  <si>
    <t>002814</t>
  </si>
  <si>
    <t>Szynoprzewód i akcesoria</t>
  </si>
  <si>
    <t>Oprawa hermetyczna HERMETIC 2x150 IP65 Kobi</t>
  </si>
  <si>
    <t>001606</t>
  </si>
  <si>
    <t>002815</t>
  </si>
  <si>
    <t>Oprawa hermetyczna HERMETIC 2x60 IP65 Kobi</t>
  </si>
  <si>
    <t>001607</t>
  </si>
  <si>
    <t>Łącznik do szynoprzewodu 3-obwodowy I wewnętrzny biały Kobi</t>
  </si>
  <si>
    <t>002816</t>
  </si>
  <si>
    <t>Oprawa hermetyczna HERMIC 1x120 IP65 Kobi</t>
  </si>
  <si>
    <t>001608</t>
  </si>
  <si>
    <t>Łącznik do szynoprzewodu 3-obwodowy I wewnętrzny czarny Kobi</t>
  </si>
  <si>
    <t>002817</t>
  </si>
  <si>
    <t>Oprawa hermetyczna HERMIC 2x120 IP65 Kobi</t>
  </si>
  <si>
    <t>001610</t>
  </si>
  <si>
    <t>Łącznik do szynoprzewodu 3-obwodowy I zewnętrzny biały Kobi</t>
  </si>
  <si>
    <t>002818</t>
  </si>
  <si>
    <t>Oprawa parkowa HYBRID LED FUSION 14W 4000K IP65 Kobi Pro</t>
  </si>
  <si>
    <t>001613</t>
  </si>
  <si>
    <t>Uliczne solarne</t>
  </si>
  <si>
    <t>Łącznik do szynoprzewodu 3-obwodowy I zewnętrzny czarny Kobi</t>
  </si>
  <si>
    <t>002819</t>
  </si>
  <si>
    <t>002824</t>
  </si>
  <si>
    <t>002825</t>
  </si>
  <si>
    <t>002826</t>
  </si>
  <si>
    <t>002827</t>
  </si>
  <si>
    <t>002820</t>
  </si>
  <si>
    <t>002821</t>
  </si>
  <si>
    <t>002822</t>
  </si>
  <si>
    <t>002823</t>
  </si>
  <si>
    <t>Łącznik PROSTY do LED KOLINE K2 Kobi</t>
  </si>
  <si>
    <t>003721</t>
  </si>
  <si>
    <t>Oprawa hermetyczna LED MIVRO 36W 4000K IP65 LED2B</t>
  </si>
  <si>
    <t>001634</t>
  </si>
  <si>
    <t>Łącznik T do LED KOLINE K2 biały Kobi Pro</t>
  </si>
  <si>
    <t>003717</t>
  </si>
  <si>
    <t>Łącznik T do LED KOLINE K2 czarny Kobi Pro</t>
  </si>
  <si>
    <t>003718</t>
  </si>
  <si>
    <t>Łącznik X do LED KOLINE K2 biały Kobi Pro</t>
  </si>
  <si>
    <t>003715</t>
  </si>
  <si>
    <t>Łącznik X do LED KOLINE K2 czarny Kobi Pro</t>
  </si>
  <si>
    <t>003716</t>
  </si>
  <si>
    <t>LED2B Red</t>
  </si>
  <si>
    <t>Naświetlacze LED</t>
  </si>
  <si>
    <t>Miernik poboru energii KOBI PMM 1 biały Kobi</t>
  </si>
  <si>
    <t>002352</t>
  </si>
  <si>
    <t>Miernik poboru energii KOBI PMM 2 czarny Kobi</t>
  </si>
  <si>
    <t>002353</t>
  </si>
  <si>
    <t>Naświetlacz LED MH 10W 3000K IP65 czarny LED2B</t>
  </si>
  <si>
    <t>001642</t>
  </si>
  <si>
    <t>Miernik poboru energii KOBI PMM 3 biały Kobi</t>
  </si>
  <si>
    <t>002354</t>
  </si>
  <si>
    <t>Naświetlacz LED MH 10W 4000K IP65 czarny LED2B</t>
  </si>
  <si>
    <t>001643</t>
  </si>
  <si>
    <t>Czujnik ruchu ZHAGA HD06VCRH7C</t>
  </si>
  <si>
    <t>002347</t>
  </si>
  <si>
    <t>Naświetlacz LED MH 10W 4000K IP65 czarny LED2B RED</t>
  </si>
  <si>
    <t>001644</t>
  </si>
  <si>
    <t>Naświetlacz LED KOBI SEUL 50W 4000K IP65 Kobi Pro</t>
  </si>
  <si>
    <t>001856</t>
  </si>
  <si>
    <t>Naświetlacz LED MH 10W 6500K IP65 czarny LED2B</t>
  </si>
  <si>
    <t>001645</t>
  </si>
  <si>
    <t>Naświetlacz LED KOBI SEUL 100W 4000K IP65 Kobi Pro</t>
  </si>
  <si>
    <t>001853</t>
  </si>
  <si>
    <t>Naświetlacz LED MH 10W 6500K IP65 czarny LED2B RED</t>
  </si>
  <si>
    <t>001646</t>
  </si>
  <si>
    <t>Naświetlacz LED KOBI SEUL 150W 4000K IP65 Kobi Pro</t>
  </si>
  <si>
    <t>001854</t>
  </si>
  <si>
    <t>Naświetlacz LED KOBI SEUL 200W 4000K IP65 Kobi Pro</t>
  </si>
  <si>
    <t>001855</t>
  </si>
  <si>
    <t>Naświetlacz LED MH 20W 4000K IP65 czarny LED2B RED</t>
  </si>
  <si>
    <t>001649</t>
  </si>
  <si>
    <t>Naświetlacz LED MH 20W 6500K IP65 czarny LED2B</t>
  </si>
  <si>
    <t>001650</t>
  </si>
  <si>
    <t>Naświetlacz LED MH 20W 6500K IP65 czarny LED2B RED</t>
  </si>
  <si>
    <t>001651</t>
  </si>
  <si>
    <t>Naświetlacz LED MH 30W 4000K IP65 czarny LED2B RED</t>
  </si>
  <si>
    <t>001654</t>
  </si>
  <si>
    <t>Naświetlacz LED MH 30W 6500K IP65 czarny LED2B RED</t>
  </si>
  <si>
    <t>001656</t>
  </si>
  <si>
    <t>Naświetlacz LED MH 50W 6500K IP65 czarny LED2B RED</t>
  </si>
  <si>
    <t>001661</t>
  </si>
  <si>
    <t>Naświetlacz LED MHC 10W 3000K IP44 czarny LED2B</t>
  </si>
  <si>
    <t>001663</t>
  </si>
  <si>
    <t>001664</t>
  </si>
  <si>
    <t>001665</t>
  </si>
  <si>
    <t>001666</t>
  </si>
  <si>
    <t>001667</t>
  </si>
  <si>
    <t>001670</t>
  </si>
  <si>
    <t>001672</t>
  </si>
  <si>
    <t>001676</t>
  </si>
  <si>
    <t>001677</t>
  </si>
  <si>
    <t>Naświetlacz LED MHC 50W 3000K IP44 czarny LED2B</t>
  </si>
  <si>
    <t>001678</t>
  </si>
  <si>
    <t>Oprawa drogowa LED MASTER STREET 35W 4000K IP66 MB Kobi Pro</t>
  </si>
  <si>
    <t>001690</t>
  </si>
  <si>
    <t>Oprawa drogowa LED MASTER STREET 35W 4000K IP66 WB Kobi Pro</t>
  </si>
  <si>
    <t>001691</t>
  </si>
  <si>
    <t>Plafon LED NAIROS G2 12W 3CCT IP65 biały Kobi Premium</t>
  </si>
  <si>
    <t>001694</t>
  </si>
  <si>
    <t>Plafon LED NAIROS G2 12W 3CCT IP65 czarny Kobi Premium</t>
  </si>
  <si>
    <t>001695</t>
  </si>
  <si>
    <t>Plafon LED NAIROS G2 18W 3CCT IP65 biały Kobi Premium</t>
  </si>
  <si>
    <t>001696</t>
  </si>
  <si>
    <t>Plafon LED NAIROS G2 18W 3CCT IP65 czarny Kobi Premium</t>
  </si>
  <si>
    <t>001697</t>
  </si>
  <si>
    <t>Plafon LED NAIROS G2 24W 3CCT IP65 biały Kobi Premium</t>
  </si>
  <si>
    <t>001698</t>
  </si>
  <si>
    <t>Plafon LED NAIROS G2 24W 3CCT IP65 czarny Kobi Premium</t>
  </si>
  <si>
    <t>001699</t>
  </si>
  <si>
    <t>Plafon LED NAIROS G2 36W 3CCT IP65 biały Kobi Premium</t>
  </si>
  <si>
    <t>001700</t>
  </si>
  <si>
    <t>Plafon LED NAIROS G2 12W 3CCT LX IP65 biały Kobi Premium</t>
  </si>
  <si>
    <t>001701</t>
  </si>
  <si>
    <t>Plafon LED NAIROS G2 12W 3CCT LX IP65 czarny Kobi Premium</t>
  </si>
  <si>
    <t>001702</t>
  </si>
  <si>
    <t>Plafon LED NAIROS G2 18W 3CCT LX IP65 biały Kobi Premium</t>
  </si>
  <si>
    <t>001703</t>
  </si>
  <si>
    <t>Plafon LED NAIROS G2 18W 3CCT LX IP65 czarny Kobi Premium</t>
  </si>
  <si>
    <t>001704</t>
  </si>
  <si>
    <t>Plafon LED NAIROS G2 24W 3CCT LX IP65 biały Kobi Premium</t>
  </si>
  <si>
    <t>001705</t>
  </si>
  <si>
    <t>Plafon LED NAIROS G2 24W 3CCT LX IP65 czarny Kobi Premium</t>
  </si>
  <si>
    <t>001706</t>
  </si>
  <si>
    <t>Plafon LED NAIROS G2 36W 3CCT LX IP65 biały Kobi Premium</t>
  </si>
  <si>
    <t>001707</t>
  </si>
  <si>
    <t>Naświetlacz LED US 300W 5000K IP65 60° DIM Kobi Pro</t>
  </si>
  <si>
    <t>001866</t>
  </si>
  <si>
    <t>Naświetlacz LED US 300W 5000K IP65 90° DIM Kobi Pro</t>
  </si>
  <si>
    <t>001867</t>
  </si>
  <si>
    <t>Naświetlacz LED US 500W 5000K IP66 60° DIM Kobi Pro</t>
  </si>
  <si>
    <t>001869</t>
  </si>
  <si>
    <t>Osłona do LED NINA HB 200W Kobi</t>
  </si>
  <si>
    <t>001716</t>
  </si>
  <si>
    <t>Naświetlacz solar LED PHOTON 3000K IP44 8-pak LED2B</t>
  </si>
  <si>
    <t>002304</t>
  </si>
  <si>
    <t>001726</t>
  </si>
  <si>
    <t>001727</t>
  </si>
  <si>
    <t>001728</t>
  </si>
  <si>
    <t>Panel LED NELIO 40W 30x120 4000K Kobi Premium</t>
  </si>
  <si>
    <t>001771</t>
  </si>
  <si>
    <t>003693</t>
  </si>
  <si>
    <t>Naświetlacz Solar LED KOBI NEW PHOENIX 13W 4000K IP65 Kobi</t>
  </si>
  <si>
    <t>001810</t>
  </si>
  <si>
    <t>Naświetlacz Solar LED MHC 5W 4000K IP65 Kobi</t>
  </si>
  <si>
    <t>001807</t>
  </si>
  <si>
    <t>Naświetlacz Solar LED MHC 10W 4000K IP65 Kobi</t>
  </si>
  <si>
    <t>001805</t>
  </si>
  <si>
    <t>003670</t>
  </si>
  <si>
    <t>Oprawa do nabudowania AQUARIUS 1xGU10 kwadrat IP44 biały Kobi</t>
  </si>
  <si>
    <t>002005</t>
  </si>
  <si>
    <t>Dekoracyjne natynkowe</t>
  </si>
  <si>
    <t>Oprawa liniowa hermetyczna LED NEGRO 20W 4000K Kobi Premium</t>
  </si>
  <si>
    <t>001790</t>
  </si>
  <si>
    <t>Oprawa liniowa hermetyczna LED NEGRO 36W 4000K Kobi Premium</t>
  </si>
  <si>
    <t>001791</t>
  </si>
  <si>
    <t>Oprawa liniowa hermetyczna LED NEGRO 36W 6000K Kobi Premium</t>
  </si>
  <si>
    <t>001792</t>
  </si>
  <si>
    <t>Oprawa do nabudowania AQUARIUS 1xGU10 okrągły IP44 biały Kobi</t>
  </si>
  <si>
    <t>002002</t>
  </si>
  <si>
    <t>Oprawa liniowa hermetyczna LED NEGRO 60W 4000K Kobi Premium</t>
  </si>
  <si>
    <t>001793</t>
  </si>
  <si>
    <t>Oprawa do nabudowania AQUARIUS 1xGU10 okrągły IP44 czarny Kobi</t>
  </si>
  <si>
    <t>002004</t>
  </si>
  <si>
    <t>Oprawa drogowa Solar LED STREET 15W 4000K IP65 Kobi</t>
  </si>
  <si>
    <t>001819</t>
  </si>
  <si>
    <t>Oprawa do nadbudowania OH36 biała Kobi</t>
  </si>
  <si>
    <t>002089</t>
  </si>
  <si>
    <t>Oprawa do nadbudowania OH36 czarna Kobi</t>
  </si>
  <si>
    <t>002091</t>
  </si>
  <si>
    <t>Oprawa do nadbudowania OH36 L biała Kobi</t>
  </si>
  <si>
    <t>002092</t>
  </si>
  <si>
    <t>Plafon LED SIGARO CIRCLE 24W 4000K Kobi Premium</t>
  </si>
  <si>
    <t>001848</t>
  </si>
  <si>
    <t>Oprawa do nadbudowania OH36 L czarna Kobi</t>
  </si>
  <si>
    <t>002094</t>
  </si>
  <si>
    <t>Oprawa do nadbudowania OH36 S biała Kobi</t>
  </si>
  <si>
    <t>002095</t>
  </si>
  <si>
    <t>Oprawa do nadbudowania OH36 S czarna Kobi</t>
  </si>
  <si>
    <t>002097</t>
  </si>
  <si>
    <t>Oprawa do nadbudowania OH37 chrom  Kobi</t>
  </si>
  <si>
    <t>002099</t>
  </si>
  <si>
    <t>Oprawa do nadbudowania OH37 czarna Kobi</t>
  </si>
  <si>
    <t>002100</t>
  </si>
  <si>
    <t>Oprawa do nadbudowania OH37 L chrom  Kobi</t>
  </si>
  <si>
    <t>002102</t>
  </si>
  <si>
    <t>Plafon LED SIGARO SQUARE 18W 4000K Kobi Premium</t>
  </si>
  <si>
    <t>001862</t>
  </si>
  <si>
    <t>Plafon LED SIGARO SQUARE 24W 4000K Kobi Premium</t>
  </si>
  <si>
    <t>001863</t>
  </si>
  <si>
    <t>Oprawa do nadbudowania OH37 S czarna Kobi</t>
  </si>
  <si>
    <t>002106</t>
  </si>
  <si>
    <t>Plafon LED SOFI 13W 4000K LX  Kobi Premium</t>
  </si>
  <si>
    <t>001864</t>
  </si>
  <si>
    <t>Oprawa drogowa LED VESPA PRO 100W 4000K IP66 Kobi Pro</t>
  </si>
  <si>
    <t>001876</t>
  </si>
  <si>
    <t>Oprawa drogowa LED VESPA PRO 150W 4000K IP66 Kobi Pro</t>
  </si>
  <si>
    <t>001877</t>
  </si>
  <si>
    <t>Oprawa drogowa LED VESPA PRO 200W 4000K IP66 Kobi Pro</t>
  </si>
  <si>
    <t>001878</t>
  </si>
  <si>
    <t>Oprawa drogowa LED VESPA PRO 40W 4000K IP66 Kobi Pro</t>
  </si>
  <si>
    <t>001881</t>
  </si>
  <si>
    <t>Oprawa drogowa LED VESPA PRO 60W 4000K IP66 Kobi Pro</t>
  </si>
  <si>
    <t>001882</t>
  </si>
  <si>
    <t>Liniowe niehermetyczne</t>
  </si>
  <si>
    <t>001903</t>
  </si>
  <si>
    <t>001904</t>
  </si>
  <si>
    <t>001905</t>
  </si>
  <si>
    <t>001906</t>
  </si>
  <si>
    <t>Oprawa drogowa Solar LED SOLIT 11W 4000K IP54 Kobi</t>
  </si>
  <si>
    <t>003694</t>
  </si>
  <si>
    <t>001907</t>
  </si>
  <si>
    <t>001908</t>
  </si>
  <si>
    <t>Oprawa drogowa Solar LED STREET 30W 2CCT IP65 Kobi Premium</t>
  </si>
  <si>
    <t>001820</t>
  </si>
  <si>
    <t>001909</t>
  </si>
  <si>
    <t>001910</t>
  </si>
  <si>
    <t>Oprawa drogowa Solar LED URBI 8W 6500K IP54 LED2B</t>
  </si>
  <si>
    <t>003687</t>
  </si>
  <si>
    <t>001911</t>
  </si>
  <si>
    <t>001912</t>
  </si>
  <si>
    <t>001913</t>
  </si>
  <si>
    <t>001914</t>
  </si>
  <si>
    <t>001915</t>
  </si>
  <si>
    <t>001916</t>
  </si>
  <si>
    <t>001917</t>
  </si>
  <si>
    <t>001918</t>
  </si>
  <si>
    <t>001919</t>
  </si>
  <si>
    <t>001920</t>
  </si>
  <si>
    <t>001921</t>
  </si>
  <si>
    <t>001922</t>
  </si>
  <si>
    <t>001923</t>
  </si>
  <si>
    <t>001924</t>
  </si>
  <si>
    <t>001925</t>
  </si>
  <si>
    <t>Oprawa hermetyczna LED CORTEZ 18W 4000K IP65 LED2B</t>
  </si>
  <si>
    <t>003671</t>
  </si>
  <si>
    <t>001926</t>
  </si>
  <si>
    <t>Oprawa hermetyczna LED CORTEZ 36W 4000K IP65 LED2B</t>
  </si>
  <si>
    <t>003672</t>
  </si>
  <si>
    <t>001927</t>
  </si>
  <si>
    <t>Oprawa hermetyczna LED CORTEZ 48W 4000K IP65 LED2B</t>
  </si>
  <si>
    <t>003673</t>
  </si>
  <si>
    <t>Oprawa kanałowa SOMA PC 1xE27 60 siatka metal Kobi</t>
  </si>
  <si>
    <t>001947</t>
  </si>
  <si>
    <t>Oprawy techniczne</t>
  </si>
  <si>
    <t>Oprawa kanałowa SOMA PC 1xE27 60 siatka plastik Kobi</t>
  </si>
  <si>
    <t>001948</t>
  </si>
  <si>
    <t>Oprawa kanałowa SOMA PC 1xE27 100 siatka metal Kobi</t>
  </si>
  <si>
    <t>001945</t>
  </si>
  <si>
    <t>Plafon ROMERO 2xE27 chrom Kobi</t>
  </si>
  <si>
    <t>001942</t>
  </si>
  <si>
    <t>Oprawa kanałowa SOMA PC 1xE27 100 siatka plastik Kobi</t>
  </si>
  <si>
    <t>001946</t>
  </si>
  <si>
    <t>001943</t>
  </si>
  <si>
    <t>Plafon ROMERO 2xE27 czarna Kobi</t>
  </si>
  <si>
    <t>001944</t>
  </si>
  <si>
    <t>Plafon SAMIRA B 2xE27 chrom Kobi</t>
  </si>
  <si>
    <t>001949</t>
  </si>
  <si>
    <t>Plafon SAMIRA S 2xE27 chrom Kobi</t>
  </si>
  <si>
    <t>001951</t>
  </si>
  <si>
    <t>Plafon SAMIRA S 2xE27 czarny Kobi</t>
  </si>
  <si>
    <t>001952</t>
  </si>
  <si>
    <t>Plafon WEGA PC 1xE27 biała Kobi</t>
  </si>
  <si>
    <t>001953</t>
  </si>
  <si>
    <t>Oprawa liniowa LED KOLINE K2 20W  3CCT  czarna Kobi Pro</t>
  </si>
  <si>
    <t>003710</t>
  </si>
  <si>
    <t>Oprawa liniowa LED KOLINE K2 20W 3CCT biała Kobi Pro</t>
  </si>
  <si>
    <t>003709</t>
  </si>
  <si>
    <t>Oprawa liniowa LED KOLINE K2 30W  3CCT  UGR&lt;19 biała Kobi Pro</t>
  </si>
  <si>
    <t>003713</t>
  </si>
  <si>
    <t>Oprawa liniowa LED KOLINE K2 30W  3CCT  UGR&lt;19 czarna Kobi Pro</t>
  </si>
  <si>
    <t>003714</t>
  </si>
  <si>
    <t>Oprawa liniowa LED KOLINE K2 40W  3CCT  biała Kobi Pro</t>
  </si>
  <si>
    <t>003711</t>
  </si>
  <si>
    <t>Oprawa liniowa LED KOLINE K2 40W  3CCT  czarna Kobi Pro</t>
  </si>
  <si>
    <t>003712</t>
  </si>
  <si>
    <t>Oprawa meblowa LED CORREA 3,4W 3000K LX Kobi</t>
  </si>
  <si>
    <t>001984</t>
  </si>
  <si>
    <t>Meblowe</t>
  </si>
  <si>
    <t>Oprawa meblowa LED CLICK 1,5W CCT Kobi Premium</t>
  </si>
  <si>
    <t>001986</t>
  </si>
  <si>
    <t>Oprawa meblowa LED WL 8W 3CCT Kobi</t>
  </si>
  <si>
    <t>003831</t>
  </si>
  <si>
    <t>Oprawa najazdowa ENTRADA 1 1xGU10 kwadrat Kobi</t>
  </si>
  <si>
    <t>002332</t>
  </si>
  <si>
    <t>Oprawa najazdowa ENTRADA 2 1xGU10 okragła Kobi</t>
  </si>
  <si>
    <t>002333</t>
  </si>
  <si>
    <t>Pierścień ozdobny OH14 biały Kobi</t>
  </si>
  <si>
    <t>002034</t>
  </si>
  <si>
    <t>Oprawa najazdowa INGRESS 1xGU10 kwadratowa IP67 LED2B</t>
  </si>
  <si>
    <t>002243</t>
  </si>
  <si>
    <t>Pierścień ozdobny OH14 chrom Kobi</t>
  </si>
  <si>
    <t>002035</t>
  </si>
  <si>
    <t>Oprawa najazdowa INGRESS 1xGU10 okrągła IP67 LED2B</t>
  </si>
  <si>
    <t>002242</t>
  </si>
  <si>
    <t>Pierścień ozdobny OH14 mat chrom Kobi</t>
  </si>
  <si>
    <t>002037</t>
  </si>
  <si>
    <t>Pierścień ozdobny OH14 mat czarny Kobi</t>
  </si>
  <si>
    <t>002038</t>
  </si>
  <si>
    <t>Pierścień ozdobny OH14 patyna Kobi</t>
  </si>
  <si>
    <t>002039</t>
  </si>
  <si>
    <t>Pierścień ozdobny OH15 biały Kobi</t>
  </si>
  <si>
    <t>002040</t>
  </si>
  <si>
    <t>Pierścień ozdobny OH15 chrom Kobi</t>
  </si>
  <si>
    <t>002041</t>
  </si>
  <si>
    <t>Pierścień ozdobny OH15 mat chrom Kobi</t>
  </si>
  <si>
    <t>002043</t>
  </si>
  <si>
    <t>Pierścień ozdobny OH15 mat czarny Kobi</t>
  </si>
  <si>
    <t>002044</t>
  </si>
  <si>
    <t>Pierścień ozdobny OH15 patyna Kobi</t>
  </si>
  <si>
    <t>002046</t>
  </si>
  <si>
    <t>Pierścień ozdobny OH21 chrom Kobi</t>
  </si>
  <si>
    <t>002051</t>
  </si>
  <si>
    <t>Pierścień ozdobny OH21 czarny Kobi</t>
  </si>
  <si>
    <t>002052</t>
  </si>
  <si>
    <t>Pierścień ozdobny OH228 czarny Kobi</t>
  </si>
  <si>
    <t>002056</t>
  </si>
  <si>
    <t>Pierścień ozdobny OH26 czarny Kobi</t>
  </si>
  <si>
    <t>002064</t>
  </si>
  <si>
    <t>Pierścień ozdobny OH26N przeźroczysty Kobi</t>
  </si>
  <si>
    <t>002065</t>
  </si>
  <si>
    <t>Pierścień ozdobny OH26N czarny Kobi</t>
  </si>
  <si>
    <t>002066</t>
  </si>
  <si>
    <t>Pierścień ozdobny OH27 czarny Kobi</t>
  </si>
  <si>
    <t>002068</t>
  </si>
  <si>
    <t>Pierścień ozdobny OH27N przeźroczysty Kobi</t>
  </si>
  <si>
    <t>002069</t>
  </si>
  <si>
    <t>Pierścień ozdobny OH27N czarny Kobi</t>
  </si>
  <si>
    <t>002070</t>
  </si>
  <si>
    <t>Pierścień ozdobny OH28 chrom Kobi</t>
  </si>
  <si>
    <t>002071</t>
  </si>
  <si>
    <t>Pierścień ozdobny OH28 czarny Kobi</t>
  </si>
  <si>
    <t>002072</t>
  </si>
  <si>
    <t>Pierścień ozdobny OH28 mat biały Kobi</t>
  </si>
  <si>
    <t>002073</t>
  </si>
  <si>
    <t>Pierścień ozdobny OH28 mat czarny Kobi</t>
  </si>
  <si>
    <t>002074</t>
  </si>
  <si>
    <t>Pierścień ozdobny OH29 chrom Kobi</t>
  </si>
  <si>
    <t>002075</t>
  </si>
  <si>
    <t>Pierścień ozdobny OH29 czarny Kobi</t>
  </si>
  <si>
    <t>002076</t>
  </si>
  <si>
    <t>Pierścień ozdobny OH29 mat biały Kobi</t>
  </si>
  <si>
    <t>002077</t>
  </si>
  <si>
    <t>Pierścień ozdobny OH29 mat czarny Kobi</t>
  </si>
  <si>
    <t>002078</t>
  </si>
  <si>
    <t>Oprawka halogenowa OH33 biały Kobi</t>
  </si>
  <si>
    <t>002081</t>
  </si>
  <si>
    <t>Pierścień ozdobny OH34 IP44 chrom Kobi</t>
  </si>
  <si>
    <t>002083</t>
  </si>
  <si>
    <t>Pierścień ozdobny OH34 IP44 mat czarny Kobi</t>
  </si>
  <si>
    <t>002085</t>
  </si>
  <si>
    <t>Oprawka porcelanowa z blaszką K003 E27 Kobi</t>
  </si>
  <si>
    <t>002369</t>
  </si>
  <si>
    <t>Osłona do LED ANICA 100W Kobi</t>
  </si>
  <si>
    <t>003680</t>
  </si>
  <si>
    <t>Pierścień ozdobny OH50 czarny Kobi</t>
  </si>
  <si>
    <t>002116</t>
  </si>
  <si>
    <t>Osłona do LED ANICA 150W Kobi</t>
  </si>
  <si>
    <t>003681</t>
  </si>
  <si>
    <t>Pierścień ozdobny OH51 przeźroczysty Kobi</t>
  </si>
  <si>
    <t>002117</t>
  </si>
  <si>
    <t>Osłona do LED ANICA 200W Kobi</t>
  </si>
  <si>
    <t>003682</t>
  </si>
  <si>
    <t>Osłona do NEO 150W/200W Kobi Pro</t>
  </si>
  <si>
    <t>002772</t>
  </si>
  <si>
    <t>Panel LED CAPRI G2 25-36-40W 60x60 3CCT IP44 Kobi Pro</t>
  </si>
  <si>
    <t>003821</t>
  </si>
  <si>
    <t>Panel LED CAPRI G2 25-36-40W 60x60 3CCT IP44 UGR&lt;19 Kobi Pro</t>
  </si>
  <si>
    <t>003822</t>
  </si>
  <si>
    <t>Pilot do czujnika ruchu ZHAGA HD05R</t>
  </si>
  <si>
    <t>002345</t>
  </si>
  <si>
    <t>Programator PC24 Kobi</t>
  </si>
  <si>
    <t>002350</t>
  </si>
  <si>
    <t>Ramka 45mm do panelu LED 30x60 klik Kobi</t>
  </si>
  <si>
    <t>001786</t>
  </si>
  <si>
    <t>Ramka 45mm do panelu LED 30x120 klik Kobi</t>
  </si>
  <si>
    <t>001785</t>
  </si>
  <si>
    <t>Ramka 45mm do panelu LED 60x60 klik Kobi</t>
  </si>
  <si>
    <t>001787</t>
  </si>
  <si>
    <t>Ramka 63mm do panelu LED 30x120 klik Kobi</t>
  </si>
  <si>
    <t>001782</t>
  </si>
  <si>
    <t>Ramka 63mm do panelu LED 60x60 klik Kobi</t>
  </si>
  <si>
    <t>001783</t>
  </si>
  <si>
    <t>Ramka 70mm do panelu LED 60x60 klik Kobi</t>
  </si>
  <si>
    <t>001780</t>
  </si>
  <si>
    <t>Reflektor szynowy 3-obwodowy NEXTRACK S-LINE 1xGU10 biały Kobi</t>
  </si>
  <si>
    <t>001729</t>
  </si>
  <si>
    <t>Oprawy na szynoprzewód</t>
  </si>
  <si>
    <t>Reflektor szynowy 3-obwodowy NEXTRACK S-LINE 1xGU10 czarny Kobi</t>
  </si>
  <si>
    <t>001730</t>
  </si>
  <si>
    <t>Reflektor szynowy LED NEXTRACK CORE 10W 3CCT 36° biały Kobi Pro</t>
  </si>
  <si>
    <t>001720</t>
  </si>
  <si>
    <t>Reflektor szynowy LED NEXTRACK CORE 10W 3CCT 36° czarny Kobi Pro</t>
  </si>
  <si>
    <t>001721</t>
  </si>
  <si>
    <t>Reflektor szynowy LED NEXTRACK CORE 20W 3CCT 36° biały Kobi Pro</t>
  </si>
  <si>
    <t>001722</t>
  </si>
  <si>
    <t>Reflektor szynowy LED NEXTRACK CORE 20W 3CCT 36° czarny Kobi Pro</t>
  </si>
  <si>
    <t>001723</t>
  </si>
  <si>
    <t>Reflektor szynowy LED NEXTRACK CORE 35W 3CCT 36° biały Kobi Pro</t>
  </si>
  <si>
    <t>001724</t>
  </si>
  <si>
    <t>Reflektor szynowy LED NEXTRACK CORE 35W 3CCT 36° czarny Kobi Pro</t>
  </si>
  <si>
    <t>001725</t>
  </si>
  <si>
    <t>001824</t>
  </si>
  <si>
    <t>001825</t>
  </si>
  <si>
    <t>001826</t>
  </si>
  <si>
    <t>001827</t>
  </si>
  <si>
    <t>001828</t>
  </si>
  <si>
    <t>001829</t>
  </si>
  <si>
    <t>Słup BASE SG 3m Fi 60mm Kobi</t>
  </si>
  <si>
    <t>003691</t>
  </si>
  <si>
    <t>Słup BASE SG 4m Fi 60mm Kobi</t>
  </si>
  <si>
    <t>003692</t>
  </si>
  <si>
    <t>Słupek ogrodowy QUAZAR 12 1xGU10 IP44 czarny Kobi</t>
  </si>
  <si>
    <t>002267</t>
  </si>
  <si>
    <t>Słupek ogrodowy QUAZAR 12 1xGU10 IP44 szary Kobi</t>
  </si>
  <si>
    <t>002268</t>
  </si>
  <si>
    <t>Słupek ogrodowy QUAZAR 15S 1xGU10 IP44 czarny Kobi</t>
  </si>
  <si>
    <t>002276</t>
  </si>
  <si>
    <t>Słupek ogrodowy QUAZAR 15S 1xGU10 IP44 szary Kobi</t>
  </si>
  <si>
    <t>002277</t>
  </si>
  <si>
    <t>Słupek ogrodowy solar LED ECLIPSE 6000K IP44 10-pak LED2B</t>
  </si>
  <si>
    <t>002236</t>
  </si>
  <si>
    <t>Słupek ogrodowy solar LED FUSION 6500K IP44 12-pak LED2B</t>
  </si>
  <si>
    <t>002237</t>
  </si>
  <si>
    <t>Słupek ogrodowy solar LED GLOBE 3000K IP44 5-pak LED2B</t>
  </si>
  <si>
    <t>002238</t>
  </si>
  <si>
    <t>Słupek ogrodowy solar LED LANCE 6000K IP44 LED2B</t>
  </si>
  <si>
    <t>002246</t>
  </si>
  <si>
    <t>Słupek ogrodowy solar LED SPHERE 6500K IP44 10-pak LED2B</t>
  </si>
  <si>
    <t>002312</t>
  </si>
  <si>
    <t>Słupek ogrodowy solar LED SPIKE 6500K IP44 LED2B</t>
  </si>
  <si>
    <t>002311</t>
  </si>
  <si>
    <t>Słupek ogrodowy solar LED ZEN 6000K IP44 10-pak LED2B</t>
  </si>
  <si>
    <t>002319</t>
  </si>
  <si>
    <t>Słupek ogrodowy TEVIO S 1xE27 IP54 czarny LED2B</t>
  </si>
  <si>
    <t>003703</t>
  </si>
  <si>
    <t>Starter do LED T8 Kobi</t>
  </si>
  <si>
    <t>002401</t>
  </si>
  <si>
    <t>Sterownik LED ST06FP 5-24V 6A z pilotem Kobi</t>
  </si>
  <si>
    <t>002403</t>
  </si>
  <si>
    <t>Szynoprzewód 3-obwodowy 1m biały Kobi</t>
  </si>
  <si>
    <t>003657</t>
  </si>
  <si>
    <t>Szynoprzewód 3-obwodowy 1m czarny Kobi</t>
  </si>
  <si>
    <t>003658</t>
  </si>
  <si>
    <t>Szynoprzewód 3-obwodowy 2m biały Kobi</t>
  </si>
  <si>
    <t>002830</t>
  </si>
  <si>
    <t>Szynoprzewód 3-obwodowy 2m czarny Kobi</t>
  </si>
  <si>
    <t>002831</t>
  </si>
  <si>
    <t>Ściemniacz LED SC02DP 5-24V 6A z pilotem Kobi</t>
  </si>
  <si>
    <t>002387</t>
  </si>
  <si>
    <t>Tuby LED T8</t>
  </si>
  <si>
    <t>Świetlówka LED T8 9W 60CM 4000K LED2B RED</t>
  </si>
  <si>
    <t>001318</t>
  </si>
  <si>
    <t>Świetlówka LED T8 9W 60CM 6500K LED2B RED</t>
  </si>
  <si>
    <t>001320</t>
  </si>
  <si>
    <t>Świetlówka LED T8 18W 120CM 4000K LED2B RED</t>
  </si>
  <si>
    <t>001309</t>
  </si>
  <si>
    <t>Świetlówka LED T8 18W 120CM 6500K LED2B RED</t>
  </si>
  <si>
    <t>001310</t>
  </si>
  <si>
    <t>Świetlówka LED T8 22W 150CM 4000K LED2B RED</t>
  </si>
  <si>
    <t>001313</t>
  </si>
  <si>
    <t>Świetlówka LED T8 22W 150CM 6500K LED2B</t>
  </si>
  <si>
    <t>001314</t>
  </si>
  <si>
    <t>Świetlówka LED T8 22W 150CM 6500K LED2B RED</t>
  </si>
  <si>
    <t>001315</t>
  </si>
  <si>
    <t>Świetlówka LED T8 G2 9W 60cm 4000K Kobi Premium</t>
  </si>
  <si>
    <t>003924</t>
  </si>
  <si>
    <t>Świetlówka LED T8 G2 9W 60cm 6500K Kobi Premium</t>
  </si>
  <si>
    <t>003925</t>
  </si>
  <si>
    <t>Świetlówka LED T8 G2 18W 120cm 3000K Kobi Premium</t>
  </si>
  <si>
    <t>003926</t>
  </si>
  <si>
    <t>Świetlówka LED T8 G2 18W 120cm 4000K Kobi Premium</t>
  </si>
  <si>
    <t>003927</t>
  </si>
  <si>
    <t>Świetlówka LED T8 G2 18W 120cm 6500K Kobi Premium</t>
  </si>
  <si>
    <t>003928</t>
  </si>
  <si>
    <t>Świetlówka LED T8 G2 22W 150cm 4000K Kobi Premium</t>
  </si>
  <si>
    <t>003929</t>
  </si>
  <si>
    <t>Świetlówka LED T8 G2 22W 150cm 6500K Kobi Premium</t>
  </si>
  <si>
    <t>003930</t>
  </si>
  <si>
    <t>001446</t>
  </si>
  <si>
    <t>Taśmy LED</t>
  </si>
  <si>
    <t>001447</t>
  </si>
  <si>
    <t>001448</t>
  </si>
  <si>
    <t>001449</t>
  </si>
  <si>
    <t>001423</t>
  </si>
  <si>
    <t>001420</t>
  </si>
  <si>
    <t>001424</t>
  </si>
  <si>
    <t>001421</t>
  </si>
  <si>
    <t>001425</t>
  </si>
  <si>
    <t>001422</t>
  </si>
  <si>
    <t>003698</t>
  </si>
  <si>
    <t>Uchwyt ścienny BASE SE 500mm Fi 48mm LED2B</t>
  </si>
  <si>
    <t>003689</t>
  </si>
  <si>
    <t>Uchwyty do kartongipsu NELIO 30x120 Kobi</t>
  </si>
  <si>
    <t>001789</t>
  </si>
  <si>
    <t>Uchwyty do kartongipsu NELIO 60x60 Kobi</t>
  </si>
  <si>
    <t>001788</t>
  </si>
  <si>
    <t>Uniwersalny uchwyt do High Bay M10 Kobi Pro</t>
  </si>
  <si>
    <t>001558</t>
  </si>
  <si>
    <t>Wkład LED INSERT 5W 3000K mleczny Kobi</t>
  </si>
  <si>
    <t>001239</t>
  </si>
  <si>
    <t>Żarówki LED</t>
  </si>
  <si>
    <t>Wkład LED INSERT 5W 4000K mleczny Kobi</t>
  </si>
  <si>
    <t>001240</t>
  </si>
  <si>
    <t>Wkład LED INSERT 5W 6000K mleczny Kobi</t>
  </si>
  <si>
    <t>001241</t>
  </si>
  <si>
    <t>Wkład LED INSERT 6,5W 3000K mleczny Kobi</t>
  </si>
  <si>
    <t>001242</t>
  </si>
  <si>
    <t>Wkład LED INSERT 6,5W 4000K mleczny Kobi</t>
  </si>
  <si>
    <t>001243</t>
  </si>
  <si>
    <t>Wzmacniacz LED ST07F 5-24V 12A z pilotem Kobi</t>
  </si>
  <si>
    <t>002404</t>
  </si>
  <si>
    <t>002405</t>
  </si>
  <si>
    <t>002410</t>
  </si>
  <si>
    <t>002411</t>
  </si>
  <si>
    <t>Zasilacz do Panelu LED 36W LF-GIF040YS900H</t>
  </si>
  <si>
    <t>001891</t>
  </si>
  <si>
    <t>Zasilacz do Panelu LED 40W LF-GIF040YS1000H</t>
  </si>
  <si>
    <t>001892</t>
  </si>
  <si>
    <t>Zasilacz LF-GSD020YC LIFUD DALI</t>
  </si>
  <si>
    <t>001893</t>
  </si>
  <si>
    <t>Zasilacz LF-GSD040YC DALI Lifud</t>
  </si>
  <si>
    <t>001579</t>
  </si>
  <si>
    <t>Zasilanie do szynoprzewodu 3-obwodowego LEWE białe Kobi</t>
  </si>
  <si>
    <t>002834</t>
  </si>
  <si>
    <t>Zasilanie do szynoprzewodu 3-obwodowego LEWE czarne Kobi</t>
  </si>
  <si>
    <t>002835</t>
  </si>
  <si>
    <t>Zasilanie do szynoprzewodu 3-obwodowego PRAWE białe Kobi</t>
  </si>
  <si>
    <t>002836</t>
  </si>
  <si>
    <t>Zasilanie do szynoprzewodu 3-obwodowego PRAWE czarne Kobi</t>
  </si>
  <si>
    <t>002837</t>
  </si>
  <si>
    <t>Zaślepka do szynoprzewodu 3-obwodowego biała Kobi</t>
  </si>
  <si>
    <t>002832</t>
  </si>
  <si>
    <t>Zaślepka do szynoprzewodu 3-obwodowego czarna Kobi</t>
  </si>
  <si>
    <t>002833</t>
  </si>
  <si>
    <t>Zestaw do zwieszania szynoprzewodu 3-obwodowego biały Kobi</t>
  </si>
  <si>
    <t>002838</t>
  </si>
  <si>
    <t>Zestaw do zwieszania szynoprzewodu 3-obwodowego czarny Kobi</t>
  </si>
  <si>
    <t>002839</t>
  </si>
  <si>
    <t>Zestaw HERMETIC 2x60 + LED T8 9W 4000K IP65 Kobi</t>
  </si>
  <si>
    <t>001601</t>
  </si>
  <si>
    <t>Zestaw HERMETIC 2x120 + LED T8 18W 4000K IP65 Kobi</t>
  </si>
  <si>
    <t>001599</t>
  </si>
  <si>
    <t>Zestaw HERMETIC 2x120 + LED T8 18W 6500K IP65 Kobi</t>
  </si>
  <si>
    <t>001600</t>
  </si>
  <si>
    <t>003678</t>
  </si>
  <si>
    <t>003679</t>
  </si>
  <si>
    <t>Żarówka do roślin LED PLANTY B 9W E27 1200K czarna Kobi Design</t>
  </si>
  <si>
    <t>001505</t>
  </si>
  <si>
    <t>Żarówka do roślin LED PLANTY FGS 8W E27 1200K Kobi Design</t>
  </si>
  <si>
    <t>001512</t>
  </si>
  <si>
    <t>Żarówka do roślin LED PLANTY W 9W E27 1200K biała Kobi Design</t>
  </si>
  <si>
    <t>001504</t>
  </si>
  <si>
    <t>Kobi 360 Line</t>
  </si>
  <si>
    <t>001134</t>
  </si>
  <si>
    <t>001138</t>
  </si>
  <si>
    <t>001139</t>
  </si>
  <si>
    <t>001136</t>
  </si>
  <si>
    <t>001145</t>
  </si>
  <si>
    <t>001144</t>
  </si>
  <si>
    <t>001146</t>
  </si>
  <si>
    <t>001149</t>
  </si>
  <si>
    <t>Żarówka LED ES111 15W GU10 4000K Kobi</t>
  </si>
  <si>
    <t>001133</t>
  </si>
  <si>
    <t>Żarówka LED G4 1,5W 3000K Kobi</t>
  </si>
  <si>
    <t>001152</t>
  </si>
  <si>
    <t>Żarówka LED G4 1,5W 4000K Kobi</t>
  </si>
  <si>
    <t>001153</t>
  </si>
  <si>
    <t>Żarówka LED G4 2W 3000K Kobi</t>
  </si>
  <si>
    <t>001158</t>
  </si>
  <si>
    <t>Żarówka LED G4 2W 4000K Kobi</t>
  </si>
  <si>
    <t>001159</t>
  </si>
  <si>
    <t>Żarówka LED G9 3W 3000K Kobi</t>
  </si>
  <si>
    <t>001161</t>
  </si>
  <si>
    <t>Żarówka LED G9 3W 4000K Kobi</t>
  </si>
  <si>
    <t>001162</t>
  </si>
  <si>
    <t>Żarówka LED G9 3W 6000K Kobi</t>
  </si>
  <si>
    <t>001163</t>
  </si>
  <si>
    <t>Żarówka LED G9 4W 3000K Kobi</t>
  </si>
  <si>
    <t>001164</t>
  </si>
  <si>
    <t>Żarówka LED G9 4W 4000K Kobi</t>
  </si>
  <si>
    <t>001165</t>
  </si>
  <si>
    <t>Żarówka LED G9 4W 6000K Kobi</t>
  </si>
  <si>
    <t>001166</t>
  </si>
  <si>
    <t>Żarówka LED G120 24W E27 3000K Kobi</t>
  </si>
  <si>
    <t>001150</t>
  </si>
  <si>
    <t>Żarówka LED G120 24W E27 4000K Kobi</t>
  </si>
  <si>
    <t>001151</t>
  </si>
  <si>
    <t>Żarówka LED GS 7W E27 3000K Kobi</t>
  </si>
  <si>
    <t>001190</t>
  </si>
  <si>
    <t>Żarówka LED GS 7W E27 3000K LED2B</t>
  </si>
  <si>
    <t>001268</t>
  </si>
  <si>
    <t>Żarówka LED GS 7W E27 4000K Kobi</t>
  </si>
  <si>
    <t>001191</t>
  </si>
  <si>
    <t>Żarówka LED GS 7W E27 4000K LED2B</t>
  </si>
  <si>
    <t>001269</t>
  </si>
  <si>
    <t>Żarówka LED GS 7W E27 6000K Kobi</t>
  </si>
  <si>
    <t>001192</t>
  </si>
  <si>
    <t>Żarówka LED GS 7W E27 6500K LED2B</t>
  </si>
  <si>
    <t>001270</t>
  </si>
  <si>
    <t>Żarówka LED GS 8,5W E27 3000K LED2B</t>
  </si>
  <si>
    <t>001271</t>
  </si>
  <si>
    <t>Żarówka LED GS 8,5W E27 4000K LED2B</t>
  </si>
  <si>
    <t>001272</t>
  </si>
  <si>
    <t>Żarówka LED GS 8,5W E27 6500K LED2B</t>
  </si>
  <si>
    <t>001273</t>
  </si>
  <si>
    <t>Żarówka LED GS 10,5W E27 3000K LED2B</t>
  </si>
  <si>
    <t>001254</t>
  </si>
  <si>
    <t>Żarówka LED GS 10,5W E27 4000K LED2B</t>
  </si>
  <si>
    <t>001255</t>
  </si>
  <si>
    <t>Żarówka LED GS 10,5W E27 6500K LED2B</t>
  </si>
  <si>
    <t>001256</t>
  </si>
  <si>
    <t>Żarówka LED GS 10W E27 3000K Kobi</t>
  </si>
  <si>
    <t>001171</t>
  </si>
  <si>
    <t>Żarówka LED GS 10W E27 4000K Kobi</t>
  </si>
  <si>
    <t>001172</t>
  </si>
  <si>
    <t>Żarówka LED GS 10W E27 6000K Kobi</t>
  </si>
  <si>
    <t>001173</t>
  </si>
  <si>
    <t>Żarówka LED GS 11W E27 3000K LED2B</t>
  </si>
  <si>
    <t>001262</t>
  </si>
  <si>
    <t>Żarówka LED GS 13W E27 3000K Kobi</t>
  </si>
  <si>
    <t>001178</t>
  </si>
  <si>
    <t>Żarówka LED GS 13W E27 4000K Kobi</t>
  </si>
  <si>
    <t>001180</t>
  </si>
  <si>
    <t>001181</t>
  </si>
  <si>
    <t>Żarówka LED GS 15W E27 3000K Kobi</t>
  </si>
  <si>
    <t>001182</t>
  </si>
  <si>
    <t>Żarówka LED GS 15W E27 4000K Kobi</t>
  </si>
  <si>
    <t>001184</t>
  </si>
  <si>
    <t>001186</t>
  </si>
  <si>
    <t>Żarówka LED GS 18W E27 3000K Kobi</t>
  </si>
  <si>
    <t>001187</t>
  </si>
  <si>
    <t>Żarówka LED GS 18W E27 4000K Kobi</t>
  </si>
  <si>
    <t>001188</t>
  </si>
  <si>
    <t>Żarówka LED GS 18W E27 6000K Kobi</t>
  </si>
  <si>
    <t>001189</t>
  </si>
  <si>
    <t>Żarówka LED GU10 1W 3000K Kobi</t>
  </si>
  <si>
    <t>001199</t>
  </si>
  <si>
    <t>Żarówka LED GU10 1W 4000K Kobi</t>
  </si>
  <si>
    <t>001200</t>
  </si>
  <si>
    <t>Żarówka LED GU10 1W 6000K Kobi</t>
  </si>
  <si>
    <t>001201</t>
  </si>
  <si>
    <t>Żarówka LED GU10 3W 3000K Kobi Premium</t>
  </si>
  <si>
    <t>001205</t>
  </si>
  <si>
    <t>Żarówka LED GU10 3W 4000K Kobi Premium</t>
  </si>
  <si>
    <t>001206</t>
  </si>
  <si>
    <t>Żarówka LED GU10 3W 6200K Kobi Premium</t>
  </si>
  <si>
    <t>001208</t>
  </si>
  <si>
    <t>Żarówka LED GU10 5W 3000K Kobi</t>
  </si>
  <si>
    <t>001215</t>
  </si>
  <si>
    <t>Żarówka LED GU10 5W 3000K Kobi Premium</t>
  </si>
  <si>
    <t>001216</t>
  </si>
  <si>
    <t>Żarówka LED GU10 5W 4000K  Kobi Premium</t>
  </si>
  <si>
    <t>001218</t>
  </si>
  <si>
    <t>Żarówka LED GU10 5W 4000K Kobi</t>
  </si>
  <si>
    <t>001217</t>
  </si>
  <si>
    <t>Żarówka LED GU10 5W 6000K Kobi</t>
  </si>
  <si>
    <t>001220</t>
  </si>
  <si>
    <t>Żarówka LED GU10 5W 6500K Kobi Premium</t>
  </si>
  <si>
    <t>001221</t>
  </si>
  <si>
    <t>Żarówka LED GU10 7W 3000K Kobi</t>
  </si>
  <si>
    <t>001226</t>
  </si>
  <si>
    <t>Żarówka LED GU10 7W 3000K Kobi Premium</t>
  </si>
  <si>
    <t>001227</t>
  </si>
  <si>
    <t>Żarówka LED GU10 7W 4000K Kobi</t>
  </si>
  <si>
    <t>001228</t>
  </si>
  <si>
    <t>Żarówka LED GU10 7W 4000K Kobi Premium</t>
  </si>
  <si>
    <t>001229</t>
  </si>
  <si>
    <t>Żarówka LED GU10 7W 6000K Kobi</t>
  </si>
  <si>
    <t>001230</t>
  </si>
  <si>
    <t>Żarówka LED GU10 7W 6500K Kobi Premium</t>
  </si>
  <si>
    <t>001231</t>
  </si>
  <si>
    <t>Żarówka LED GU10 8,5W 3000K LED2B</t>
  </si>
  <si>
    <t>003810</t>
  </si>
  <si>
    <t>Żarówka LED GU10 8,5W 4000K LED2B</t>
  </si>
  <si>
    <t>003811</t>
  </si>
  <si>
    <t>Żarówka LED GU10 8,5W 6500K LED2B</t>
  </si>
  <si>
    <t>003812</t>
  </si>
  <si>
    <t>Żarówka LED GU10 9W 3000K Kobi Premium</t>
  </si>
  <si>
    <t>001235</t>
  </si>
  <si>
    <t>Żarówka LED GU10 9W 4000K Kobi Premium</t>
  </si>
  <si>
    <t>001236</t>
  </si>
  <si>
    <t>Żarówka LED GU10 9W 6000K Kobi Premium</t>
  </si>
  <si>
    <t>001237</t>
  </si>
  <si>
    <t>Żarówka LED J78 8W R7S 3000K Kobi</t>
  </si>
  <si>
    <t>001249</t>
  </si>
  <si>
    <t>Żarówka LED J78 8W R7S 4000K Kobi</t>
  </si>
  <si>
    <t>001250</t>
  </si>
  <si>
    <t>Żarówka LED J118 15W R7S 3000K Kobi</t>
  </si>
  <si>
    <t>001246</t>
  </si>
  <si>
    <t>Żarówka LED J118 15W R7S 4000K Kobi</t>
  </si>
  <si>
    <t>001247</t>
  </si>
  <si>
    <t>Żarówka LED MB 4,5W E14 3000K Kobi</t>
  </si>
  <si>
    <t>001325</t>
  </si>
  <si>
    <t>Żarówka LED MB 4,5W E14 4000K Kobi</t>
  </si>
  <si>
    <t>001326</t>
  </si>
  <si>
    <t>Żarówka LED MB 4,5W E14 6000K Kobi</t>
  </si>
  <si>
    <t>001327</t>
  </si>
  <si>
    <t>Żarówka LED MB 4,5W E27 3000K Kobi</t>
  </si>
  <si>
    <t>001334</t>
  </si>
  <si>
    <t>Żarówka LED MB 4,5W E27 4000K Kobi</t>
  </si>
  <si>
    <t>001335</t>
  </si>
  <si>
    <t>Żarówka LED MB 4,5W E27 6000K Kobi</t>
  </si>
  <si>
    <t>001336</t>
  </si>
  <si>
    <t>Żarówka LED MB 6W E14 3000K Kobi</t>
  </si>
  <si>
    <t>001328</t>
  </si>
  <si>
    <t>Żarówka LED MB 6W E14 4000K Kobi</t>
  </si>
  <si>
    <t>001329</t>
  </si>
  <si>
    <t>Żarówka LED MB 6W E14 6000K Kobi</t>
  </si>
  <si>
    <t>001330</t>
  </si>
  <si>
    <t>Żarówka LED MB 6W E27 3000K Kobi</t>
  </si>
  <si>
    <t>001337</t>
  </si>
  <si>
    <t>Żarówka LED MB 6W E27 4000K Kobi</t>
  </si>
  <si>
    <t>001338</t>
  </si>
  <si>
    <t>Żarówka LED MB 6W E27 6000K Kobi</t>
  </si>
  <si>
    <t>001339</t>
  </si>
  <si>
    <t>Żarówka LED MB 7W E14 3000K LED2B</t>
  </si>
  <si>
    <t>001281</t>
  </si>
  <si>
    <t>Żarówka LED MB 7W E27 3000K LED2B</t>
  </si>
  <si>
    <t>001289</t>
  </si>
  <si>
    <t>Żarówka LED MB 8,5W E14 3000K LED2B</t>
  </si>
  <si>
    <t>001284</t>
  </si>
  <si>
    <t>Żarówka LED MB 8,5W E14 4000K LED2B</t>
  </si>
  <si>
    <t>001285</t>
  </si>
  <si>
    <t>Żarówka LED MB 8,5W E14 6500K LED2B</t>
  </si>
  <si>
    <t>001286</t>
  </si>
  <si>
    <t>Żarówka LED MB 8,5W E27 3000K LED2B</t>
  </si>
  <si>
    <t>001292</t>
  </si>
  <si>
    <t>Żarówka LED MB 8,5W E27 4000K LED2B</t>
  </si>
  <si>
    <t>001293</t>
  </si>
  <si>
    <t>Żarówka LED MB 8,5W E27 6500K LED2B</t>
  </si>
  <si>
    <t>001294</t>
  </si>
  <si>
    <t>Żarówka LED MB 9W E14 3000K Kobi Premium</t>
  </si>
  <si>
    <t>001331</t>
  </si>
  <si>
    <t>Żarówka LED MB 9W E14 4000K Kobi Premium</t>
  </si>
  <si>
    <t>001332</t>
  </si>
  <si>
    <t>Żarówka LED MB 9W E14 6000K Kobi Premium</t>
  </si>
  <si>
    <t>001333</t>
  </si>
  <si>
    <t>Żarówka LED MB 9W E27 3000K Kobi Premium</t>
  </si>
  <si>
    <t>001340</t>
  </si>
  <si>
    <t>Żarówka LED MB 9W E27 4000K Kobi Premium</t>
  </si>
  <si>
    <t>001341</t>
  </si>
  <si>
    <t>Żarówka LED MB 9W E27 6000K Kobi Premium</t>
  </si>
  <si>
    <t>001342</t>
  </si>
  <si>
    <t>Żarówka LED MR11 4W GU10 3000K Kobi</t>
  </si>
  <si>
    <t>001322</t>
  </si>
  <si>
    <t>Żarówka LED MR11 4W GU10 4000K Kobi</t>
  </si>
  <si>
    <t>001323</t>
  </si>
  <si>
    <t>Żarówka LED MR11 4W GU10 6000K Kobi</t>
  </si>
  <si>
    <t>001324</t>
  </si>
  <si>
    <t>Żarówka LED R50 5W E14 3000K Kobi</t>
  </si>
  <si>
    <t>001352</t>
  </si>
  <si>
    <t>Żarówka LED R50 5W E14 4000K Kobi</t>
  </si>
  <si>
    <t>001353</t>
  </si>
  <si>
    <t>Żarówka LED R63 8W E27 3000K Kobi</t>
  </si>
  <si>
    <t>001355</t>
  </si>
  <si>
    <t>Żarówka LED R63 8W E27 4000K Kobi</t>
  </si>
  <si>
    <t>001356</t>
  </si>
  <si>
    <t>Żarówka LED ST45 1W E27 2700K LED2B</t>
  </si>
  <si>
    <t>001251</t>
  </si>
  <si>
    <t>Żarówka LED SW 1,5W E14 6000K Kobi</t>
  </si>
  <si>
    <t>001360</t>
  </si>
  <si>
    <t>Żarówka LED SW 3W E14 3000K Kobi</t>
  </si>
  <si>
    <t>001361</t>
  </si>
  <si>
    <t>Żarówka LED SW 4,5W E14 3000K Kobi</t>
  </si>
  <si>
    <t>001362</t>
  </si>
  <si>
    <t>Żarówka LED SW 4,5W E14 4000K Kobi</t>
  </si>
  <si>
    <t>001363</t>
  </si>
  <si>
    <t>Żarówka LED SW 4,5W E14 6000K Kobi</t>
  </si>
  <si>
    <t>001364</t>
  </si>
  <si>
    <t>Żarówka LED SW 6W E14 3000K Kobi</t>
  </si>
  <si>
    <t>001365</t>
  </si>
  <si>
    <t>Żarówka LED SW 6W E14 4000K Kobi</t>
  </si>
  <si>
    <t>001366</t>
  </si>
  <si>
    <t>Żarówka LED SW 6W E14 6000K Kobi</t>
  </si>
  <si>
    <t>001367</t>
  </si>
  <si>
    <t>Żarówka LED SW 6W E27 3000K Kobi</t>
  </si>
  <si>
    <t>001374</t>
  </si>
  <si>
    <t>Żarówka LED SW 6W E27 4000K Kobi</t>
  </si>
  <si>
    <t>001375</t>
  </si>
  <si>
    <t>Żarówka LED SW 6W E27 6000K Kobi</t>
  </si>
  <si>
    <t>001376</t>
  </si>
  <si>
    <t>Żarówka LED SW 7W E27 3000K LED2B</t>
  </si>
  <si>
    <t>001301</t>
  </si>
  <si>
    <t>Żarówka LED SW 7W E27 6500K LED2B</t>
  </si>
  <si>
    <t>001303</t>
  </si>
  <si>
    <t>Żarówka LED SW 8,5W E14 3000K LED2B</t>
  </si>
  <si>
    <t>001298</t>
  </si>
  <si>
    <t>Żarówka LED SW 8,5W E14 4000K LED2B</t>
  </si>
  <si>
    <t>001299</t>
  </si>
  <si>
    <t>Żarówka LED SW 8,5W E14 6500K LED2B</t>
  </si>
  <si>
    <t>001300</t>
  </si>
  <si>
    <t>Żarówka LED SW 8,5W E27 3000K LED2B</t>
  </si>
  <si>
    <t>001304</t>
  </si>
  <si>
    <t>Żarówka LED SW 8,5W E27 4000K LED2B</t>
  </si>
  <si>
    <t>001305</t>
  </si>
  <si>
    <t>Żarówka LED SW 8,5W E27 6500K LED2B</t>
  </si>
  <si>
    <t>001306</t>
  </si>
  <si>
    <t>Żarówka LED SW 9W E14 3000K Kobi Premium</t>
  </si>
  <si>
    <t>001370</t>
  </si>
  <si>
    <t>Żarówka LED SW 9W E14 4000K Kobi Premium</t>
  </si>
  <si>
    <t>001371</t>
  </si>
  <si>
    <t>Żarówka LED SW 9W E14 6000K Kobi Premium</t>
  </si>
  <si>
    <t>001372</t>
  </si>
  <si>
    <t>Żarówka LED SW 9W E27 3000K Kobi Premium</t>
  </si>
  <si>
    <t>001377</t>
  </si>
  <si>
    <t>Żarówka LED SW 9W E27 4000K Kobi Premium</t>
  </si>
  <si>
    <t>001378</t>
  </si>
  <si>
    <t>Żarówka LED SW 9W E27 6000K Kobi Premium</t>
  </si>
  <si>
    <t>001379</t>
  </si>
  <si>
    <t>Żarówka LED T 2W E14 4000K Kobi</t>
  </si>
  <si>
    <t>001388</t>
  </si>
  <si>
    <t>Żarówka LED T 4,2W E14 4000K Kobi</t>
  </si>
  <si>
    <t>001389</t>
  </si>
  <si>
    <t>Żarówka LED GS 9W E27 3000K LX Kobi Premium</t>
  </si>
  <si>
    <t>001195</t>
  </si>
  <si>
    <t>Żarówka LED GS 9W E27 4000K LX Kobi Premium</t>
  </si>
  <si>
    <t>001197</t>
  </si>
  <si>
    <t>Żarówka LED GS 9W E27 6500K LX Kobi Premium</t>
  </si>
  <si>
    <t>001198</t>
  </si>
  <si>
    <t>Oprawa liniowa LED NEXLINE1 31W P Kobi Pro</t>
  </si>
  <si>
    <t>000051</t>
  </si>
  <si>
    <t>JVS</t>
  </si>
  <si>
    <t>DECORO C-0001R</t>
  </si>
  <si>
    <t>000867</t>
  </si>
  <si>
    <t>Lampa podłogowa BOHO BONN ST 1xE27 Kobi Design</t>
  </si>
  <si>
    <t>001466</t>
  </si>
  <si>
    <t>Lampka biurkowa BOHO BONN MINI 1xE27 Kobi Design</t>
  </si>
  <si>
    <t>001467</t>
  </si>
  <si>
    <t>Lampka biurkowa BOHO BONN ST MINI 1xE27 Kobi Design</t>
  </si>
  <si>
    <t>001468</t>
  </si>
  <si>
    <t>Lampa wisząca BOHO BERN M 1xE27 Kobi Design</t>
  </si>
  <si>
    <t>001476</t>
  </si>
  <si>
    <t>Lampa wisząca BOHO BITAVIA S 1xE27 Kobi Design</t>
  </si>
  <si>
    <t>001477</t>
  </si>
  <si>
    <t>Lampa wisząca BOHO BITAVIA M 1xE27 Kobi Design</t>
  </si>
  <si>
    <t>001478</t>
  </si>
  <si>
    <t>Lampa wisząca BOHO BOSU 1xE27 Kobi Design</t>
  </si>
  <si>
    <t>001481</t>
  </si>
  <si>
    <t>Lampa wisząca BOHO RENNI N 1xE27 Kobi Design</t>
  </si>
  <si>
    <t>001484</t>
  </si>
  <si>
    <t>Lampa wisząca BOHO BAYOS 1xE27 Kobi Design</t>
  </si>
  <si>
    <t>001485</t>
  </si>
  <si>
    <t>Lampa wisząca BOHO BARSO 1xE27 Kobi Design</t>
  </si>
  <si>
    <t>001487</t>
  </si>
  <si>
    <t>Lampa sufitowa BOHO BULI M 1xE27 Kobi Design</t>
  </si>
  <si>
    <t>001489</t>
  </si>
  <si>
    <t>Lampa wisząca BOHO BEMIDI S 1xE27 Kobi Design</t>
  </si>
  <si>
    <t>001490</t>
  </si>
  <si>
    <t>001493</t>
  </si>
  <si>
    <t>001495</t>
  </si>
  <si>
    <t>Kinkiet BOHO SIBU WALL 1xE27 Kobi Design</t>
  </si>
  <si>
    <t>001496</t>
  </si>
  <si>
    <t>Lampka biurkowa BOHO SIMBU LS 1xE27 Kobi Design</t>
  </si>
  <si>
    <t>001498</t>
  </si>
  <si>
    <t>Lampka biurkowa BOHO SIBU ST 1xE27 Kobi Design</t>
  </si>
  <si>
    <t>001500</t>
  </si>
  <si>
    <t>001503</t>
  </si>
  <si>
    <t>Kinkiet CURVE-36 1xR7s JVS</t>
  </si>
  <si>
    <t>001982</t>
  </si>
  <si>
    <t>Downlight ESF-001-R 1xGU10 mat chrom JVS</t>
  </si>
  <si>
    <t>002022</t>
  </si>
  <si>
    <t>Pierścień ozdobny OH20 czarny Kobi</t>
  </si>
  <si>
    <t>002050</t>
  </si>
  <si>
    <t>Pierścień ozdobny OH228 chrom Kobi</t>
  </si>
  <si>
    <t>002055</t>
  </si>
  <si>
    <t>Oprawa sufitowa NUUK PT 1xGU10 biały Kobi</t>
  </si>
  <si>
    <t>002191</t>
  </si>
  <si>
    <t>Kinkiet ogrodowy QUAZAR 8 1xGU10 IP44 czarny Kobi</t>
  </si>
  <si>
    <t>002289</t>
  </si>
  <si>
    <t>Kinkiet ogrodowy QUAZAR 8 1xGU10 IP44 szary Kobi</t>
  </si>
  <si>
    <t>002290</t>
  </si>
  <si>
    <t>Kinkiet ogrodowy QUAZAR 9 2xGU10 IP44 czarny Kobi</t>
  </si>
  <si>
    <t>002291</t>
  </si>
  <si>
    <t>Lampka biurkowa BOHO BITAVIA MINI 1xE27 Kobi Design</t>
  </si>
  <si>
    <t>001479</t>
  </si>
  <si>
    <t>Lampa wisząca BOHO BONTI 1xE27 Kobi Design</t>
  </si>
  <si>
    <t>001482</t>
  </si>
  <si>
    <t>Lampa wisząca BOHO BINDUM 1xE27 Kobi Design</t>
  </si>
  <si>
    <t>001483</t>
  </si>
  <si>
    <t>Lampa wisząca BOHO BANDIGO 1xE27 Kobi Design</t>
  </si>
  <si>
    <t>001486</t>
  </si>
  <si>
    <t>Lampa wisząca BOHO BEMIDI M 1xE27 Kobi Design</t>
  </si>
  <si>
    <t>001491</t>
  </si>
  <si>
    <t>001494</t>
  </si>
  <si>
    <t>Lampka biurkowa BOHO SIMBU HS 1xE27 Kobi Design</t>
  </si>
  <si>
    <t>001497</t>
  </si>
  <si>
    <t>Lampa wisząca BOHO SILVON 1xE27 Kobi Design</t>
  </si>
  <si>
    <t>001499</t>
  </si>
  <si>
    <t>Oprawa drogowa Solar LED URBI 11W 6500K IP54 LED2B</t>
  </si>
  <si>
    <t>003688</t>
  </si>
  <si>
    <t>Kinkiet ogrodowy LED LENTERO 12W 4000K LX IP54 czarny LED2B</t>
  </si>
  <si>
    <t>003705</t>
  </si>
  <si>
    <t>Oprawa liniowa hermetyczna LED HPL2 90W IP65 120° Kobi Pro</t>
  </si>
  <si>
    <t>004134</t>
  </si>
  <si>
    <t>E</t>
  </si>
  <si>
    <t>szt</t>
  </si>
  <si>
    <t>nie dotyczy</t>
  </si>
  <si>
    <t>F</t>
  </si>
  <si>
    <t>C</t>
  </si>
  <si>
    <t>G</t>
  </si>
  <si>
    <t>B</t>
  </si>
  <si>
    <t>D</t>
  </si>
  <si>
    <t>5902201391404</t>
  </si>
  <si>
    <t>5902201391442</t>
  </si>
  <si>
    <t>5902201382334</t>
  </si>
  <si>
    <t>5902201382327</t>
  </si>
  <si>
    <t>5902201391428</t>
  </si>
  <si>
    <t>5902201391435</t>
  </si>
  <si>
    <t>5902201391374</t>
  </si>
  <si>
    <t>5902201391350</t>
  </si>
  <si>
    <t>5902201391367</t>
  </si>
  <si>
    <t>kpl</t>
  </si>
  <si>
    <t>5902201390940</t>
  </si>
  <si>
    <t>5902201390957</t>
  </si>
  <si>
    <t>5902201381696</t>
  </si>
  <si>
    <t>5902201381825</t>
  </si>
  <si>
    <t>5902201381849</t>
  </si>
  <si>
    <t>5902201381733</t>
  </si>
  <si>
    <t>5902201381559</t>
  </si>
  <si>
    <t>5902201381610</t>
  </si>
  <si>
    <t>5902201381498</t>
  </si>
  <si>
    <t>5902201381504</t>
  </si>
  <si>
    <t>5902201381535</t>
  </si>
  <si>
    <t>5902201381542</t>
  </si>
  <si>
    <t>5902201381511</t>
  </si>
  <si>
    <t>5902201381528</t>
  </si>
  <si>
    <t>5902201382341</t>
  </si>
  <si>
    <t>5902201391381</t>
  </si>
  <si>
    <t>5902201393583</t>
  </si>
  <si>
    <t>5902201393576</t>
  </si>
  <si>
    <t>5902201393538</t>
  </si>
  <si>
    <t>5902201393545</t>
  </si>
  <si>
    <t>5902201393514</t>
  </si>
  <si>
    <t>5902201393521</t>
  </si>
  <si>
    <t>5902201380729</t>
  </si>
  <si>
    <t>5902201390919</t>
  </si>
  <si>
    <t>5900605098745</t>
  </si>
  <si>
    <t>5902201390926</t>
  </si>
  <si>
    <t>5902201389241</t>
  </si>
  <si>
    <t>5902201390858</t>
  </si>
  <si>
    <t>5902201393460</t>
  </si>
  <si>
    <t>5902201393453</t>
  </si>
  <si>
    <t>5902201393491</t>
  </si>
  <si>
    <t>5902201393507</t>
  </si>
  <si>
    <t>5902201393477</t>
  </si>
  <si>
    <t>5902201393484</t>
  </si>
  <si>
    <t>5902201397888</t>
  </si>
  <si>
    <t>5900605095744</t>
  </si>
  <si>
    <t>5902201389265</t>
  </si>
  <si>
    <t>5902846011385</t>
  </si>
  <si>
    <t>5902201389272</t>
  </si>
  <si>
    <t>5902201389289</t>
  </si>
  <si>
    <t>5902201396324</t>
  </si>
  <si>
    <t>5902201396331</t>
  </si>
  <si>
    <t>5902201389128</t>
  </si>
  <si>
    <t>5902201389135</t>
  </si>
  <si>
    <t>5902201389142</t>
  </si>
  <si>
    <t>5902201389159</t>
  </si>
  <si>
    <t>5902201389166</t>
  </si>
  <si>
    <t>5902201389173</t>
  </si>
  <si>
    <t>5902201389180</t>
  </si>
  <si>
    <t>5902201389197</t>
  </si>
  <si>
    <t>5902201389203</t>
  </si>
  <si>
    <t>5902201389210</t>
  </si>
  <si>
    <t>5902201389227</t>
  </si>
  <si>
    <t>5902201389234</t>
  </si>
  <si>
    <t>5902201390896</t>
  </si>
  <si>
    <t>5902201390902</t>
  </si>
  <si>
    <t>5902201391398</t>
  </si>
  <si>
    <t>5902201384390</t>
  </si>
  <si>
    <t>5902201384406</t>
  </si>
  <si>
    <t>5902201396683</t>
  </si>
  <si>
    <t>5902201396690</t>
  </si>
  <si>
    <t>5907178000809</t>
  </si>
  <si>
    <t>5902201396706</t>
  </si>
  <si>
    <t>5902201396713</t>
  </si>
  <si>
    <t>5902201396720</t>
  </si>
  <si>
    <t>5902201396737</t>
  </si>
  <si>
    <t>5902201391343</t>
  </si>
  <si>
    <t>5902201390872</t>
  </si>
  <si>
    <t>5902201364606</t>
  </si>
  <si>
    <t>5902201387537</t>
  </si>
  <si>
    <t>5902201387544</t>
  </si>
  <si>
    <t>5902201394955</t>
  </si>
  <si>
    <t>5902201394962</t>
  </si>
  <si>
    <t>5902201394979</t>
  </si>
  <si>
    <t>4260379589964</t>
  </si>
  <si>
    <t>5902201381443</t>
  </si>
  <si>
    <t>5902201381467</t>
  </si>
  <si>
    <t>5902201381474</t>
  </si>
  <si>
    <t>5902201381566</t>
  </si>
  <si>
    <t>5902201381573</t>
  </si>
  <si>
    <t>5902201381580</t>
  </si>
  <si>
    <t>5902201381627</t>
  </si>
  <si>
    <t>5902201381658</t>
  </si>
  <si>
    <t>5902201381665</t>
  </si>
  <si>
    <t>5902201381689</t>
  </si>
  <si>
    <t>5902201381702</t>
  </si>
  <si>
    <t>5902201381719</t>
  </si>
  <si>
    <t>5902201381740</t>
  </si>
  <si>
    <t>5902201381764</t>
  </si>
  <si>
    <t>5902201381771</t>
  </si>
  <si>
    <t>5902201381795</t>
  </si>
  <si>
    <t>5902201381818</t>
  </si>
  <si>
    <t>5902201381863</t>
  </si>
  <si>
    <t>4260379586765</t>
  </si>
  <si>
    <t>4251292406766</t>
  </si>
  <si>
    <t>5900605093634</t>
  </si>
  <si>
    <t>5900605094778</t>
  </si>
  <si>
    <t>5900605097380</t>
  </si>
  <si>
    <t>5900605097397</t>
  </si>
  <si>
    <t>5902201381597</t>
  </si>
  <si>
    <t>5902201381634</t>
  </si>
  <si>
    <t>5902201381641</t>
  </si>
  <si>
    <t>5902201381672</t>
  </si>
  <si>
    <t>5902201381726</t>
  </si>
  <si>
    <t>5902201381757</t>
  </si>
  <si>
    <t>5902201381788</t>
  </si>
  <si>
    <t>5902201381801</t>
  </si>
  <si>
    <t>5902201390865</t>
  </si>
  <si>
    <t>5902201391411</t>
  </si>
  <si>
    <t>Panel LED DAVRO 40W 60x60 4000K Kobi</t>
  </si>
  <si>
    <t>003826</t>
  </si>
  <si>
    <t>Panel LED NELIO G2 36W 60x60 4000K Kobi Pro</t>
  </si>
  <si>
    <t>003827</t>
  </si>
  <si>
    <t>003829</t>
  </si>
  <si>
    <t>5902201396379</t>
  </si>
  <si>
    <t>5902201396386</t>
  </si>
  <si>
    <t>5902201396409</t>
  </si>
  <si>
    <t>do wyczerpania zapasów</t>
  </si>
  <si>
    <t>Uwagi</t>
  </si>
  <si>
    <t>Panel LED CAPRI G2 25-36- 40W 30x120 3CCT IP44 Kobi Pro</t>
  </si>
  <si>
    <t>003823</t>
  </si>
  <si>
    <t>Panel LED CAPRI G2 25-36-40W 30x120 3CCT IP44 UGR&lt;19 Kobi Pro</t>
  </si>
  <si>
    <t>003824</t>
  </si>
  <si>
    <t>Panel LED CAPRI G3 25-36-40W 60x60 3CCT IP44 UGR &lt;19 Kobi Pro</t>
  </si>
  <si>
    <t>003825</t>
  </si>
  <si>
    <t>High Bay LED ANICA 150W 4000K IP65 90° Kobi Pro</t>
  </si>
  <si>
    <t>001555</t>
  </si>
  <si>
    <t>High Bay LED ANICA 150W 4000K IP65 120° Kobi Pro</t>
  </si>
  <si>
    <t>001554</t>
  </si>
  <si>
    <t>5902201396348</t>
  </si>
  <si>
    <t>5902201396355</t>
  </si>
  <si>
    <t>5902201396362</t>
  </si>
  <si>
    <t>5902201386240</t>
  </si>
  <si>
    <t>5902201386257</t>
  </si>
  <si>
    <t>Kinkiet ogrodowy QUAZAR 15 1xGU10 LX IP44 czarny Kobi</t>
  </si>
  <si>
    <t>Kinkiet ogrodowy QUAZAR 15 1xGU10 LX IP44 szary Kobi</t>
  </si>
  <si>
    <t>Naświetlacz Solar LED GLOW G2 2,5W 6500K LED2B</t>
  </si>
  <si>
    <t>Naświetlacz LED MHC 10W 4000K IP65 czarny LED2B</t>
  </si>
  <si>
    <t>Naświetlacz LED MHC 30W 6500K IP65 czarny LED2B</t>
  </si>
  <si>
    <t>Oprawa meblowa LED WL 4W 3CCT Kobi</t>
  </si>
  <si>
    <t>003830</t>
  </si>
  <si>
    <t>Oprawa meblowa LED WL 12W 3CCT Kobi</t>
  </si>
  <si>
    <t>003832</t>
  </si>
  <si>
    <t>Oprawa meblowa LED WL 16W 3CCT Kobi</t>
  </si>
  <si>
    <t>003833</t>
  </si>
  <si>
    <t>003817</t>
  </si>
  <si>
    <t>003818</t>
  </si>
  <si>
    <t>003819</t>
  </si>
  <si>
    <t>Łącznik I taśmy LED COB 8mm Kobi</t>
  </si>
  <si>
    <t>003931</t>
  </si>
  <si>
    <t>Łącznik 10 cm taśmy LED COB 8mm Kobi</t>
  </si>
  <si>
    <t>003932</t>
  </si>
  <si>
    <t>Łącznik dwustronny 10 cm taśmy LED COB 8mm Kobi</t>
  </si>
  <si>
    <t>003933</t>
  </si>
  <si>
    <t>Łącznik L taśmy LED COB 8mm Kobi</t>
  </si>
  <si>
    <t>003934</t>
  </si>
  <si>
    <t>Moduł zasilacza montażowy 24V 24W 1,00A</t>
  </si>
  <si>
    <t>004359</t>
  </si>
  <si>
    <t>Moduł zasilacza montażowy 24V 36W 1.50A</t>
  </si>
  <si>
    <t>004360</t>
  </si>
  <si>
    <t>Moduł zasilacza montażowy 24V 60W 2,50A</t>
  </si>
  <si>
    <t>004361</t>
  </si>
  <si>
    <t>Moduł zasilacza montażowy 24V 100W 4,16A</t>
  </si>
  <si>
    <t>004362</t>
  </si>
  <si>
    <t>Moduł zasilacza montażowy 24V 150W 6,25A</t>
  </si>
  <si>
    <t>004363</t>
  </si>
  <si>
    <t>Moduł zasilacza montażowy 24V 200W 8.30A</t>
  </si>
  <si>
    <t>004364</t>
  </si>
  <si>
    <t>Moduł zasilacza montażowy 24V 250W 10,40A</t>
  </si>
  <si>
    <t>004365</t>
  </si>
  <si>
    <t>Moduł zasilacza montażowy 24V 300W 12,50A</t>
  </si>
  <si>
    <t>004366</t>
  </si>
  <si>
    <t>004367</t>
  </si>
  <si>
    <t>004368</t>
  </si>
  <si>
    <t>004369</t>
  </si>
  <si>
    <t>004370</t>
  </si>
  <si>
    <t>004371</t>
  </si>
  <si>
    <t>Zasilacz desktop 24V 24W 1,00A wtyk DC 2,1x5,5</t>
  </si>
  <si>
    <t>004372</t>
  </si>
  <si>
    <t>Zasilacz desktop 24V 60W 2,50A wtyk DC 2,1x5,5</t>
  </si>
  <si>
    <t>004374</t>
  </si>
  <si>
    <t>Zasilacz desktop 24V 96W 4,00A wtyk DC 2,1x5,5</t>
  </si>
  <si>
    <t>Zasilacz desktop 24V 120W 5,00A wtyk DC 2,1x5,5</t>
  </si>
  <si>
    <t>004378</t>
  </si>
  <si>
    <t>5902201397871</t>
  </si>
  <si>
    <t>5902201397895</t>
  </si>
  <si>
    <t>5902201397901</t>
  </si>
  <si>
    <t>5907178001394</t>
  </si>
  <si>
    <t>5907178001400</t>
  </si>
  <si>
    <t>5907178001417</t>
  </si>
  <si>
    <t>5907178001424</t>
  </si>
  <si>
    <t>5907178001431</t>
  </si>
  <si>
    <t>5907178001448</t>
  </si>
  <si>
    <t>5907178001455</t>
  </si>
  <si>
    <t>Naświetlacz LED MHC 10W 6500K IP65 czarny LED2B</t>
  </si>
  <si>
    <t>Naświetlacz LED MH 20W 4000K IP65 czarny LED2B</t>
  </si>
  <si>
    <t>001648</t>
  </si>
  <si>
    <t>Naświetlacz LED MH 30W 4000K IP65 czarny LED2B</t>
  </si>
  <si>
    <t>001653</t>
  </si>
  <si>
    <t>Naświetlacz LED MH 30W 6500K IP65 czarny LED2B</t>
  </si>
  <si>
    <t>001655</t>
  </si>
  <si>
    <t>Naświetlacz LED MH 50W 4000K IP65 czarny LED2B</t>
  </si>
  <si>
    <t>001658</t>
  </si>
  <si>
    <t>Naświetlacz LED MH 50W 6500K IP65 czarny LED2B</t>
  </si>
  <si>
    <t>001660</t>
  </si>
  <si>
    <t>Naświetlacz LED MH 100W 4000K IP65 czarny LED2B</t>
  </si>
  <si>
    <t>001638</t>
  </si>
  <si>
    <t>Naświetlacz LED MH 100W 6500K IP65 czarny LED2B</t>
  </si>
  <si>
    <t>001640</t>
  </si>
  <si>
    <t>Naświetlacz LED MHC 20W 4000K IP65 czarny LED2B</t>
  </si>
  <si>
    <t>001669</t>
  </si>
  <si>
    <t>Naświetlacz LED MHC 20W 6500K IP65 czarny LED2B</t>
  </si>
  <si>
    <t>001671</t>
  </si>
  <si>
    <t>Naświetlacz LED MHC 30W 4000K IP65 czarny LED2B</t>
  </si>
  <si>
    <t>001674</t>
  </si>
  <si>
    <t>Naświetlacz LED MHC 50W 4000K IP65 czarny LED2B</t>
  </si>
  <si>
    <t>001679</t>
  </si>
  <si>
    <t>Naświetlacz LED MHC 50W 6500K IP65 czarny LED2B</t>
  </si>
  <si>
    <t>001681</t>
  </si>
  <si>
    <t>002408</t>
  </si>
  <si>
    <t>003935</t>
  </si>
  <si>
    <t>003936</t>
  </si>
  <si>
    <t>004022</t>
  </si>
  <si>
    <t>004023</t>
  </si>
  <si>
    <t>004024</t>
  </si>
  <si>
    <t>004026</t>
  </si>
  <si>
    <t>004027</t>
  </si>
  <si>
    <t>Lampka biurkowa LED LUSIA 5W biała LED2B</t>
  </si>
  <si>
    <t>004028</t>
  </si>
  <si>
    <t>Lampka biurkowa LED LUSIA 5W czarna LED2B</t>
  </si>
  <si>
    <t>004029</t>
  </si>
  <si>
    <t>004030</t>
  </si>
  <si>
    <t>004032</t>
  </si>
  <si>
    <t>5902201300475</t>
  </si>
  <si>
    <t>5902201300482</t>
  </si>
  <si>
    <t>5902846018179</t>
  </si>
  <si>
    <t>5902201300499</t>
  </si>
  <si>
    <t>5902846018193</t>
  </si>
  <si>
    <t>5902201304251</t>
  </si>
  <si>
    <t>5902846018209</t>
  </si>
  <si>
    <t>5902201300512</t>
  </si>
  <si>
    <t>5902846018247</t>
  </si>
  <si>
    <t>5902201300529</t>
  </si>
  <si>
    <t>5902201300536</t>
  </si>
  <si>
    <t>5902846018285</t>
  </si>
  <si>
    <t>5902479642901</t>
  </si>
  <si>
    <t>5907178002506</t>
  </si>
  <si>
    <t>5907178002513</t>
  </si>
  <si>
    <t>5907178001462</t>
  </si>
  <si>
    <t>5907178001479</t>
  </si>
  <si>
    <t>5907178001486</t>
  </si>
  <si>
    <t>5907178001509</t>
  </si>
  <si>
    <t>5907178001516</t>
  </si>
  <si>
    <t>5907178001523</t>
  </si>
  <si>
    <t>5907178001530</t>
  </si>
  <si>
    <t>5907178001547</t>
  </si>
  <si>
    <t>5907178001561</t>
  </si>
  <si>
    <t>5902479640839</t>
  </si>
  <si>
    <t>5902479641386</t>
  </si>
  <si>
    <t>5902479643281</t>
  </si>
  <si>
    <t>5902479643298</t>
  </si>
  <si>
    <t>5902479643311</t>
  </si>
  <si>
    <t>5902479643304</t>
  </si>
  <si>
    <t>5902479641843</t>
  </si>
  <si>
    <t>5902479641799</t>
  </si>
  <si>
    <t>5902479641805</t>
  </si>
  <si>
    <t>5902479641812</t>
  </si>
  <si>
    <t>5902479641829</t>
  </si>
  <si>
    <t>5902479641836</t>
  </si>
  <si>
    <t>5902479642871</t>
  </si>
  <si>
    <t>5902479641720</t>
  </si>
  <si>
    <t>5902479641737</t>
  </si>
  <si>
    <t>Łącznik L do LED KOLINE K2 biały Kobi Pro</t>
  </si>
  <si>
    <t>003719</t>
  </si>
  <si>
    <t>Łącznik L do LED KOLINE K2 czarny Kobi Pro</t>
  </si>
  <si>
    <t>003720</t>
  </si>
  <si>
    <t>Naświetlacz LED TIGRA PORTABLE 50W 4000K IP54 Kobi</t>
  </si>
  <si>
    <t>003937</t>
  </si>
  <si>
    <t>Naświetlacz LED TIGRA PORTABLE 100W 4000K IP54 Kobi</t>
  </si>
  <si>
    <t>003938</t>
  </si>
  <si>
    <t>Naświetlacz LED TIGRA TRIPOD 2x50W 4000K IP54 Kobi</t>
  </si>
  <si>
    <t>003939</t>
  </si>
  <si>
    <t>Naświetlacz LED TIGRA TRIPOD 2x100W 4000K IP54 Kobi</t>
  </si>
  <si>
    <t>003940</t>
  </si>
  <si>
    <t>Lampka biurkowa LED AURIQ LOUPE 10W 3CCT czarna LED2B</t>
  </si>
  <si>
    <t>Lampka biurkowa LED NOBLITE RGB 7W 3CCT biała LED2B</t>
  </si>
  <si>
    <t>Lampka biurkowa LED NOBLITE RGB 7W 3CCT czarna LED2B</t>
  </si>
  <si>
    <t>Lampka biurkowa LED NOBLITE N 7W 3CCT biała LED2B</t>
  </si>
  <si>
    <t>Lampka biurkowa LED NOBLITE N 7W 3CCT czarna LED2B</t>
  </si>
  <si>
    <t>Lampka biurkowa LED TENUIX 14W 3CCT biała LED2B</t>
  </si>
  <si>
    <t>Lampka biurkowa LED TENUIX 14W 3CCT czarna LED2B</t>
  </si>
  <si>
    <t>Lampka biurkowa LED TENUIX DUO 28W 3CCT biała LED2B</t>
  </si>
  <si>
    <t>Lampka biurkowa LED TENUIX DUO 28W 3CCT czarna LED2B</t>
  </si>
  <si>
    <t>Lampka biurkowa LED TENUIX FOLD 20W 3CCT LED2B</t>
  </si>
  <si>
    <t>Taśma LED TRAMO 320 COB 50m 3000K 24V IP20 Kobi Premium</t>
  </si>
  <si>
    <t>Taśma LED TRAMO 320 COB 50m 4000K 24V IP20 Kobi Premium</t>
  </si>
  <si>
    <t>Taśma LED TRAMO 320 COB 50m 6500K 24V IP20 Kobi Premium</t>
  </si>
  <si>
    <t>Zestaw szynoprzewód 1-obwodowy NEXTRACK GO 4xGU10 1m biały Kobi</t>
  </si>
  <si>
    <t>003724</t>
  </si>
  <si>
    <t>Zestaw szynoprzewód 1-obwodowy NEXTRACK GO 4xGU10 1m czarny Kobi</t>
  </si>
  <si>
    <t>003725</t>
  </si>
  <si>
    <t>Łącznik do szynoprzewodu 1-obwodowy I wewnętrzny biały Kobi</t>
  </si>
  <si>
    <t>003726</t>
  </si>
  <si>
    <t>Łącznik do szynoprzewodu 1-obwodowy I wewnętrzny czarny Kobi</t>
  </si>
  <si>
    <t>003727</t>
  </si>
  <si>
    <t>URZĄDZENIA ELEKTRYCZNE</t>
  </si>
  <si>
    <t>WENTYLATORY</t>
  </si>
  <si>
    <t>Kobi Windstar</t>
  </si>
  <si>
    <t>Wentylator wieżowy HOORN 45W czarny Kobi Windstar</t>
  </si>
  <si>
    <t>001433</t>
  </si>
  <si>
    <t>Wentylatory i termowentylatory</t>
  </si>
  <si>
    <t>Wentylator wieżowy VENLO 45W czarny Kobi Windstar</t>
  </si>
  <si>
    <t>001434</t>
  </si>
  <si>
    <t>002418</t>
  </si>
  <si>
    <t>Wentylator biurkowy VIENTO CLIP biały Kobi Windstar</t>
  </si>
  <si>
    <t>003686</t>
  </si>
  <si>
    <t>Wentylator biurkowy VIENTO CLIP czarny Kobi Windstar</t>
  </si>
  <si>
    <t>003685</t>
  </si>
  <si>
    <t>Wentylator wieżowy LISSE 2 ST 45W czarny Kobi Windstar</t>
  </si>
  <si>
    <t>003684</t>
  </si>
  <si>
    <t>Wentylator wieżowy VENLO 2 45W czarny Kobi Windstar</t>
  </si>
  <si>
    <t>003683</t>
  </si>
  <si>
    <t>Termowentylator MISTRAL 2000W biały Kobi Windstar</t>
  </si>
  <si>
    <t>001928</t>
  </si>
  <si>
    <t>Grzejnik konwektorowy SONDO 2000W TURBO biały Kobi Windstar</t>
  </si>
  <si>
    <t>001929</t>
  </si>
  <si>
    <t>Termowentylator ZEFIR 2000W biały Kobi Windstar</t>
  </si>
  <si>
    <t>001931</t>
  </si>
  <si>
    <t>Termowentylator ceramiczny RIN 1500W czarny Kobi Windstar</t>
  </si>
  <si>
    <t>004011</t>
  </si>
  <si>
    <t>Grzejnik konwektorowy SONDO 2000W TURBO czarny Kobi Windstar</t>
  </si>
  <si>
    <t>004033</t>
  </si>
  <si>
    <t>5902201393552</t>
  </si>
  <si>
    <t>5902201393569</t>
  </si>
  <si>
    <t>5907178001578</t>
  </si>
  <si>
    <t>5907178001585</t>
  </si>
  <si>
    <t>5907178001592</t>
  </si>
  <si>
    <t>5907178001608</t>
  </si>
  <si>
    <t>5902201395181</t>
  </si>
  <si>
    <t>5902201395174</t>
  </si>
  <si>
    <t>5902201395198</t>
  </si>
  <si>
    <t>5902201395204</t>
  </si>
  <si>
    <t>5902201370737</t>
  </si>
  <si>
    <t>5902201370744</t>
  </si>
  <si>
    <t>5902201301779</t>
  </si>
  <si>
    <t>5902201390209</t>
  </si>
  <si>
    <t>5902201390193</t>
  </si>
  <si>
    <t>5902201390186</t>
  </si>
  <si>
    <t>5902201390179</t>
  </si>
  <si>
    <t>5902201304817</t>
  </si>
  <si>
    <t>5902201308068</t>
  </si>
  <si>
    <t>5902201304800</t>
  </si>
  <si>
    <t>5907178003077</t>
  </si>
  <si>
    <t>5907178003107</t>
  </si>
  <si>
    <t>High Bay LED GRAZA 100W 4000K IP65 90° Kobi</t>
  </si>
  <si>
    <t>003722</t>
  </si>
  <si>
    <t>High Bay LED GRAZA 200W 4000K IP65 90° Kobi</t>
  </si>
  <si>
    <t>003723</t>
  </si>
  <si>
    <t>5902201395150</t>
  </si>
  <si>
    <t>5902201395167</t>
  </si>
  <si>
    <t>Naświetlacz Solar LED MHCS 10W 2CCT IP65 Kobi Premium</t>
  </si>
  <si>
    <t>004003</t>
  </si>
  <si>
    <t>Oprawa hermetyczna HERMIC G2 2x120 IP65 Kobi</t>
  </si>
  <si>
    <t>004005</t>
  </si>
  <si>
    <t>Reflektor szynowy 3-obwodowy NEXTRACK S-LINE N1 1xGU10 biały Kobi</t>
  </si>
  <si>
    <t>004002</t>
  </si>
  <si>
    <t>Reflektor szynowy 3-obwodowy NEXTRACK S-LINE N1 1xGU10 czarny Kobi</t>
  </si>
  <si>
    <t>004001</t>
  </si>
  <si>
    <t>Zasilacz do panelu LED 40W DALI DT8 (LF-GSD040YG) Kobi Pro</t>
  </si>
  <si>
    <t>004169</t>
  </si>
  <si>
    <t>Zasilacz do panelu LED max. 40W 3CCT Kobi Pro</t>
  </si>
  <si>
    <t>004170</t>
  </si>
  <si>
    <t>5907178003022</t>
  </si>
  <si>
    <t>5907178003046</t>
  </si>
  <si>
    <t>5907178003015</t>
  </si>
  <si>
    <t>5907178003008</t>
  </si>
  <si>
    <t>5907178004517</t>
  </si>
  <si>
    <t>5907178004524</t>
  </si>
  <si>
    <t>URZĄDZENIE ELEKTRYCZNE</t>
  </si>
  <si>
    <t>004084</t>
  </si>
  <si>
    <t>Zestaw Tramo Control do taśm COB 12-24V Kobi Premium</t>
  </si>
  <si>
    <t>004116</t>
  </si>
  <si>
    <t>Przedłużacz LINEA PRO XC 3gn+3USB/1USB-C/1,5m/Zu+W biały Kobi</t>
  </si>
  <si>
    <t>004204</t>
  </si>
  <si>
    <t>Przedłużacz LINEA PRO XC 3gn+3USB/1USB-C/1,5m/Zu+W czarny Kobi</t>
  </si>
  <si>
    <t>004205</t>
  </si>
  <si>
    <t>Przedłużacz LINEA PRO XC 3gn+3USB/1USB-C/3m/Zu+W biały Kobi</t>
  </si>
  <si>
    <t>004206</t>
  </si>
  <si>
    <t>Przedłużacz LINEA PRO XC 3gn+3USB/1USB-C/3m/Zu+W czarny Kobi</t>
  </si>
  <si>
    <t>004207</t>
  </si>
  <si>
    <t>Oprawa parkowa Solar LED LUVIA 15W 6500K IP54 LED2B</t>
  </si>
  <si>
    <t>003690</t>
  </si>
  <si>
    <t>Oprawa parkowa Solar LED LUVIA 15W 4000K IP54 LED2B</t>
  </si>
  <si>
    <t>004180</t>
  </si>
  <si>
    <t>004181</t>
  </si>
  <si>
    <t>Żarówka do roślin LED PLANTY W 7W E27 1200K biała Kobi Design</t>
  </si>
  <si>
    <t>004012</t>
  </si>
  <si>
    <t>Żarówka do roślin LED PLANTY B 7W E27 1200K czarna Kobi Design</t>
  </si>
  <si>
    <t>004013</t>
  </si>
  <si>
    <t>Przewód ze sterownikiem LED GROWLY PC3 3m Kobi Design</t>
  </si>
  <si>
    <t>004020</t>
  </si>
  <si>
    <t>Żarówka do roślin LED PLANTY GS 11W E27 1200K Kobi Design</t>
  </si>
  <si>
    <t>004014</t>
  </si>
  <si>
    <t>Lampa do roślin LED VITARO RING 2 CLIP 8W Kobi Design</t>
  </si>
  <si>
    <t>004015</t>
  </si>
  <si>
    <t>Lampa do roślin LED FIRON 45W Kobi Design</t>
  </si>
  <si>
    <t>004016</t>
  </si>
  <si>
    <t>Latarka czołowa LED H-MPR 6000K LED2B</t>
  </si>
  <si>
    <t>004126</t>
  </si>
  <si>
    <t>Latarka LED X-MPR 1 6000K LED2B</t>
  </si>
  <si>
    <t>004127</t>
  </si>
  <si>
    <t>Latarka LED X-MPR 2 6000K LED2B</t>
  </si>
  <si>
    <t>004128</t>
  </si>
  <si>
    <t>Latarka LED  X-MPR 3 6000K LED2B</t>
  </si>
  <si>
    <t>004129</t>
  </si>
  <si>
    <t>Latarka LED X-MPR 4 6000K LED2B</t>
  </si>
  <si>
    <t>004130</t>
  </si>
  <si>
    <t>Latarka LED X-MPR 5 6000K LED2B</t>
  </si>
  <si>
    <t>004131</t>
  </si>
  <si>
    <t>Latarka LED X-MPR 6 6000K LED2B</t>
  </si>
  <si>
    <t>004132</t>
  </si>
  <si>
    <t>Latarenka LED MPR 3000K LED2B</t>
  </si>
  <si>
    <t>004133</t>
  </si>
  <si>
    <t>5907178003886</t>
  </si>
  <si>
    <t>5907178003909</t>
  </si>
  <si>
    <t>5907178004593</t>
  </si>
  <si>
    <t>5907178004609</t>
  </si>
  <si>
    <t>5907178004616</t>
  </si>
  <si>
    <t>5907178004623</t>
  </si>
  <si>
    <t>5902201390889</t>
  </si>
  <si>
    <t>5907178004531</t>
  </si>
  <si>
    <t>5907178004548</t>
  </si>
  <si>
    <t>5907178003114</t>
  </si>
  <si>
    <t>5907178003121</t>
  </si>
  <si>
    <t>5907178003220</t>
  </si>
  <si>
    <t>5907178003152</t>
  </si>
  <si>
    <t>5907178003176</t>
  </si>
  <si>
    <t>5907178003183</t>
  </si>
  <si>
    <t>5907178004401</t>
  </si>
  <si>
    <t>5907178004418</t>
  </si>
  <si>
    <t>5907178004425</t>
  </si>
  <si>
    <t>5907178004432</t>
  </si>
  <si>
    <t>5907178004449</t>
  </si>
  <si>
    <t>5907178004456</t>
  </si>
  <si>
    <t>5907178004463</t>
  </si>
  <si>
    <t>5907178004470</t>
  </si>
  <si>
    <t>004085</t>
  </si>
  <si>
    <t>004082</t>
  </si>
  <si>
    <t>004083</t>
  </si>
  <si>
    <t>004080</t>
  </si>
  <si>
    <t>004081</t>
  </si>
  <si>
    <t>004079</t>
  </si>
  <si>
    <t>5907178003893</t>
  </si>
  <si>
    <t>5907178003862</t>
  </si>
  <si>
    <t>5907178003879</t>
  </si>
  <si>
    <t>5907178003848</t>
  </si>
  <si>
    <t>5907178003855</t>
  </si>
  <si>
    <t>5907178003831</t>
  </si>
  <si>
    <t>Oprawa hermetyczna HERMES G2 2x120 IP65 LED2B</t>
  </si>
  <si>
    <t>004192</t>
  </si>
  <si>
    <t>Panel LED BALIS 40W 60x60 4000K biały Kobi</t>
  </si>
  <si>
    <t>003958</t>
  </si>
  <si>
    <t>004142</t>
  </si>
  <si>
    <t>Plafon LED NIVERA CIRCLE 12W 3CCT IP54 biały Kobi Premium</t>
  </si>
  <si>
    <t>004086</t>
  </si>
  <si>
    <t>Plafon LED NIVERA CIRCLE 12W 3CCT IP54 czarny Kobi Premium</t>
  </si>
  <si>
    <t>004087</t>
  </si>
  <si>
    <t>Plafon LED NIVERA CIRCLE 12W 3CCT LX IP54 biały Kobi Premium</t>
  </si>
  <si>
    <t>004102</t>
  </si>
  <si>
    <t>Plafon LED NIVERA CIRCLE 12W 3CCT LX IP54 czarny Kobi Premium</t>
  </si>
  <si>
    <t>004103</t>
  </si>
  <si>
    <t>Plafon LED NIVERA CIRCLE 18W 3CCT IP54 biały Kobi Premium</t>
  </si>
  <si>
    <t>004088</t>
  </si>
  <si>
    <t>Plafon LED NIVERA CIRCLE 18W 3CCT IP54 czarny Kobi Premium</t>
  </si>
  <si>
    <t>004089</t>
  </si>
  <si>
    <t>Plafon LED NIVERA CIRCLE 18W 3CCT LX IP54 biały Kobi Premium</t>
  </si>
  <si>
    <t>004104</t>
  </si>
  <si>
    <t>Plafon LED NIVERA CIRCLE 18W 3CCT LX IP54 czarny Kobi Premium</t>
  </si>
  <si>
    <t>004105</t>
  </si>
  <si>
    <t>Plafon LED NIVERA CIRCLE 24W 3CCT IP54 biały Kobi Premium</t>
  </si>
  <si>
    <t>004090</t>
  </si>
  <si>
    <t>Plafon LED NIVERA CIRCLE 24W 3CCT IP54 czarny Kobi Premium</t>
  </si>
  <si>
    <t>004091</t>
  </si>
  <si>
    <t>Plafon LED NIVERA CIRCLE 24W 3CCT LX IP54 biały Kobi Premium</t>
  </si>
  <si>
    <t>004106</t>
  </si>
  <si>
    <t>Plafon LED NIVERA CIRCLE 24W 3CCT LX IP54 czarny Kobi Premium</t>
  </si>
  <si>
    <t>004107</t>
  </si>
  <si>
    <t>Plafon LED NIVERA CIRCLE 32W 3CCT IP54 biały Kobi Premium</t>
  </si>
  <si>
    <t>004092</t>
  </si>
  <si>
    <t>Plafon LED NIVERA CIRCLE 32W 3CCT IP54 czarny Kobi Premium</t>
  </si>
  <si>
    <t>004093</t>
  </si>
  <si>
    <t>Plafon LED NIVERA CIRCLE 32W 3CCT LX IP54 biały Kobi Premium</t>
  </si>
  <si>
    <t>004108</t>
  </si>
  <si>
    <t>Plafon LED NIVERA CIRCLE 32W 3CCT LX IP54 czarny Kobi Premium</t>
  </si>
  <si>
    <t>004109</t>
  </si>
  <si>
    <t>Plafon LED NIVERA SQUARE 12W 3CCT IP54 biały Kobi Premium</t>
  </si>
  <si>
    <t>004094</t>
  </si>
  <si>
    <t>Plafon LED NIVERA SQUARE 12W 3CCT IP54 czarny Kobi Premium</t>
  </si>
  <si>
    <t>004095</t>
  </si>
  <si>
    <t>Plafon LED NIVERA SQUARE 12W 3CCT LX IP54 biały Kobi Premium</t>
  </si>
  <si>
    <t>004110</t>
  </si>
  <si>
    <t>Plafon LED NIVERA SQUARE 12W 3CCT LX IP54 czarny Kobi Premium</t>
  </si>
  <si>
    <t>004111</t>
  </si>
  <si>
    <t>Plafon LED NIVERA SQUARE 18W 3CCT IP54 biały Kobi Premium</t>
  </si>
  <si>
    <t>004096</t>
  </si>
  <si>
    <t>Plafon LED NIVERA SQUARE 18W 3CCT IP54 czarny Kobi Premium</t>
  </si>
  <si>
    <t>004097</t>
  </si>
  <si>
    <t>Plafon LED NIVERA SQUARE 18W 3CCT LX IP54 biały Kobi Premium</t>
  </si>
  <si>
    <t>004112</t>
  </si>
  <si>
    <t>Plafon LED NIVERA SQUARE 18W 3CCT LX IP54 czarny Kobi Premium</t>
  </si>
  <si>
    <t>004113</t>
  </si>
  <si>
    <t>Plafon LED NIVERA SQUARE 24W 3CCT IP54 biały Kobi Premium</t>
  </si>
  <si>
    <t>004098</t>
  </si>
  <si>
    <t>Plafon LED NIVERA SQUARE 24W 3CCT IP54 czarny Kobi Premium</t>
  </si>
  <si>
    <t>004099</t>
  </si>
  <si>
    <t>Plafon LED NIVERA SQUARE 24W 3CCT LX IP54 biały Kobi Premium</t>
  </si>
  <si>
    <t>004114</t>
  </si>
  <si>
    <t>Plafon LED NIVERA SQUARE 24W 3CCT LX IP54 czarny Kobi Premium</t>
  </si>
  <si>
    <t>004115</t>
  </si>
  <si>
    <t>Plafon LED NIVERA SQUARE 32W 3CCT IP54 biały Kobi Premium</t>
  </si>
  <si>
    <t>004100</t>
  </si>
  <si>
    <t>Plafon LED NIVERA SQUARE 32W 3CCT IP54 czarny Kobi Premium</t>
  </si>
  <si>
    <t>004101</t>
  </si>
  <si>
    <t>Lampka biurkowa PLANTY CLIP W DUO 2xE27 biała Kobi Design</t>
  </si>
  <si>
    <t>004017</t>
  </si>
  <si>
    <t>Lampka biurkowa PLANTY CLIP B DUO 2xE27 czarna Kobi Design</t>
  </si>
  <si>
    <t>004018</t>
  </si>
  <si>
    <t>Żarówka do roślin LED PLANTY 24W E27 1200K Kobi design</t>
  </si>
  <si>
    <t>001508</t>
  </si>
  <si>
    <t>Żarówka do roślin LED PLANTY 40W E27 1200K Kobi Design</t>
  </si>
  <si>
    <t>001509</t>
  </si>
  <si>
    <t>Lampa do roślin LED GROWLY 2x8,5W Kobi Design</t>
  </si>
  <si>
    <t>004021</t>
  </si>
  <si>
    <t>Lampa do roślin LED GROWLY 9W Kobi Design</t>
  </si>
  <si>
    <t>004019</t>
  </si>
  <si>
    <t>Lampa do roślin LED GROWLY 15W Kobi Design</t>
  </si>
  <si>
    <t>001510</t>
  </si>
  <si>
    <t>Przewód ze sterownikiem LED GROWLY PC 3m Kobi Design</t>
  </si>
  <si>
    <t>001511</t>
  </si>
  <si>
    <t>Wkład LED INSERT 6,5W 6000K mleczny Kobi</t>
  </si>
  <si>
    <t>001244</t>
  </si>
  <si>
    <t>Kinkiet GLOBE ELEGANCE AMBER K 1xE14 Kobi Design</t>
  </si>
  <si>
    <t>001523</t>
  </si>
  <si>
    <t>Kinkiet GLOBE ELEGANCE SMOKE K 1xE14 Kobi Design</t>
  </si>
  <si>
    <t>001524</t>
  </si>
  <si>
    <t>Lampa sufitowa GLOBE ELEGANCE SMOKE S4 4xE14 Kobi Design</t>
  </si>
  <si>
    <t>001526</t>
  </si>
  <si>
    <t>002413</t>
  </si>
  <si>
    <t>002398</t>
  </si>
  <si>
    <t>002399</t>
  </si>
  <si>
    <t>002409</t>
  </si>
  <si>
    <t>002390</t>
  </si>
  <si>
    <t>002414</t>
  </si>
  <si>
    <t>002384</t>
  </si>
  <si>
    <t>002382</t>
  </si>
  <si>
    <t>002377</t>
  </si>
  <si>
    <t>002378</t>
  </si>
  <si>
    <t>ZASILACZ INSTALACYJN 12V 120W 10,0A IP67</t>
  </si>
  <si>
    <t>002379</t>
  </si>
  <si>
    <t>002381</t>
  </si>
  <si>
    <t>001419</t>
  </si>
  <si>
    <t>002415</t>
  </si>
  <si>
    <t>002397</t>
  </si>
  <si>
    <t>002393</t>
  </si>
  <si>
    <t>002395</t>
  </si>
  <si>
    <t>002396</t>
  </si>
  <si>
    <t>002388</t>
  </si>
  <si>
    <t>Zasilacz montażowy 12V 150W 12,5A</t>
  </si>
  <si>
    <t>002391</t>
  </si>
  <si>
    <t>002383</t>
  </si>
  <si>
    <t>002392</t>
  </si>
  <si>
    <t>002394</t>
  </si>
  <si>
    <t>002400</t>
  </si>
  <si>
    <t>Zasilacz desktop 24V 48W 2,00A wtyk DC 2,1x5,5</t>
  </si>
  <si>
    <t>002406</t>
  </si>
  <si>
    <t>Zasilacz desktop 24V 72W 3,00A wtyk DC 2,1x5,5</t>
  </si>
  <si>
    <t>002407</t>
  </si>
  <si>
    <t>5907178004586</t>
  </si>
  <si>
    <t>5907178002599</t>
  </si>
  <si>
    <t>5907178004487</t>
  </si>
  <si>
    <t>5907178003916</t>
  </si>
  <si>
    <t>5907178003923</t>
  </si>
  <si>
    <t>5907178004074</t>
  </si>
  <si>
    <t>5907178004081</t>
  </si>
  <si>
    <t>5907178003930</t>
  </si>
  <si>
    <t>5907178003947</t>
  </si>
  <si>
    <t>5907178004098</t>
  </si>
  <si>
    <t>5907178004104</t>
  </si>
  <si>
    <t>5907178003954</t>
  </si>
  <si>
    <t>5907178003961</t>
  </si>
  <si>
    <t>5907178004111</t>
  </si>
  <si>
    <t>5907178004128</t>
  </si>
  <si>
    <t>5907178003978</t>
  </si>
  <si>
    <t>5907178003985</t>
  </si>
  <si>
    <t>5907178004135</t>
  </si>
  <si>
    <t>5907178004142</t>
  </si>
  <si>
    <t>5907178003992</t>
  </si>
  <si>
    <t>5907178004005</t>
  </si>
  <si>
    <t>5907178004159</t>
  </si>
  <si>
    <t>5907178004166</t>
  </si>
  <si>
    <t>5907178004012</t>
  </si>
  <si>
    <t>5907178004029</t>
  </si>
  <si>
    <t>5907178004173</t>
  </si>
  <si>
    <t>5907178004180</t>
  </si>
  <si>
    <t>5907178004036</t>
  </si>
  <si>
    <t>5907178004043</t>
  </si>
  <si>
    <t>5907178004197</t>
  </si>
  <si>
    <t>5907178004203</t>
  </si>
  <si>
    <t>5907178004050</t>
  </si>
  <si>
    <t>5907178004067</t>
  </si>
  <si>
    <t>5907178003190</t>
  </si>
  <si>
    <t>5907178003206</t>
  </si>
  <si>
    <t>5902201382952</t>
  </si>
  <si>
    <t>5902201382969</t>
  </si>
  <si>
    <t>5907178003237</t>
  </si>
  <si>
    <t>5907178003213</t>
  </si>
  <si>
    <t>5902201382976</t>
  </si>
  <si>
    <t>5902201382983</t>
  </si>
  <si>
    <t>5902846016748</t>
  </si>
  <si>
    <t>5902201386332</t>
  </si>
  <si>
    <t>5902201386349</t>
  </si>
  <si>
    <t>5902201386363</t>
  </si>
  <si>
    <t>5902201304220</t>
  </si>
  <si>
    <t>5900605096505</t>
  </si>
  <si>
    <t>5900605096536</t>
  </si>
  <si>
    <t>5902201304190</t>
  </si>
  <si>
    <t>5900605098035</t>
  </si>
  <si>
    <t>5902479642857</t>
  </si>
  <si>
    <t>5900605096420</t>
  </si>
  <si>
    <t>5900605093351</t>
  </si>
  <si>
    <t>5900605096482</t>
  </si>
  <si>
    <t>5900605096512</t>
  </si>
  <si>
    <t>5900605096383</t>
  </si>
  <si>
    <t>5900605093337</t>
  </si>
  <si>
    <t>5900605096413</t>
  </si>
  <si>
    <t>5902479642864</t>
  </si>
  <si>
    <t>5900605091838</t>
  </si>
  <si>
    <t>5900605099261</t>
  </si>
  <si>
    <t>5900605096574</t>
  </si>
  <si>
    <t>5900605099254</t>
  </si>
  <si>
    <t>5900605096369</t>
  </si>
  <si>
    <t>5900605096390</t>
  </si>
  <si>
    <t>5900605096406</t>
  </si>
  <si>
    <t>5900605096437</t>
  </si>
  <si>
    <t>5900605096451</t>
  </si>
  <si>
    <t>5900605092408</t>
  </si>
  <si>
    <t>5902479642888</t>
  </si>
  <si>
    <t>5902479642895</t>
  </si>
  <si>
    <t>Naświetlacz LED MH 50W 4000K IP65 czarny LED2B RED</t>
  </si>
  <si>
    <t>001659</t>
  </si>
  <si>
    <t>Naświetlacz LED MH 100W 6500K IP65 czarny LED2B RED</t>
  </si>
  <si>
    <t>001641</t>
  </si>
  <si>
    <t>001680</t>
  </si>
  <si>
    <t>5902201380828</t>
  </si>
  <si>
    <t>5902201380750</t>
  </si>
  <si>
    <t>5902201380903</t>
  </si>
  <si>
    <t>Panel LED NELIO G2 25W 30x60 4000K Kobi Pro</t>
  </si>
  <si>
    <t>High Bay LED ANICA 100W 4000K IP65 90° DALI Kobi Pro</t>
  </si>
  <si>
    <t>004250</t>
  </si>
  <si>
    <t>High Bay LED ANICA 150W 4000K IP65 90° DALI Kobi Pro</t>
  </si>
  <si>
    <t>004251</t>
  </si>
  <si>
    <t>High Bay LED ANICA 200W 4000K IP65 90° DALI Kobi Pro</t>
  </si>
  <si>
    <t>004252</t>
  </si>
  <si>
    <t>Lampka biurkowa LED TENUIX DUO 2 14W CCT czarna LED2B</t>
  </si>
  <si>
    <t>004165</t>
  </si>
  <si>
    <t>Moduł BASE SG 1m Fi 60mm Kobi</t>
  </si>
  <si>
    <t>004350</t>
  </si>
  <si>
    <t>Lampa wisząca LED VENEZIA H 1,5W 2500K Kobi Design</t>
  </si>
  <si>
    <t>001437</t>
  </si>
  <si>
    <t>5907178004944</t>
  </si>
  <si>
    <t>5907178004951</t>
  </si>
  <si>
    <t>5907178004968</t>
  </si>
  <si>
    <t>5907178004500</t>
  </si>
  <si>
    <t>5907178007396</t>
  </si>
  <si>
    <t>5902201373653</t>
  </si>
  <si>
    <t>Lampa ogrodowa Solar LED GARDEN BALL 40cm 3000K+RGB Kobi</t>
  </si>
  <si>
    <t>Wentylator podłogowy VIENTO 100W Kobi Windstar</t>
  </si>
  <si>
    <t>Moduł zasilacza puszkowy 12V 10W 0,83A IP67</t>
  </si>
  <si>
    <t>Waga netto (kg)</t>
  </si>
  <si>
    <t>Waga brutto (kg)</t>
  </si>
  <si>
    <t>CN</t>
  </si>
  <si>
    <t>KGO</t>
  </si>
  <si>
    <t>Moduł zasilacza wodoodporny 24V 30W 1.25A IP67</t>
  </si>
  <si>
    <t>Moduł zasilacza wodoodporny 24V 60W 2.50A IP67</t>
  </si>
  <si>
    <t>Moduł zasilacza wodoodporny 24V 100W 4.17A IP67</t>
  </si>
  <si>
    <t>Moduł zasilacza wodoodporny 24V 150W 6,25A IP67</t>
  </si>
  <si>
    <t>Moduł zasilacza wodoodporny 24V 200W 8.30A IP67</t>
  </si>
  <si>
    <t>Oprawa liniowa hermetyczna LED LUMEXO 36W 4000K IP65 biała Kobi Pro</t>
  </si>
  <si>
    <t>004304</t>
  </si>
  <si>
    <t>Oprawa liniowa hermetyczna LED LUMEXO 50W 4000K IP65 biała Kobi Pro</t>
  </si>
  <si>
    <t>004305</t>
  </si>
  <si>
    <t>Naświetlacz LED DELYO MHN 10W 4000K IP65 Kobi Premium</t>
  </si>
  <si>
    <t>004224</t>
  </si>
  <si>
    <t>Naświetlacz LED DELYO MHN 10W 6000K IP65 Kobi Premium</t>
  </si>
  <si>
    <t>004225</t>
  </si>
  <si>
    <t>Naświetlacz LED DELYO MHN 20W 4000K IP65 Kobi Premium</t>
  </si>
  <si>
    <t>004226</t>
  </si>
  <si>
    <t>Naświetlacz LED DELYO MHN 20W 6000K IP65 Kobi Premium</t>
  </si>
  <si>
    <t>004227</t>
  </si>
  <si>
    <t>Naświetlacz LED DELYO MHN 30W 4000K IP65 Kobi Premium</t>
  </si>
  <si>
    <t>004228</t>
  </si>
  <si>
    <t>Naświetlacz LED DELYO MHN 30W 6000K IP65 Kobi Premium</t>
  </si>
  <si>
    <t>004229</t>
  </si>
  <si>
    <t>Naświetlacz LED DELYO MHN 50W 4000K IP65 Kobi Premium</t>
  </si>
  <si>
    <t>004230</t>
  </si>
  <si>
    <t>Naświetlacz LED DELYO MHN 50W 6000K IP65 Kobi Premium</t>
  </si>
  <si>
    <t>004231</t>
  </si>
  <si>
    <t>Naświetlacz LED DELYO MHN 100W 4000K IP65 Kobi Premium</t>
  </si>
  <si>
    <t>004232</t>
  </si>
  <si>
    <t>Naświetlacz LED DELYO MHN 100W 6000K IP65 Kobi Premium</t>
  </si>
  <si>
    <t>004233</t>
  </si>
  <si>
    <t>Naświetlacz LED DELYO MHNC 10W 4000K IP54 Kobi Premium</t>
  </si>
  <si>
    <t>004234</t>
  </si>
  <si>
    <t>Naświetlacz LED DELYO MHNC 10W 6000K IP54 Kobi Premium</t>
  </si>
  <si>
    <t>004235</t>
  </si>
  <si>
    <t>Naświetlacz LED DELYO MHNC 20W 4000K IP54 Kobi Premium</t>
  </si>
  <si>
    <t>004236</t>
  </si>
  <si>
    <t>Naświetlacz LED DELYO MHNC 20W 6000K IP54 Kobi Premium</t>
  </si>
  <si>
    <t>004237</t>
  </si>
  <si>
    <t>Naświetlacz LED DELYO MHNC 30W 4000K IP54 Kobi Premium</t>
  </si>
  <si>
    <t>004238</t>
  </si>
  <si>
    <t>Naświetlacz LED DELYO MHNC 30W 6000K IP54 Kobi Premium</t>
  </si>
  <si>
    <t>004239</t>
  </si>
  <si>
    <t>Naświetlacz LED DELYO MHNC 50W 4000K IP54 Kobi Premium</t>
  </si>
  <si>
    <t>004240</t>
  </si>
  <si>
    <t>Naświetlacz LED DELYO MHNC 50W 6000K IP54 Kobi Premium</t>
  </si>
  <si>
    <t>004241</t>
  </si>
  <si>
    <t>Naświetlacz LED DELYO MHNC 100W 4000K IP54 Kobi Premium</t>
  </si>
  <si>
    <t>004242</t>
  </si>
  <si>
    <t>Naświetlacz LED DELYO MHNC 100W 6000K IP54 Kobi Premium</t>
  </si>
  <si>
    <t>004243</t>
  </si>
  <si>
    <t>Oprawa drogowa LED BRELUXO 50W 4000K IP65 Kobi Premium</t>
  </si>
  <si>
    <t>004323</t>
  </si>
  <si>
    <t>Oprawa drogowa LED BRELUXO 100W 4000K IP65 Kobi Premium</t>
  </si>
  <si>
    <t>004324</t>
  </si>
  <si>
    <t>Oprawa drogowa LED BRELUXO 150W 4000K IP65 Kobi Premium</t>
  </si>
  <si>
    <t>004325</t>
  </si>
  <si>
    <t>Oprawa drogowa LED BRELUXO 200W 4000K IP65 Kobi Premium</t>
  </si>
  <si>
    <t>004326</t>
  </si>
  <si>
    <t>Zasilacz desktop 12V 60W 5,0A wtyk DC 2,1x5,5</t>
  </si>
  <si>
    <t>Zasilacz desktop 12V 30W 2,5A wtyk DC 2,1x5,5</t>
  </si>
  <si>
    <t>Zasilacz desktop 12V 120W 10,0A wtyk DC 2,1x5,5</t>
  </si>
  <si>
    <t>Moduł zasilacza wodoodporny 12V 80W 6,67A IP67</t>
  </si>
  <si>
    <t>Moduł zasilacza wodoodporny 12V 150W 12,5A IP67</t>
  </si>
  <si>
    <t>Moduł zasilacza wodoodporny 12V 200W 16,7A IP67</t>
  </si>
  <si>
    <t>Moduł zasilacza wodoodporny 12V 60W 5,0A IP67</t>
  </si>
  <si>
    <t>Moduł zasilacza montażowy 12V 100W 8,3A</t>
  </si>
  <si>
    <t>Moduł zasilacza montażowy 12V 200W 16,6A</t>
  </si>
  <si>
    <t>Moduł zasilacza montażowy 12V 250W 20,8A</t>
  </si>
  <si>
    <t>Moduł zasilacza montażowy 12V 350W 29,0A</t>
  </si>
  <si>
    <t>Moduł zasilacza wodoodporny 12V 100W 8,3A IP67</t>
  </si>
  <si>
    <t>Moduł zasilacza montażowy 12V 150W 12,5A</t>
  </si>
  <si>
    <t>004602</t>
  </si>
  <si>
    <t>Moduł zasilacza wodoodporny 12V 120W 10,0A IP67</t>
  </si>
  <si>
    <t>004603</t>
  </si>
  <si>
    <t>85395200</t>
  </si>
  <si>
    <t>85366990</t>
  </si>
  <si>
    <t>94051140</t>
  </si>
  <si>
    <t>85044095</t>
  </si>
  <si>
    <t>94054239</t>
  </si>
  <si>
    <t>94059900</t>
  </si>
  <si>
    <t>95044095</t>
  </si>
  <si>
    <t>5907178005729</t>
  </si>
  <si>
    <t>5907178005736</t>
  </si>
  <si>
    <t>5907178004692</t>
  </si>
  <si>
    <t>5907178004708</t>
  </si>
  <si>
    <t>5907178004715</t>
  </si>
  <si>
    <t>5907178004722</t>
  </si>
  <si>
    <t>5907178004739</t>
  </si>
  <si>
    <t>5907178004746</t>
  </si>
  <si>
    <t>5907178004753</t>
  </si>
  <si>
    <t>5907178004760</t>
  </si>
  <si>
    <t>5907178004777</t>
  </si>
  <si>
    <t>5907178004784</t>
  </si>
  <si>
    <t>5907178004791</t>
  </si>
  <si>
    <t>5907178004807</t>
  </si>
  <si>
    <t>5907178004814</t>
  </si>
  <si>
    <t>5907178004821</t>
  </si>
  <si>
    <t>5907178004838</t>
  </si>
  <si>
    <t>5907178004845</t>
  </si>
  <si>
    <t>5907178004852</t>
  </si>
  <si>
    <t>5907178004869</t>
  </si>
  <si>
    <t>5907178004876</t>
  </si>
  <si>
    <t>5907178004883</t>
  </si>
  <si>
    <t>5907178005828</t>
  </si>
  <si>
    <t>5907178005835</t>
  </si>
  <si>
    <t>5907178005842</t>
  </si>
  <si>
    <t>5907178005859</t>
  </si>
  <si>
    <t>94051990</t>
  </si>
  <si>
    <t>94054210</t>
  </si>
  <si>
    <t>94054940</t>
  </si>
  <si>
    <t>94054990</t>
  </si>
  <si>
    <t>94059190</t>
  </si>
  <si>
    <t>94054231</t>
  </si>
  <si>
    <t>94054131</t>
  </si>
  <si>
    <t>94054139</t>
  </si>
  <si>
    <t>94051190</t>
  </si>
  <si>
    <t>94051940</t>
  </si>
  <si>
    <t>94052990</t>
  </si>
  <si>
    <t>94052140</t>
  </si>
  <si>
    <t>85269200</t>
  </si>
  <si>
    <t>85444290</t>
  </si>
  <si>
    <t>94052190</t>
  </si>
  <si>
    <t>85444995</t>
  </si>
  <si>
    <t>39259080</t>
  </si>
  <si>
    <t>94059200</t>
  </si>
  <si>
    <t>73269098</t>
  </si>
  <si>
    <t>85365080</t>
  </si>
  <si>
    <t>85437090</t>
  </si>
  <si>
    <t>85366110</t>
  </si>
  <si>
    <t>85366190</t>
  </si>
  <si>
    <t>91070000</t>
  </si>
  <si>
    <t>84145100</t>
  </si>
  <si>
    <t>85371098</t>
  </si>
  <si>
    <t>85369010</t>
  </si>
  <si>
    <t>85162991</t>
  </si>
  <si>
    <t>85162950</t>
  </si>
  <si>
    <t>5902479641966</t>
  </si>
  <si>
    <t>5902479641942</t>
  </si>
  <si>
    <t>Długość (cm)</t>
  </si>
  <si>
    <t>Szerokość (cm)</t>
  </si>
  <si>
    <t>Wysokość (cm)</t>
  </si>
  <si>
    <t>Naświetlacz LED MH 100W 4000K IP65 czarny LED2B RED</t>
  </si>
  <si>
    <t>001639</t>
  </si>
  <si>
    <t>Taśma LED PLAY SET 5m RGB IP20 Kobi Design</t>
  </si>
  <si>
    <t>Taśma LED PLAY SET 10m RGB IP20 Kobi Design</t>
  </si>
  <si>
    <t>Taśma LED PLAY SET 15m RGB IP20 Kobi Design</t>
  </si>
  <si>
    <t>Taśma LED PLAY SET 20m RGB IP20 Kobi Design</t>
  </si>
  <si>
    <t>004317</t>
  </si>
  <si>
    <t>Rozgałęźnik LINEA PRO FL2 2gn+2USB/1USB-C czarny Kobi</t>
  </si>
  <si>
    <t>004318</t>
  </si>
  <si>
    <t>Lampa do roślin LED BLOOM 12W 4500K Kobi Design</t>
  </si>
  <si>
    <t>004319</t>
  </si>
  <si>
    <t>Lampa do roślin LED VERDI V2 5W 1300K biała Kobi Design</t>
  </si>
  <si>
    <t>004320</t>
  </si>
  <si>
    <t>Lampa do roślin LED VERDI V2 5W 1300K czarna Kobi Design</t>
  </si>
  <si>
    <t>004321</t>
  </si>
  <si>
    <t>Lampa wisząca BOHO ROVNO 1xE27 Kobi Design</t>
  </si>
  <si>
    <t>Lampa wisząca BOHO FLOXEN ROUND 1xE27 Kobi Design</t>
  </si>
  <si>
    <t>Lampa wisząca BOHO FLOXEN SLANT 1xE27 Kobi Design</t>
  </si>
  <si>
    <t>Moduł zasilacza wodoodporny 12V 50W 4,16A IP67</t>
  </si>
  <si>
    <t>Moduł zasilacza wodoodporny 12V 30W 2,5A IP67</t>
  </si>
  <si>
    <t>Moduł zasilacza wodoodporny 12V 20W 1,67A IP67</t>
  </si>
  <si>
    <t>Moduł zasilacza montażowy 12V 25W 2,1A</t>
  </si>
  <si>
    <t>Moduł zasilacza montażowy 12V 35W 3,0A</t>
  </si>
  <si>
    <t>Moduł zasilacza montażowy 12V 60W 5,0A</t>
  </si>
  <si>
    <t>Moduł zasilacza montażowy 12V 6W 0,5A</t>
  </si>
  <si>
    <t>Zasilacz desktop 12V 24W 2,0A wtyk DC 2,1x5,5</t>
  </si>
  <si>
    <t>Zasilacz desktop 12V 36W 3,0A wtyk DC 2,1x5,5</t>
  </si>
  <si>
    <t>Zasilacz desktop 12V 42W 3,5A wtyk DC 2,1x5,5</t>
  </si>
  <si>
    <t>Zasilacz desktop 12V 72W 6,0A wtyk DC 2,1x5,5</t>
  </si>
  <si>
    <t>Zasilacz desktop 12V 90W 7,5A wtyk DC 2,1x5,5</t>
  </si>
  <si>
    <t>5902201380743</t>
  </si>
  <si>
    <t>5907178005774</t>
  </si>
  <si>
    <t>5907178005781</t>
  </si>
  <si>
    <t>5907178005798</t>
  </si>
  <si>
    <t>5907178005804</t>
  </si>
  <si>
    <t>5907178005811</t>
  </si>
  <si>
    <t>Żarówka LED GS 13W E27 6500K Kobi</t>
  </si>
  <si>
    <t>Żarówka LED GS 15W E27 6500K Kobi</t>
  </si>
  <si>
    <t>Żarówka LED GS 17W E27 3000K LED2B</t>
  </si>
  <si>
    <t>004295</t>
  </si>
  <si>
    <t>Żarówka LED GS 17W E27 4000K LED2B</t>
  </si>
  <si>
    <t>004296</t>
  </si>
  <si>
    <t>Żarówka LED GS 17W E27 6500K LED2B</t>
  </si>
  <si>
    <t>004297</t>
  </si>
  <si>
    <t>Żarówka LED GS 22W E27 3000K Kobi</t>
  </si>
  <si>
    <t>004298</t>
  </si>
  <si>
    <t>Żarówka LED GS 22W E27 4000K Kobi</t>
  </si>
  <si>
    <t>004299</t>
  </si>
  <si>
    <t>Żarówka LED GS 22W E27 6500K Kobi</t>
  </si>
  <si>
    <t>004300</t>
  </si>
  <si>
    <t>Naświetlacz LED MHC 30W 4000K IP54 czarny LED2B RED</t>
  </si>
  <si>
    <t>001675</t>
  </si>
  <si>
    <t>Naświetlacz LED MHC 50W 4000K IP54 czarny LED2B RED</t>
  </si>
  <si>
    <t>Naświetlacz LED MHC 50W 6500K IP54 czarny LED2B RED</t>
  </si>
  <si>
    <t>001682</t>
  </si>
  <si>
    <t>Słup BASE SV 3m Fi 60 mm czarny Kobi</t>
  </si>
  <si>
    <t>004428</t>
  </si>
  <si>
    <t>Słup BASE SV 3m Fi 60 mm szary Kobi</t>
  </si>
  <si>
    <t>004429</t>
  </si>
  <si>
    <t>Przedłużka BASE SV 1m Fi 76 mm czarna Kobi</t>
  </si>
  <si>
    <t>004430</t>
  </si>
  <si>
    <t>Przedłużka BASE SV 1m Fi 76 mm szara Kobi</t>
  </si>
  <si>
    <t>004431</t>
  </si>
  <si>
    <t>Kotwa fundamentowa do słupa BASE SV 200x200mm Kobi</t>
  </si>
  <si>
    <t>004432</t>
  </si>
  <si>
    <t>Taśma LED TRAMO 320 COB 5m 3000K 12V IP65 Kobi Premium</t>
  </si>
  <si>
    <t>Taśma LED TRAMO 320 COB 5m 4000K 12V IP65 Kobi Premium</t>
  </si>
  <si>
    <t>Taśma LED TRAMO 320 COB 5m 6500K 12V IP65 Kobi Premium</t>
  </si>
  <si>
    <t>Taśma LED TRAMO 320 COB 5m 3000K 12V IP20 Kobi Premium</t>
  </si>
  <si>
    <t>Taśma LED TRAMO 320 COB 5m 4000K 12V IP20 Kobi Premium</t>
  </si>
  <si>
    <t>Taśma LED TRAMO 320 COB 5m 6500K 12V IP20 Kobi Premium</t>
  </si>
  <si>
    <t>Rozgałęźnik LINEA PRO FL2 2gn+2USB/1USB-C biały Kobi</t>
  </si>
  <si>
    <t>Oprawa parkowa Solar LED SOLSUMI CIRCLE 25W 4000K IP54 Kobi Premium</t>
  </si>
  <si>
    <t>Naświetlacz Solar LED MHCS 30W 2CCT IP65 Kobi Premium</t>
  </si>
  <si>
    <t>5907178005286</t>
  </si>
  <si>
    <t>5907178005293</t>
  </si>
  <si>
    <t>5907178005309</t>
  </si>
  <si>
    <t>5907178005316</t>
  </si>
  <si>
    <t>5907178005323</t>
  </si>
  <si>
    <t>5907178005330</t>
  </si>
  <si>
    <t>5902201380880</t>
  </si>
  <si>
    <t>5902201380910</t>
  </si>
  <si>
    <t>5907178011003</t>
  </si>
  <si>
    <t>5907178011010</t>
  </si>
  <si>
    <t>5907178011027</t>
  </si>
  <si>
    <t>5907178011034</t>
  </si>
  <si>
    <t>5907178011041</t>
  </si>
  <si>
    <t>Naświetlacz LED MHC 20W 4000K IP54 czarny LED2B RED</t>
  </si>
  <si>
    <t>004417</t>
  </si>
  <si>
    <t>004418</t>
  </si>
  <si>
    <t>5907178010907</t>
  </si>
  <si>
    <t>5907178010914</t>
  </si>
  <si>
    <t>Downlight LED NEXEYE 15W 3CCT IP44 Kobi Pro</t>
  </si>
  <si>
    <t>004409</t>
  </si>
  <si>
    <t>Downlight LED NEXEYE 20W 3CCT IP44 Kobi Pro</t>
  </si>
  <si>
    <t>004410</t>
  </si>
  <si>
    <t>5907178010655</t>
  </si>
  <si>
    <t>5907178010662</t>
  </si>
  <si>
    <t>Żarówka filamentowa LED FGS 7W E27 3000K Kobi</t>
  </si>
  <si>
    <t>Żarówka filamentowa LED FGS 7W E27 4000K Kobi</t>
  </si>
  <si>
    <t>Żarówka filamentowa LED FGS 7W E27 3000K mleczna Kobi</t>
  </si>
  <si>
    <t>Żarówka filamentowa LED FGS 7W E27 4000K mleczna Kobi</t>
  </si>
  <si>
    <t>Żarówka filamentowa LED FGS 10W E27 3000K Kobi</t>
  </si>
  <si>
    <t>Żarówka filamentowa LED FGS 10W E27 4000K Kobi</t>
  </si>
  <si>
    <t>Żarówka filamentowa LED FGS 11,5W E27 3000K Kobi</t>
  </si>
  <si>
    <t>Żarówka filamentowa LED FGS 12W E27 3000K Kobi</t>
  </si>
  <si>
    <t>Żarówka filamentowa LED FGS 12W E27 4000K Kobi</t>
  </si>
  <si>
    <t>Żarówka filamentowa LED FDE 4W E14 3000K Kobi</t>
  </si>
  <si>
    <t>Żarówka filamentowa LED FMB 4W E14 3000K Kobi</t>
  </si>
  <si>
    <t>Żarówka filamentowa LED FMB 4W E27 3000K Kobi</t>
  </si>
  <si>
    <t>Żarówka filamentowa LED FMB 4W E27 3000K mleczna Kobi</t>
  </si>
  <si>
    <t>Żarówka filamentowa LED FSW 4W E14 3000K Kobi</t>
  </si>
  <si>
    <t>Oprawa drogowa LED ULTIMATE STREET 50W 4000K IP66 Kobi Pro</t>
  </si>
  <si>
    <t>004406</t>
  </si>
  <si>
    <t>Oprawa drogowa LED ULTIMATE STREET 100W 4000K IP66 Kobi Pro</t>
  </si>
  <si>
    <t>004407</t>
  </si>
  <si>
    <t>Oprawa drogowa LED ULTIMATE STREET 150W 4000K IP66 Kobi Pro</t>
  </si>
  <si>
    <t>004408</t>
  </si>
  <si>
    <t>Laitica</t>
  </si>
  <si>
    <t>Lampka biurkowa LED ORBI 2,5W CCT czarna Laitica</t>
  </si>
  <si>
    <t>002425</t>
  </si>
  <si>
    <t>Lampka biurkowa LED ORBI 2,5W CCT biała Laitica</t>
  </si>
  <si>
    <t>002426</t>
  </si>
  <si>
    <t>Lampka biurkowa LED ORBI 2,5W CCT szara Laitica</t>
  </si>
  <si>
    <t>002427</t>
  </si>
  <si>
    <t>Lampka biurkowa LED ORBI 2,5W CCT niebieska Laitica</t>
  </si>
  <si>
    <t>002428</t>
  </si>
  <si>
    <t>Lampka biurkowa LED ORBI 2,5W CCT różowa Laitica</t>
  </si>
  <si>
    <t>002429</t>
  </si>
  <si>
    <t>Latarka LED X-MPR 7 6000K LED2B</t>
  </si>
  <si>
    <t>004314</t>
  </si>
  <si>
    <t>Latarka LED X-MPR 8 3000K+ 6000K LED2B</t>
  </si>
  <si>
    <t>004315</t>
  </si>
  <si>
    <t>Latarka LED X-MPR 9 6000K LED2B</t>
  </si>
  <si>
    <t>004316</t>
  </si>
  <si>
    <t>5907178010624</t>
  </si>
  <si>
    <t>5907178010631</t>
  </si>
  <si>
    <t>5907178010648</t>
  </si>
  <si>
    <t>5902201368260</t>
  </si>
  <si>
    <t>5902201368277</t>
  </si>
  <si>
    <t>5902201368284</t>
  </si>
  <si>
    <t>5902201368291</t>
  </si>
  <si>
    <t>5902201368307</t>
  </si>
  <si>
    <t>5907178005743</t>
  </si>
  <si>
    <t>5907178005750</t>
  </si>
  <si>
    <t>5907178005767</t>
  </si>
  <si>
    <t>Naświetlacz LED MHC 10W 4000K IP54 czarny LED2B RED</t>
  </si>
  <si>
    <t>Uchwyt montażowy BASE TP SG 360mm Fi 60mm czarny Kobi</t>
  </si>
  <si>
    <t>WWW</t>
  </si>
  <si>
    <t>Reflektor szynowy zwieszany 3-obwodowy NEXTRACK S-LINE P 1xGU10 czarny Kobi</t>
  </si>
  <si>
    <t>004385</t>
  </si>
  <si>
    <t>Reflektor szynowy zwieszany 3-obwodowy NEXTRACK S-LINE P 1xGU10 biały Kobi</t>
  </si>
  <si>
    <t>004386</t>
  </si>
  <si>
    <t>Oprawa liniowa DELFIA G2 2x120 Kobi</t>
  </si>
  <si>
    <t>004483</t>
  </si>
  <si>
    <t>004484</t>
  </si>
  <si>
    <t>5907178010051</t>
  </si>
  <si>
    <t>5907178010068</t>
  </si>
  <si>
    <t>5907178011751</t>
  </si>
  <si>
    <t>5907178011768</t>
  </si>
  <si>
    <t>Oprawa liniowa hermetyczna LED NEXFORCE N2 max. 36W 4000K Kobi Pro</t>
  </si>
  <si>
    <t>Oprawa liniowa hermetyczna LED NEXFORCE N2 max. 52W 4000K Kobi Pro</t>
  </si>
  <si>
    <t>Oprawa liniowa hermetyczna LED NEXFORCE N2 max. 70W 4000K Kobi Pro</t>
  </si>
  <si>
    <t>Naświetlacz akumulatorowy LED TIGRA B 20W 4000K IP54 Kobi</t>
  </si>
  <si>
    <t>Lampa sufitowa BOHO BULI S 3xE27 Kobi Design</t>
  </si>
  <si>
    <t>Lampa wisząca BOHO RENNI B 1xE27 Kobi Design</t>
  </si>
  <si>
    <t>Lampa wisząca BOHO REDDI 1xE27 Kobi Design</t>
  </si>
  <si>
    <t>Lampa wisząca BOHO SIBU LONG 1xE27 Kobi Design</t>
  </si>
  <si>
    <t>Lampa wisząca BOHO SONTI 1xE27 Kobi Design</t>
  </si>
  <si>
    <t>Kinkiet ogrodowy LED LUMEPRA 6W 4000K IP54 czarny Kobi</t>
  </si>
  <si>
    <t>004481</t>
  </si>
  <si>
    <t>Kinkiet ogrodowy LED LUMEPRA 6W 3000K IP54 czarny Kobi</t>
  </si>
  <si>
    <t>004482</t>
  </si>
  <si>
    <t>Lampa ogrodowa LED BLAKE 5W 4000K IP65 czarna Kobi</t>
  </si>
  <si>
    <t>004478</t>
  </si>
  <si>
    <t>Lampa ogrodowa LED BLAKE 5W 3000K IP65 czarna Kobi</t>
  </si>
  <si>
    <t>004479</t>
  </si>
  <si>
    <t>Lampa ogrodowa BLAKE UNO 1xGU10 IP65 czarna Kobi</t>
  </si>
  <si>
    <t>004480</t>
  </si>
  <si>
    <t>Kinkiet ogrodowy Solar LED OMVIA 3000K IP44 czarny LED2B</t>
  </si>
  <si>
    <t>004502</t>
  </si>
  <si>
    <t>Lampa ogrodowa Solar LED CANDELIO MILKY 1600K IP44 czarna LED2B</t>
  </si>
  <si>
    <t>004500</t>
  </si>
  <si>
    <t>Lampa ogrodowa Solar LED CANDELIO STAR 2700K IP44 czarna LED2B</t>
  </si>
  <si>
    <t>004499</t>
  </si>
  <si>
    <t>Słupek ogrodowy Solar LED LANCE G2 4000K IP44 LED2B</t>
  </si>
  <si>
    <t>004504</t>
  </si>
  <si>
    <t>Lampa ogrodowa Solar LED CANDELIO P 2700K IP44 czarna LED2B</t>
  </si>
  <si>
    <t>004498</t>
  </si>
  <si>
    <t>5907178011720</t>
  </si>
  <si>
    <t>5907178011737</t>
  </si>
  <si>
    <t>5907178011690</t>
  </si>
  <si>
    <t>5907178011706</t>
  </si>
  <si>
    <t>5907178011713</t>
  </si>
  <si>
    <t>5907178012000</t>
  </si>
  <si>
    <t>5907178011980</t>
  </si>
  <si>
    <t>5907178011973</t>
  </si>
  <si>
    <t>5907178012024</t>
  </si>
  <si>
    <t>5907178011966</t>
  </si>
  <si>
    <t>Świetlówka LED T8 G2 22W 120cm 4000K Kobi Premium</t>
  </si>
  <si>
    <t>004536</t>
  </si>
  <si>
    <t>Świetlówka LED T8 G2 22W 120cm 6500K Kobi Premium</t>
  </si>
  <si>
    <t>004537</t>
  </si>
  <si>
    <t>Żarówka LED MB 8,5W E14 3000K Kobi Premium</t>
  </si>
  <si>
    <t>004455</t>
  </si>
  <si>
    <t>Żarówka LED MB 8,5W E14 4000K Kobi Premium</t>
  </si>
  <si>
    <t>004456</t>
  </si>
  <si>
    <t>Żarówka LED MB 8,5W E14 6000K Kobi Premium</t>
  </si>
  <si>
    <t>004457</t>
  </si>
  <si>
    <t>Żarówka LED MB 8,5W E27 3000K Kobi Premium</t>
  </si>
  <si>
    <t>004461</t>
  </si>
  <si>
    <t>Żarówka LED MB 8,5W E27 4000K Kobi Premium</t>
  </si>
  <si>
    <t>004462</t>
  </si>
  <si>
    <t>Żarówka LED MB 8,5W E27 6000K Kobi Premium</t>
  </si>
  <si>
    <t>004463</t>
  </si>
  <si>
    <t>Żarówka LED SW 8,5W E14 3000K Kobi Premium</t>
  </si>
  <si>
    <t>004458</t>
  </si>
  <si>
    <t>Żarówka LED SW 8,5W E14 4000K Kobi Premium</t>
  </si>
  <si>
    <t>004459</t>
  </si>
  <si>
    <t>Żarówka LED SW 8,5W E14 6000K Kobi Premium</t>
  </si>
  <si>
    <t>004460</t>
  </si>
  <si>
    <t>Żarówka LED SW 8,5W E27 3000K Kobi Premium</t>
  </si>
  <si>
    <t>004464</t>
  </si>
  <si>
    <t>Żarówka LED SW 8,5W E27 4000K Kobi Premium</t>
  </si>
  <si>
    <t>004465</t>
  </si>
  <si>
    <t>Żarówka LED SW 8,5W E27 6000K Kobi Premium</t>
  </si>
  <si>
    <t>004466</t>
  </si>
  <si>
    <t>Naświetlacz LED MHC 20W 6500K IP54 czarny LED2B RED</t>
  </si>
  <si>
    <t>Kinkiet ogrodowy LED QUERK 2x3W 3000K IP54 420lm czarny LED2B</t>
  </si>
  <si>
    <t>Reflektor szynowy LED NEXTRACK VISION 30W 3CCT 30-60° biały Kobi Pro</t>
  </si>
  <si>
    <t>Wkład LED INSERT 5W 3CCT DIM Kobi</t>
  </si>
  <si>
    <t>004454</t>
  </si>
  <si>
    <t>5907178012499</t>
  </si>
  <si>
    <t>5907178012505</t>
  </si>
  <si>
    <t>5907178011560</t>
  </si>
  <si>
    <t>5907178011577</t>
  </si>
  <si>
    <t>5907178011584</t>
  </si>
  <si>
    <t>5907178011621</t>
  </si>
  <si>
    <t>5907178011638</t>
  </si>
  <si>
    <t>5907178011645</t>
  </si>
  <si>
    <t>5907178011591</t>
  </si>
  <si>
    <t>5907178011607</t>
  </si>
  <si>
    <t>5907178011614</t>
  </si>
  <si>
    <t>5907178011652</t>
  </si>
  <si>
    <t>5907178011669</t>
  </si>
  <si>
    <t>5907178011676</t>
  </si>
  <si>
    <t>5907178011553</t>
  </si>
  <si>
    <t>Kinkiet ogrodowy LED QUERK 2x2W 3000K IP54 550lm czarny LED2B</t>
  </si>
  <si>
    <t>004544</t>
  </si>
  <si>
    <t>Słupek ogrodowy ZENVIO 4gn/Zu IP44 czarne LED2B</t>
  </si>
  <si>
    <t>004526</t>
  </si>
  <si>
    <t>Lampa ogrodowa Solar LED LUVETRA 4000K IP44 czarna LED2B</t>
  </si>
  <si>
    <t>004509</t>
  </si>
  <si>
    <t>Słupek ogrodowy Solar LED SPHERE G2 20cm 4000K IP44 LED2B</t>
  </si>
  <si>
    <t>004513</t>
  </si>
  <si>
    <t>Słupek ogrodowy Solar LED SPHERE G2 10cm RGB IP44 LED2B</t>
  </si>
  <si>
    <t>004515</t>
  </si>
  <si>
    <t>Słupek ogrodowy Solar LED SPHERE G2 20cm RGB IP44 LED2B</t>
  </si>
  <si>
    <t>004516</t>
  </si>
  <si>
    <t>Słupek ogrodowy Solar LED AURORA 4000K IP44 LED2B</t>
  </si>
  <si>
    <t>004492</t>
  </si>
  <si>
    <t>Słupek ogrodowy Solar LED GLEAM 3000K IP44 LED2B</t>
  </si>
  <si>
    <t>004493</t>
  </si>
  <si>
    <t>Słupek ogrodowy Solar LED GLOBE 3000K IP44 LED2B</t>
  </si>
  <si>
    <t>004494</t>
  </si>
  <si>
    <t>Słupek ogrodowy Solar LED AURORA ROUND 4000K IP44 LED2B</t>
  </si>
  <si>
    <t>004503</t>
  </si>
  <si>
    <t>Lampa ogrodowa Solar LED LUVETRA 4000K IP44 biała LED2B</t>
  </si>
  <si>
    <t>004510</t>
  </si>
  <si>
    <t>Słupek ogrodowy Solar LED SPRINKLE 3000K IP44 LED2B</t>
  </si>
  <si>
    <t>004511</t>
  </si>
  <si>
    <t>Słupek ogrodowy Solar LED SPHERE G2 10cm 4000K IP44 LED2B</t>
  </si>
  <si>
    <t>004512</t>
  </si>
  <si>
    <t>004524</t>
  </si>
  <si>
    <t>Żarówka LED S14 0,042W 24V E27 2700K LED2B</t>
  </si>
  <si>
    <t>004525</t>
  </si>
  <si>
    <t>Lampa ogrodowa Solar LED CLAVO G2 4000K IP44 4-pak LED2B</t>
  </si>
  <si>
    <t>004508</t>
  </si>
  <si>
    <t>004517</t>
  </si>
  <si>
    <t>004518</t>
  </si>
  <si>
    <t>Girlanda Solar LED STARLIGHT NEO 10m 10x0,042W E27 LED2B</t>
  </si>
  <si>
    <t>004521</t>
  </si>
  <si>
    <t>Girlanda Solar LED STARLIGHT NEO 10m 20x0,042W E27 LED2B</t>
  </si>
  <si>
    <t>004522</t>
  </si>
  <si>
    <t>Girlanda Solar LED STARLIGHT NEO 20m 20x0,042W E27 LED2B</t>
  </si>
  <si>
    <t>004523</t>
  </si>
  <si>
    <t>5907178012543</t>
  </si>
  <si>
    <t>5907178012246</t>
  </si>
  <si>
    <t>5907178012079</t>
  </si>
  <si>
    <t>5907178012116</t>
  </si>
  <si>
    <t>5907178012130</t>
  </si>
  <si>
    <t>5907178012147</t>
  </si>
  <si>
    <t>5907178011904</t>
  </si>
  <si>
    <t>5907178011928</t>
  </si>
  <si>
    <t>5907178011942</t>
  </si>
  <si>
    <t>5907178012017</t>
  </si>
  <si>
    <t>5907178012086</t>
  </si>
  <si>
    <t>5907178012093</t>
  </si>
  <si>
    <t>5907178012109</t>
  </si>
  <si>
    <t>5907178012222</t>
  </si>
  <si>
    <t>85044085</t>
  </si>
  <si>
    <t>5907178012239</t>
  </si>
  <si>
    <t>5907178012062</t>
  </si>
  <si>
    <t>5907178012154</t>
  </si>
  <si>
    <t>5907178012161</t>
  </si>
  <si>
    <t>5907178012192</t>
  </si>
  <si>
    <t>5907178012208</t>
  </si>
  <si>
    <t>5907178012215</t>
  </si>
  <si>
    <t>Żarówka filamentowa LED FMB 1,3W E27 2700K Kobi</t>
  </si>
  <si>
    <t>Kinkiet ogrodowy Solar LED QUERK 2CCT IP54 2-pak LED2B</t>
  </si>
  <si>
    <t>Kinkiet ogrodowy Solar LED QUERK 2CCT IP54 LED2B</t>
  </si>
  <si>
    <t>Reflektor szynowy LED NEXTRACK VISION 10W 3CCT 30-60° biały Kobi Pro</t>
  </si>
  <si>
    <t>Reflektor szynowy LED NEXTRACK VISION 10W 3CCT 30-60° czarny Kobi Pro</t>
  </si>
  <si>
    <t>Reflektor szynowy LED NEXTRACK VISION 20W 3CCT 30-60° biały Kobi Pro</t>
  </si>
  <si>
    <t>Reflektor szynowy LED NEXTRACK VISION 20W 3CCT 30-60° czarny Kobi Pro</t>
  </si>
  <si>
    <t>Reflektor szynowy LED NEXTRACK VISION 30W 3CCT 30-60° czarny Kobi Pro</t>
  </si>
  <si>
    <t>Kinkiet GLOBE ELEGANCE ASH K 1xG9 Kobi Design</t>
  </si>
  <si>
    <t>Downlight LED BRINO 3/5/7W 3CCT biały Kobi</t>
  </si>
  <si>
    <t>004346</t>
  </si>
  <si>
    <t>Downlight LED BRINO 3/5/7W 3CCT czarny Kobi</t>
  </si>
  <si>
    <t>004347</t>
  </si>
  <si>
    <t>Przedłużacz LINEA 3gn/1,5m/Zu biały Kobi</t>
  </si>
  <si>
    <t>Przedłużacz LINEA 3gn/3m/Zu biały Kobi</t>
  </si>
  <si>
    <t>Przedłużacz LINEA 3gn/5m/Zu biały Kobi</t>
  </si>
  <si>
    <t>Przedłużacz LINEA 4gn/1,5m/Zu biały Kobi</t>
  </si>
  <si>
    <t>Przedłużacz LINEA 4gn/3m/Zu biały Kobi</t>
  </si>
  <si>
    <t>Przedłużacz LINEA 4gn/5m/Zu biały Kobi</t>
  </si>
  <si>
    <t>Przedłużacz LINEA 5gn/1,5m/Zu biały Kobi</t>
  </si>
  <si>
    <t>Przedłużacz LINEA 5gn/3m/Zu biały Kobi</t>
  </si>
  <si>
    <t>Przedłużacz LINEA 5gn/5m/Zu biały Kobi</t>
  </si>
  <si>
    <t>Przedłużacz LINEA 3gn/3m/Zu+W biały Kobi</t>
  </si>
  <si>
    <t>Przedłużacz LINEA 3gn/5m/Zu+W biały Kobi</t>
  </si>
  <si>
    <t>Przedłużacz LINEA 5gn/3m/Zu+W biały Kobi</t>
  </si>
  <si>
    <t>Przedłużacz LINEA 5gn/5m/Zu+W biały Kobi</t>
  </si>
  <si>
    <t>Łącznik do szynoprzewodu 3-obwodowy FLEX biały Kobi</t>
  </si>
  <si>
    <t>Łącznik do szynoprzewodu 3-obwodowy FLEX czarny Kobi</t>
  </si>
  <si>
    <t>Łącznik do szynoprzewodu 3-obwodowy T PRAWY biały Kobi</t>
  </si>
  <si>
    <t>Łącznik do szynoprzewodu 3-obwodowy T PRAWY czarny Kobi</t>
  </si>
  <si>
    <t>Łącznik do szynoprzewodu 3-obwodowy X biały Kobi</t>
  </si>
  <si>
    <t>Łącznik do szynoprzewodu 3-obwodowy X czarny Kobi</t>
  </si>
  <si>
    <t>Łącznik do szynoprzewodu 3-obwodowy L LEWY biały Kobi</t>
  </si>
  <si>
    <t>Łącznik do szynoprzewodu 3-obwodowy L LEWY czarny Kobi</t>
  </si>
  <si>
    <t>Łącznik do szynoprzewodu 3-obwodowy L PRAWY biały Kobi</t>
  </si>
  <si>
    <t>Łącznik do szynoprzewodu 3-obwodowy L PRAWY czarny Kobi</t>
  </si>
  <si>
    <t>Zasilacz do LED 9W 24V IP44 LED2B</t>
  </si>
  <si>
    <t>5907178007372</t>
  </si>
  <si>
    <t>5907178007389</t>
  </si>
  <si>
    <t>Oprawa parkowa LED NEXPARK G2 30W/40W/60W 3CCT IP66 Kobi Pro</t>
  </si>
  <si>
    <t>004540</t>
  </si>
  <si>
    <t>5907178012512</t>
  </si>
  <si>
    <t>Oprawa do nadbudowania OH12 S 1xGX53 biała Kobi</t>
  </si>
  <si>
    <t>004685</t>
  </si>
  <si>
    <t>Oprawa do nadbudowania OH12 S 1xGX53 czarna Kobi</t>
  </si>
  <si>
    <t>004686</t>
  </si>
  <si>
    <t>Oprawa do nadbudowania OH12 1xGX53 biała Kobi</t>
  </si>
  <si>
    <t>004687</t>
  </si>
  <si>
    <t>Oprawa do nadbudowania OH12 1xGX53 czarna Kobi</t>
  </si>
  <si>
    <t>004688</t>
  </si>
  <si>
    <t>Oprawa do nadbudowania OH12 F 1xGX53 biała Kobi</t>
  </si>
  <si>
    <t>004689</t>
  </si>
  <si>
    <t>Oprawa do nadbudowania OH12 F 1xGX53 czarna Kobi</t>
  </si>
  <si>
    <t>004690</t>
  </si>
  <si>
    <t>Oprawa sufitowa LUNVIGO 4xGX53 czarna Kobi</t>
  </si>
  <si>
    <t>004683</t>
  </si>
  <si>
    <t>Oprawa sufitowa LUNVIGO 6xGX53 czarna Kobi</t>
  </si>
  <si>
    <t>004684</t>
  </si>
  <si>
    <t>Oprawa parkowa Solar LED SOLSUMI SQUARE 25W 3CCT IP54 Kobi Premium</t>
  </si>
  <si>
    <t>004612</t>
  </si>
  <si>
    <t>Plafon LED z wentylatorem VENTELUX 24W+15W 3CCT biały Kobi Windstar</t>
  </si>
  <si>
    <t>004592</t>
  </si>
  <si>
    <t>Plafon LED z wentylatorem VENTELUX 48W+15W 3CCT czarny Kobi Windstar</t>
  </si>
  <si>
    <t>004593</t>
  </si>
  <si>
    <t>Plafon LED z wentylatorem VENTELUX  48W+15W 3CCT+RGB  Kobi Windstar</t>
  </si>
  <si>
    <t>004594</t>
  </si>
  <si>
    <t>Profil P01 natynkowy anodowany srebrny + przesłona mleczna 2m Kobi</t>
  </si>
  <si>
    <t>004627</t>
  </si>
  <si>
    <t>Profile aluminiowe</t>
  </si>
  <si>
    <t>Profil P01 natynkowy czarny + przesłona mleczna 2m Kobi</t>
  </si>
  <si>
    <t>004628</t>
  </si>
  <si>
    <t>Profil P01 natynkowy biały + przesłona mleczna 2m Kobi</t>
  </si>
  <si>
    <t>004629</t>
  </si>
  <si>
    <t>Profil P02 podtynkowy anodowany srebrny + przesłona mleczna 2m Kobi</t>
  </si>
  <si>
    <t>004630</t>
  </si>
  <si>
    <t>Profil P02 podtynkowy czarny + przesłona mleczna 2m Kobi</t>
  </si>
  <si>
    <t>004631</t>
  </si>
  <si>
    <t>Profil P02 podtynkowy biały + przesłona mleczna 2m Kobi</t>
  </si>
  <si>
    <t>004632</t>
  </si>
  <si>
    <t>Profil N01 narożny anodowany srebrny + przesłona mleczna 2m Kobi</t>
  </si>
  <si>
    <t>004633</t>
  </si>
  <si>
    <t>Profil N01 narożny czarny + przesłona mleczna 2m Kobi</t>
  </si>
  <si>
    <t>004634</t>
  </si>
  <si>
    <t>Profil N01 narożny biały + przesłona mleczna 2m Kobi</t>
  </si>
  <si>
    <t>004635</t>
  </si>
  <si>
    <t>Profil KG01 podtynkowy anodowany srebrny + przesłona mleczna 2m Kobi</t>
  </si>
  <si>
    <t>004636</t>
  </si>
  <si>
    <t>5907178016688</t>
  </si>
  <si>
    <t>5907178016695</t>
  </si>
  <si>
    <t>5907178016701</t>
  </si>
  <si>
    <t>5907178016718</t>
  </si>
  <si>
    <t>5907178016725</t>
  </si>
  <si>
    <t>5907178016732</t>
  </si>
  <si>
    <t>5907178016664</t>
  </si>
  <si>
    <t>5907178016671</t>
  </si>
  <si>
    <t>5907178016374</t>
  </si>
  <si>
    <t>5907178015568</t>
  </si>
  <si>
    <t>5907178015575</t>
  </si>
  <si>
    <t>5907178015582</t>
  </si>
  <si>
    <t>5907178016404</t>
  </si>
  <si>
    <t>5907178016411</t>
  </si>
  <si>
    <t>5907178016428</t>
  </si>
  <si>
    <t>5907178016435</t>
  </si>
  <si>
    <t>5907178016442</t>
  </si>
  <si>
    <t>5907178016459</t>
  </si>
  <si>
    <t>5907178016466</t>
  </si>
  <si>
    <t>5907178016473</t>
  </si>
  <si>
    <t>5907178016480</t>
  </si>
  <si>
    <t>5907178016497</t>
  </si>
  <si>
    <t>004702</t>
  </si>
  <si>
    <t>Żarówka LED GX53 5W 3000K Kobi</t>
  </si>
  <si>
    <t>004666</t>
  </si>
  <si>
    <t>Żarówka LED GX53 5W 4000K Kobi</t>
  </si>
  <si>
    <t>004667</t>
  </si>
  <si>
    <t>Żarówka LED GX53 9W 3000K Kobi</t>
  </si>
  <si>
    <t>004668</t>
  </si>
  <si>
    <t>Żarówka LED GX53 9W 4000K Kobi</t>
  </si>
  <si>
    <t>004669</t>
  </si>
  <si>
    <t>Żarówka LED GX53 11W 3000K Kobi</t>
  </si>
  <si>
    <t>004670</t>
  </si>
  <si>
    <t>Żarówka LED GX53 11W 4000K Kobi</t>
  </si>
  <si>
    <t>004671</t>
  </si>
  <si>
    <t>Żarówka LED GX53 13W 3000K Kobi</t>
  </si>
  <si>
    <t>004672</t>
  </si>
  <si>
    <t>Żarówka LED GX53 13W 4000K Kobi</t>
  </si>
  <si>
    <t>004673</t>
  </si>
  <si>
    <t>Żarówka filamentowa LED FGS 10W E27 3000K mleczna Kobi</t>
  </si>
  <si>
    <t>004625</t>
  </si>
  <si>
    <t>Żarówka filamentowa LED FGS 10W E27 4000K mleczna Kobi</t>
  </si>
  <si>
    <t>004626</t>
  </si>
  <si>
    <t>Żarówka LED ST45 1W E27 2700K dymiona LED2B</t>
  </si>
  <si>
    <t>004609</t>
  </si>
  <si>
    <t>Taśma LED TRAMO 320 COB 50m 3000K 12V IP20 Kobi Premium</t>
  </si>
  <si>
    <t>004611</t>
  </si>
  <si>
    <t>Taśma LED TRAMO 320 COB 50m 4000K 12V IP20 Kobi Premium</t>
  </si>
  <si>
    <t>004614</t>
  </si>
  <si>
    <t>Taśma LED TRAMO 320 COB 50m 6500K 12V IP20 Kobi Premium</t>
  </si>
  <si>
    <t>004615</t>
  </si>
  <si>
    <t>Taśma LED TRAMO 320 COB 5m 3000K 24V IP20 Kobi Premium</t>
  </si>
  <si>
    <t>004616</t>
  </si>
  <si>
    <t>Taśma LED TRAMO 320 COB 5m 3000K 24V IP65 Kobi Premium</t>
  </si>
  <si>
    <t>004617</t>
  </si>
  <si>
    <t>Taśma LED TRAMO 320 COB 5m 4000K 24V IP20 Kobi Premium</t>
  </si>
  <si>
    <t>004618</t>
  </si>
  <si>
    <t>Taśma LED TRAMO 320 COB 5m 4000K 24V IP65 Kobi Premium</t>
  </si>
  <si>
    <t>004619</t>
  </si>
  <si>
    <t>Taśma LED TRAMO 320 COB 5m 6500K 24V IP20 Kobi Premium</t>
  </si>
  <si>
    <t>004620</t>
  </si>
  <si>
    <t>Taśma LED TRAMO 320 COB 5m 6500K 24V IP65 Kobi Premium</t>
  </si>
  <si>
    <t>004621</t>
  </si>
  <si>
    <t>Łącznik 9w1 taśmy LED COB 8mm Kobi</t>
  </si>
  <si>
    <t>004610</t>
  </si>
  <si>
    <t>Przedłużacz LINEA G 1gn/10m/Bu/2x1mm pomarańczowy Kobi</t>
  </si>
  <si>
    <t>004699</t>
  </si>
  <si>
    <t>004700</t>
  </si>
  <si>
    <t>004701</t>
  </si>
  <si>
    <t>004703</t>
  </si>
  <si>
    <t>004939</t>
  </si>
  <si>
    <t>5907178016770</t>
  </si>
  <si>
    <t>5907178016589</t>
  </si>
  <si>
    <t>5907178016596</t>
  </si>
  <si>
    <t>5907178016602</t>
  </si>
  <si>
    <t>5907178016619</t>
  </si>
  <si>
    <t>5907178016626</t>
  </si>
  <si>
    <t>5907178016633</t>
  </si>
  <si>
    <t>5907178016640</t>
  </si>
  <si>
    <t>5907178016657</t>
  </si>
  <si>
    <t>5907178016305</t>
  </si>
  <si>
    <t>5907178016398</t>
  </si>
  <si>
    <t>5907178016251</t>
  </si>
  <si>
    <t>5907178016275</t>
  </si>
  <si>
    <t>5907178016282</t>
  </si>
  <si>
    <t>5907178016299</t>
  </si>
  <si>
    <t>5907178016312</t>
  </si>
  <si>
    <t>5907178016329</t>
  </si>
  <si>
    <t>5907178016336</t>
  </si>
  <si>
    <t>5907178016343</t>
  </si>
  <si>
    <t>5907178016350</t>
  </si>
  <si>
    <t>5907178016367</t>
  </si>
  <si>
    <t>5907178016268</t>
  </si>
  <si>
    <t>5907178016749</t>
  </si>
  <si>
    <t>5907178016756</t>
  </si>
  <si>
    <t>5907178016763</t>
  </si>
  <si>
    <t>5907178016787</t>
  </si>
  <si>
    <t>5902479642093</t>
  </si>
  <si>
    <t>Nowości</t>
  </si>
  <si>
    <t>High Bay LED NICO 72-95-120W 3CCT IP65 60°x90° Kobi Pro</t>
  </si>
  <si>
    <t>High Bay LED NICO 144-192-240W 3CCT IP65 60°x90° Kobi Pro</t>
  </si>
  <si>
    <t>Plafon LED SOFI 12W 4000K IP20 Kobi</t>
  </si>
  <si>
    <t>004651</t>
  </si>
  <si>
    <t>Plafon LED SOFI 18W 4000K IP20 Kobi</t>
  </si>
  <si>
    <t>004652</t>
  </si>
  <si>
    <t>Przedłużacz LINEA G 1gn/15m/Bu/2x1mm pomarańczowy Kobi</t>
  </si>
  <si>
    <t>Przedłużacz LINEA G 1gn/20m/Bu/2x1mm pomarańczowy Kobi</t>
  </si>
  <si>
    <t>Przedłużacz LINEA G 1gn/30m/Bu/2x1mm pomarańczowy Kobi</t>
  </si>
  <si>
    <t>Przedłużacz LINEA G 1gn/25m/Bu/2x1mm pomarańczowy Kobi</t>
  </si>
  <si>
    <t>5907178016503</t>
  </si>
  <si>
    <t>5907178016510</t>
  </si>
  <si>
    <t>Lampa ogrodowa Solar LED CANDELIO 2700K biały LED2B</t>
  </si>
  <si>
    <t>002233</t>
  </si>
  <si>
    <t>Lampa ogrodowa Solar LED CANDELIO 2700K czarna LED2B</t>
  </si>
  <si>
    <t>002234</t>
  </si>
  <si>
    <t>Lampa ogrodowa Solar LED CANDELIO 2700K złota LED2B</t>
  </si>
  <si>
    <t>002235</t>
  </si>
  <si>
    <t>Wentylator podłogowy VIENTO 45W biały Kobi Windstar</t>
  </si>
  <si>
    <t>002419</t>
  </si>
  <si>
    <t>5902201389081</t>
  </si>
  <si>
    <t>5902201389104</t>
  </si>
  <si>
    <t>5902201389111</t>
  </si>
  <si>
    <t>5902201301731</t>
  </si>
  <si>
    <t>Naświetlacz LED MHC 10W 6500K IP54 czarny LED2B RED</t>
  </si>
  <si>
    <t>Naświetlacz LED MHC 30W 6500K IP54 czarny LED2B RED</t>
  </si>
  <si>
    <t>Panel LED NELIO G2 36W 60x60 3000K Kobi Pro</t>
  </si>
  <si>
    <t>003828</t>
  </si>
  <si>
    <t>Kinkiet ogrodowy LED MIRANA S 8W 30cm 4000K IP44 czarny Kobi</t>
  </si>
  <si>
    <t>004717</t>
  </si>
  <si>
    <t>Kinkiet ogrodowy LED MIRANA S 12W 60cm 4000K IP44 czarny Kobi</t>
  </si>
  <si>
    <t>004718</t>
  </si>
  <si>
    <t>Kinkiet ogrodowy LED MIRANA S 25W 120cm 4000K IP44 czarny Kobi</t>
  </si>
  <si>
    <t>004719</t>
  </si>
  <si>
    <t>Kinkiet ogrodowy LED MIRANA 8W 30cm 4000K IP44 czarny Kobi</t>
  </si>
  <si>
    <t>004720</t>
  </si>
  <si>
    <t>Kinkiet ogrodowy LED MIRANA 12W 60cm 4000K IP44 czarny Kobi</t>
  </si>
  <si>
    <t>004721</t>
  </si>
  <si>
    <t>Kinkiet ogrodowy LED MIRANA 25W 120cm 4000K IP44 czarny Kobi</t>
  </si>
  <si>
    <t>004722</t>
  </si>
  <si>
    <t>005106</t>
  </si>
  <si>
    <t>005108</t>
  </si>
  <si>
    <t>005107</t>
  </si>
  <si>
    <t>5902201396393</t>
  </si>
  <si>
    <t>5907178017258</t>
  </si>
  <si>
    <t>5907178017265</t>
  </si>
  <si>
    <t>5907178017272</t>
  </si>
  <si>
    <t>5907178017289</t>
  </si>
  <si>
    <t>5907178017296</t>
  </si>
  <si>
    <t>5907178017302</t>
  </si>
  <si>
    <t>5902479642017</t>
  </si>
  <si>
    <t>5902479642239</t>
  </si>
  <si>
    <t>5902479642154</t>
  </si>
  <si>
    <t>Uchwyt montażowy BASE TP SV 360mm Fi 60mm czarny Kobi</t>
  </si>
  <si>
    <t>004729</t>
  </si>
  <si>
    <t>Uchwyt montażowy BASE TP SV 360mm Fi 60mm szary Kobi</t>
  </si>
  <si>
    <t>004728</t>
  </si>
  <si>
    <t>Lampka biurkowa LED NOBLITE 7W CCT biała LED2B</t>
  </si>
  <si>
    <t>5907178017326</t>
  </si>
  <si>
    <t>5907178017319</t>
  </si>
  <si>
    <t>Przedłużacz KOBI LINEA PRO CUBE 3gn+3USB/1USB-C/Zu+W biały Kobi</t>
  </si>
  <si>
    <t>Przedłużacz KOBI LINEA PRO CUBE 3gn+3USB/1USB-C/Zu+W czarny Kobi</t>
  </si>
  <si>
    <t>Przedłużacz KOBI LINEA PRO CUBE C 3gn+3USB/1USB-C/1,5m/Zu+W biały Kobi</t>
  </si>
  <si>
    <t>Przedłużacz KOBI LINEA PRO CUBE C 3gn+3USB/1USB-C/1,5m/Zu+W czarny Kobi</t>
  </si>
  <si>
    <t>Przedłużacz KOBI LINEA FL 2gn+3USB/1USB-C/0,2m biały Kobi</t>
  </si>
  <si>
    <t>Przedłużacz KOBI LINEA FL 2gn+3USB/1USB-C/0,2m czarny Kobi</t>
  </si>
  <si>
    <t>Przedłużacz KOBI LINEA PRO 3gn+4USB/1USB-C/1,5m/Zu+W biały Kobi</t>
  </si>
  <si>
    <t>Przedłużacz KOBI LINEA PRO 3gn+4USB/1USB-C/1,5m/Zu+W czarny Kobi</t>
  </si>
  <si>
    <t>Przedłużacz KOBI LINEA PRO 3gn+4USB/1USB-C/3m/Zu+W biały Kobi</t>
  </si>
  <si>
    <t>Przedłużacz KOBI LINEA PRO 3gn+4USB/1USB-C/3m/Zu+W czarny Kobi</t>
  </si>
  <si>
    <t>Przedłużacz KOBI LINEA PRO 3gn+4USB/1USB-C/5m/Zu+W biały Kobi</t>
  </si>
  <si>
    <t>Przedłużacz KOBI LINEA PRO 3gn+4USB/1USB-C/5m/Zu+W czarny Kobi</t>
  </si>
  <si>
    <t>Wentylator podłogowy VIENTO 45W czarny Kobi Windstar</t>
  </si>
  <si>
    <t>002420</t>
  </si>
  <si>
    <t>Wentylator biurkowy VIENTO 40W biały Kobi Windstar</t>
  </si>
  <si>
    <t>002421</t>
  </si>
  <si>
    <t>Plafon LED NUMOS 5W/7W/10W 4000K LX IP65 Kobi Pro</t>
  </si>
  <si>
    <t>004289</t>
  </si>
  <si>
    <t>Klimator ewaporacyjny VIENTO COOL-R 65W czarny Kobi Windstar</t>
  </si>
  <si>
    <t>004588</t>
  </si>
  <si>
    <t>Wentylator biurkowy VIENTO 40W czarny Kobi Windstar</t>
  </si>
  <si>
    <t>004571</t>
  </si>
  <si>
    <t>Wentylator podłogowy VIENTO 200W Kobi Windstar</t>
  </si>
  <si>
    <t>004574</t>
  </si>
  <si>
    <t>Wentylator podłogowy VIENTO-R 40W  biały Kobi Windstar</t>
  </si>
  <si>
    <t>004572</t>
  </si>
  <si>
    <t>Wentylator podłogowy VIENTO-R 40W  czarny Kobi Windstar</t>
  </si>
  <si>
    <t>004573</t>
  </si>
  <si>
    <t>Klimator ewaporacyjny VIENTO COOL 65W biały Kobi Windstar</t>
  </si>
  <si>
    <t>004589</t>
  </si>
  <si>
    <t>Moduł zasilacza puszkowy 12V 45W 3,75A IP67</t>
  </si>
  <si>
    <t>004578</t>
  </si>
  <si>
    <t>Moduł zasilacza puszkowy 12V 60W 5,00A IP67</t>
  </si>
  <si>
    <t>004580</t>
  </si>
  <si>
    <t>Moduł zasilacza puszkowy 24V 60W 2,50A IP67</t>
  </si>
  <si>
    <t>004584</t>
  </si>
  <si>
    <t>Moduł zasilacza puszkowy 12V 20W 1,67A IP67</t>
  </si>
  <si>
    <t>004575</t>
  </si>
  <si>
    <t>Moduł zasilacza puszkowy 12V 30W 2,50A IP67</t>
  </si>
  <si>
    <t>004576</t>
  </si>
  <si>
    <t>Moduł zasilacza puszkowy 24V 20W 0,83A IP67</t>
  </si>
  <si>
    <t>004581</t>
  </si>
  <si>
    <t>Moduł zasilacza puszkowy 24V 30W 1,25A IP67</t>
  </si>
  <si>
    <t>004582</t>
  </si>
  <si>
    <t>Moduł zasilacza puszkowy 24V 45W 1,88A IP67</t>
  </si>
  <si>
    <t>004583</t>
  </si>
  <si>
    <t>Zasilacz desktop 12V 48W 4,0A wtyk DC 2,1x5,5</t>
  </si>
  <si>
    <t>002412</t>
  </si>
  <si>
    <t>005147</t>
  </si>
  <si>
    <t>005148</t>
  </si>
  <si>
    <t>005116</t>
  </si>
  <si>
    <t>5902201301748</t>
  </si>
  <si>
    <t>5902201301762</t>
  </si>
  <si>
    <t>5907178005248</t>
  </si>
  <si>
    <t>5907178015544</t>
  </si>
  <si>
    <t>84796000</t>
  </si>
  <si>
    <t>5907178015360</t>
  </si>
  <si>
    <t>5907178015391</t>
  </si>
  <si>
    <t>5907178015377</t>
  </si>
  <si>
    <t>5907178015384</t>
  </si>
  <si>
    <t>5907178015551</t>
  </si>
  <si>
    <t>5902479641911</t>
  </si>
  <si>
    <t>5902479641928</t>
  </si>
  <si>
    <t>5902479641874</t>
  </si>
  <si>
    <t>5902479641898</t>
  </si>
  <si>
    <t>5902479641904</t>
  </si>
  <si>
    <t>5902479641461</t>
  </si>
  <si>
    <t>5902479641492</t>
  </si>
  <si>
    <t>5902479641867</t>
  </si>
  <si>
    <t>5902201304213</t>
  </si>
  <si>
    <t>5902479642178</t>
  </si>
  <si>
    <t>5902479642222</t>
  </si>
  <si>
    <t>5902479642253</t>
  </si>
  <si>
    <t>ŹRÓDŁA</t>
  </si>
  <si>
    <t>ŚWIETLÓWKI LED</t>
  </si>
  <si>
    <t>ŻARÓWKI LED</t>
  </si>
  <si>
    <t>Żarówka LED MB 7W E27 6500K LED2B</t>
  </si>
  <si>
    <t>001291</t>
  </si>
  <si>
    <t>PANELE LED</t>
  </si>
  <si>
    <t>DROGOWE</t>
  </si>
  <si>
    <t>DEKORACYJNE</t>
  </si>
  <si>
    <t>OGRODOWE</t>
  </si>
  <si>
    <t>PLAFONY</t>
  </si>
  <si>
    <t>LAMPY</t>
  </si>
  <si>
    <t>Lampa podłogowa LED TEILO 10W 3CCT czarna LED2B</t>
  </si>
  <si>
    <t>PASKI LED</t>
  </si>
  <si>
    <t>ARTOFLIGHT</t>
  </si>
  <si>
    <t>SZYNOPRZEWÓD</t>
  </si>
  <si>
    <t>Czujnik zmierzchowy LX501 360° Kobi</t>
  </si>
  <si>
    <t>PRZEWODY I OSPRZĘT</t>
  </si>
  <si>
    <t>GRZEJNIKI</t>
  </si>
  <si>
    <t>Plafon RUTO 1xE27 biały szkło Kobi</t>
  </si>
  <si>
    <t>LINIOWE T8</t>
  </si>
  <si>
    <t>Oprawa drogowa Solar LED STREET 20W 3CCT IP65 Kobi Premium</t>
  </si>
  <si>
    <t>004613</t>
  </si>
  <si>
    <t>Pierścień ozdobny OH20 chrom Kobi</t>
  </si>
  <si>
    <t>002049</t>
  </si>
  <si>
    <t>005210</t>
  </si>
  <si>
    <t>005209</t>
  </si>
  <si>
    <t>005208</t>
  </si>
  <si>
    <t>Oprawa hermetyczna LED CORTEZ 2 50W 120cm 4000K IP65 Kobi Premium</t>
  </si>
  <si>
    <t>004477</t>
  </si>
  <si>
    <t>Oprawa liniowa LED KOLINE K2 20-30-40W 3CCT czarna Kobi Pro</t>
  </si>
  <si>
    <t>004779</t>
  </si>
  <si>
    <t>Oprawa liniowa LED KOLINE K2 20-30-40W 3CCT biała Kobi Pro</t>
  </si>
  <si>
    <t>004780</t>
  </si>
  <si>
    <t>Oprawa liniowa LED KOLINE K2 20-30-40W 3CCT UGR&lt;19 czarna Kobi Pro</t>
  </si>
  <si>
    <t>004781</t>
  </si>
  <si>
    <t>5902201300956</t>
  </si>
  <si>
    <t>5907178016381</t>
  </si>
  <si>
    <t>5900605092958</t>
  </si>
  <si>
    <t>5902479642147</t>
  </si>
  <si>
    <t>5902479642161</t>
  </si>
  <si>
    <t>5902479641959</t>
  </si>
  <si>
    <t>5907178011683</t>
  </si>
  <si>
    <t>5907178018101</t>
  </si>
  <si>
    <t>5907178018118</t>
  </si>
  <si>
    <t>5907178018125</t>
  </si>
  <si>
    <t>Zdjecie</t>
  </si>
  <si>
    <t>Lampa podłogowa TEILO 2 14W 3CCT czarna LED2B</t>
  </si>
  <si>
    <t>004834</t>
  </si>
  <si>
    <t>Lampka biurkowa LED AURIQ LOUPE 10W 3CCT biała LED2B</t>
  </si>
  <si>
    <t>004826</t>
  </si>
  <si>
    <t>Lampka biurkowa LED NOBLITE P 5W 3CCT biała LED2B</t>
  </si>
  <si>
    <t>004832</t>
  </si>
  <si>
    <t>Lampka biurkowa LED NOBLITE P 5W 3CCT czarna LED2B</t>
  </si>
  <si>
    <t>004833</t>
  </si>
  <si>
    <t>Lampka biurkowa AURIQ 1xE27 niebieska LED2B</t>
  </si>
  <si>
    <t>004827</t>
  </si>
  <si>
    <t>Lampka biurkowa AURIQ 1xE27 różowa LED2B</t>
  </si>
  <si>
    <t>004828</t>
  </si>
  <si>
    <t>Lampa podłogowa AURIQ ST 1xE27 biała LED2B</t>
  </si>
  <si>
    <t>004829</t>
  </si>
  <si>
    <t>5907178021385</t>
  </si>
  <si>
    <t>5907178021224</t>
  </si>
  <si>
    <t>5907178021361</t>
  </si>
  <si>
    <t>5907178021378</t>
  </si>
  <si>
    <t>5907178021231</t>
  </si>
  <si>
    <t>5907178021248</t>
  </si>
  <si>
    <t>5907178021255</t>
  </si>
  <si>
    <t>2 lata</t>
  </si>
  <si>
    <t>3 lata</t>
  </si>
  <si>
    <t>5 lat</t>
  </si>
  <si>
    <t>7 lat</t>
  </si>
  <si>
    <t>1 rok</t>
  </si>
  <si>
    <t>Zestaw HERMETIC G2 2x120 + 2x LED T8 18W 120cm 4000K KOBI</t>
  </si>
  <si>
    <t>Zestaw HERMETIC G2 2x120 + 2x LED T8 18W 120cm 6500K KOBI</t>
  </si>
  <si>
    <t>Plafon elewacyjny LED BAVANO 15W 3CCT LX IP54 czarny Kobi Premium</t>
  </si>
  <si>
    <t>Rozeta sufitowa do LED KOLINE K2 biała Kobi Pro</t>
  </si>
  <si>
    <t>004892</t>
  </si>
  <si>
    <t>Rozeta sufitowa do LED KOLINE K2 czarna Kobi Pro</t>
  </si>
  <si>
    <t>004893</t>
  </si>
  <si>
    <t>005280</t>
  </si>
  <si>
    <t>5907178021705</t>
  </si>
  <si>
    <t>5907178021712</t>
  </si>
  <si>
    <t>5902479642208</t>
  </si>
  <si>
    <t>https://b2b.kobi.pl/pl/product/13344,rozeta-sufitowa-do-led-koline-k2-biala-kobi-pro</t>
  </si>
  <si>
    <t xml:space="preserve">https://b2b.kobi.pl/pl/product/13345,rozeta-sufitowa-do-led-koline-k2-czarna-kobi-pro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</si>
</sst>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u/>
      <sz val="14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7D31"/>
        <bgColor rgb="FFFF8080"/>
      </patternFill>
    </fill>
    <fill>
      <patternFill patternType="solid">
        <fgColor rgb="FFFF9933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6" tint="0.39997558519241921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 applyProtection="1">
      <alignment horizontal="center"/>
      <protection locked="0"/>
    </xf>
    <xf numFmtId="14" fontId="2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9" fontId="1" fillId="2" borderId="2" xfId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>
      <alignment horizontal="center" vertical="center"/>
    </xf>
    <xf numFmtId="9" fontId="1" fillId="2" borderId="3" xfId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>
      <alignment horizontal="center" vertical="center"/>
    </xf>
    <xf numFmtId="9" fontId="1" fillId="2" borderId="4" xfId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9" fontId="1" fillId="2" borderId="0" xfId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vertical="center"/>
    </xf>
    <xf numFmtId="0" fontId="9" fillId="0" borderId="0" xfId="0" applyFont="1"/>
    <xf numFmtId="0" fontId="10" fillId="2" borderId="0" xfId="2" applyFont="1" applyFill="1" applyAlignment="1" applyProtection="1">
      <alignment horizontal="center"/>
    </xf>
    <xf numFmtId="0" fontId="8" fillId="2" borderId="0" xfId="0" applyFont="1" applyFill="1"/>
    <xf numFmtId="4" fontId="8" fillId="2" borderId="0" xfId="0" applyNumberFormat="1" applyFont="1" applyFill="1"/>
    <xf numFmtId="2" fontId="8" fillId="2" borderId="0" xfId="0" applyNumberFormat="1" applyFont="1" applyFill="1"/>
    <xf numFmtId="0" fontId="8" fillId="2" borderId="0" xfId="0" applyFont="1" applyFill="1" applyAlignment="1">
      <alignment horizontal="center"/>
    </xf>
    <xf numFmtId="0" fontId="12" fillId="4" borderId="5" xfId="0" applyFont="1" applyFill="1" applyBorder="1" applyAlignment="1">
      <alignment horizontal="center" vertical="center" wrapText="1"/>
    </xf>
    <xf numFmtId="4" fontId="12" fillId="4" borderId="5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/>
    </xf>
    <xf numFmtId="0" fontId="13" fillId="2" borderId="0" xfId="2" applyFont="1" applyFill="1" applyAlignment="1" applyProtection="1">
      <alignment horizontal="center" vertical="center"/>
      <protection locked="0"/>
    </xf>
    <xf numFmtId="9" fontId="1" fillId="2" borderId="9" xfId="1" applyFill="1" applyBorder="1" applyAlignment="1" applyProtection="1">
      <alignment horizontal="center" vertical="center"/>
      <protection locked="0"/>
    </xf>
    <xf numFmtId="9" fontId="1" fillId="2" borderId="8" xfId="1" applyFill="1" applyBorder="1" applyAlignment="1" applyProtection="1">
      <alignment horizontal="center" vertical="center"/>
      <protection locked="0"/>
    </xf>
    <xf numFmtId="4" fontId="0" fillId="0" borderId="0" xfId="0" applyNumberFormat="1" applyProtection="1">
      <protection hidden="1"/>
    </xf>
    <xf numFmtId="4" fontId="0" fillId="0" borderId="0" xfId="0" applyNumberFormat="1"/>
    <xf numFmtId="0" fontId="3" fillId="0" borderId="0" xfId="2"/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0" fillId="0" borderId="0" xfId="0" applyProtection="1">
      <protection hidden="1"/>
    </xf>
    <xf numFmtId="4" fontId="8" fillId="2" borderId="0" xfId="0" applyNumberFormat="1" applyFont="1" applyFill="1" applyProtection="1">
      <protection hidden="1"/>
    </xf>
    <xf numFmtId="0" fontId="3" fillId="0" borderId="0" xfId="2" applyProtection="1">
      <protection hidden="1"/>
    </xf>
    <xf numFmtId="14" fontId="11" fillId="2" borderId="0" xfId="0" applyNumberFormat="1" applyFont="1" applyFill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9" fontId="1" fillId="2" borderId="14" xfId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</cellXfs>
  <cellStyles count="3">
    <cellStyle name="Hiperłącze" xfId="2" builtinId="8"/>
    <cellStyle name="Normalny" xfId="0" builtinId="0"/>
    <cellStyle name="Procentowy" xfId="1" builtinId="5"/>
  </cellStyles>
  <dxfs count="2">
    <dxf>
      <font>
        <color theme="0"/>
      </font>
    </dxf>
    <dxf>
      <font>
        <b/>
        <i/>
        <color theme="3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976" Type="http://schemas.openxmlformats.org/officeDocument/2006/relationships/image" Target="../media/image976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70" Type="http://schemas.openxmlformats.org/officeDocument/2006/relationships/image" Target="../media/image170.jpeg"/><Relationship Id="rId836" Type="http://schemas.openxmlformats.org/officeDocument/2006/relationships/image" Target="../media/image836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903" Type="http://schemas.openxmlformats.org/officeDocument/2006/relationships/image" Target="../media/image903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847" Type="http://schemas.openxmlformats.org/officeDocument/2006/relationships/image" Target="../media/image847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914" Type="http://schemas.openxmlformats.org/officeDocument/2006/relationships/image" Target="../media/image914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858" Type="http://schemas.openxmlformats.org/officeDocument/2006/relationships/image" Target="../media/image858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718" Type="http://schemas.openxmlformats.org/officeDocument/2006/relationships/image" Target="../media/image718.jpeg"/><Relationship Id="rId925" Type="http://schemas.openxmlformats.org/officeDocument/2006/relationships/image" Target="../media/image92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217" Type="http://schemas.openxmlformats.org/officeDocument/2006/relationships/image" Target="../media/image217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869" Type="http://schemas.openxmlformats.org/officeDocument/2006/relationships/image" Target="../media/image869.jpeg"/><Relationship Id="rId424" Type="http://schemas.openxmlformats.org/officeDocument/2006/relationships/image" Target="../media/image424.jpeg"/><Relationship Id="rId631" Type="http://schemas.openxmlformats.org/officeDocument/2006/relationships/image" Target="../media/image631.jpeg"/><Relationship Id="rId729" Type="http://schemas.openxmlformats.org/officeDocument/2006/relationships/image" Target="../media/image729.jpeg"/><Relationship Id="rId270" Type="http://schemas.openxmlformats.org/officeDocument/2006/relationships/image" Target="../media/image270.jpeg"/><Relationship Id="rId936" Type="http://schemas.openxmlformats.org/officeDocument/2006/relationships/image" Target="../media/image936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82" Type="http://schemas.openxmlformats.org/officeDocument/2006/relationships/image" Target="../media/image78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642" Type="http://schemas.openxmlformats.org/officeDocument/2006/relationships/image" Target="../media/image642.jpe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947" Type="http://schemas.openxmlformats.org/officeDocument/2006/relationships/image" Target="../media/image947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93" Type="http://schemas.openxmlformats.org/officeDocument/2006/relationships/image" Target="../media/image793.jpeg"/><Relationship Id="rId807" Type="http://schemas.openxmlformats.org/officeDocument/2006/relationships/image" Target="../media/image807.jpeg"/><Relationship Id="rId7" Type="http://schemas.openxmlformats.org/officeDocument/2006/relationships/image" Target="../media/image7.jpeg"/><Relationship Id="rId239" Type="http://schemas.openxmlformats.org/officeDocument/2006/relationships/image" Target="../media/image239.jpeg"/><Relationship Id="rId446" Type="http://schemas.openxmlformats.org/officeDocument/2006/relationships/image" Target="../media/image446.jpeg"/><Relationship Id="rId653" Type="http://schemas.openxmlformats.org/officeDocument/2006/relationships/image" Target="../media/image653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860" Type="http://schemas.openxmlformats.org/officeDocument/2006/relationships/image" Target="../media/image860.jpeg"/><Relationship Id="rId958" Type="http://schemas.openxmlformats.org/officeDocument/2006/relationships/image" Target="../media/image958.jpeg"/><Relationship Id="rId87" Type="http://schemas.openxmlformats.org/officeDocument/2006/relationships/image" Target="../media/image87.jpeg"/><Relationship Id="rId513" Type="http://schemas.openxmlformats.org/officeDocument/2006/relationships/image" Target="../media/image513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818" Type="http://schemas.openxmlformats.org/officeDocument/2006/relationships/image" Target="../media/image818.jpeg"/><Relationship Id="rId152" Type="http://schemas.openxmlformats.org/officeDocument/2006/relationships/image" Target="../media/image152.jpeg"/><Relationship Id="rId457" Type="http://schemas.openxmlformats.org/officeDocument/2006/relationships/image" Target="../media/image457.jpeg"/><Relationship Id="rId664" Type="http://schemas.openxmlformats.org/officeDocument/2006/relationships/image" Target="../media/image664.jpeg"/><Relationship Id="rId871" Type="http://schemas.openxmlformats.org/officeDocument/2006/relationships/image" Target="../media/image871.jpeg"/><Relationship Id="rId969" Type="http://schemas.openxmlformats.org/officeDocument/2006/relationships/image" Target="../media/image969.jpeg"/><Relationship Id="rId14" Type="http://schemas.openxmlformats.org/officeDocument/2006/relationships/image" Target="../media/image14.jpe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731" Type="http://schemas.openxmlformats.org/officeDocument/2006/relationships/image" Target="../media/image731.jpeg"/><Relationship Id="rId98" Type="http://schemas.openxmlformats.org/officeDocument/2006/relationships/image" Target="../media/image98.jpeg"/><Relationship Id="rId163" Type="http://schemas.openxmlformats.org/officeDocument/2006/relationships/image" Target="../media/image163.jpeg"/><Relationship Id="rId370" Type="http://schemas.openxmlformats.org/officeDocument/2006/relationships/image" Target="../media/image370.jpeg"/><Relationship Id="rId829" Type="http://schemas.openxmlformats.org/officeDocument/2006/relationships/image" Target="../media/image829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882" Type="http://schemas.openxmlformats.org/officeDocument/2006/relationships/image" Target="../media/image882.jpeg"/><Relationship Id="rId25" Type="http://schemas.openxmlformats.org/officeDocument/2006/relationships/image" Target="../media/image25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742" Type="http://schemas.openxmlformats.org/officeDocument/2006/relationships/image" Target="../media/image74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686" Type="http://schemas.openxmlformats.org/officeDocument/2006/relationships/image" Target="../media/image686.jpeg"/><Relationship Id="rId893" Type="http://schemas.openxmlformats.org/officeDocument/2006/relationships/image" Target="../media/image893.jpeg"/><Relationship Id="rId907" Type="http://schemas.openxmlformats.org/officeDocument/2006/relationships/image" Target="../media/image907.jpeg"/><Relationship Id="rId36" Type="http://schemas.openxmlformats.org/officeDocument/2006/relationships/image" Target="../media/image36.jpeg"/><Relationship Id="rId339" Type="http://schemas.openxmlformats.org/officeDocument/2006/relationships/image" Target="../media/image339.png"/><Relationship Id="rId546" Type="http://schemas.openxmlformats.org/officeDocument/2006/relationships/image" Target="../media/image546.jpeg"/><Relationship Id="rId753" Type="http://schemas.openxmlformats.org/officeDocument/2006/relationships/image" Target="../media/image753.jpeg"/><Relationship Id="rId101" Type="http://schemas.openxmlformats.org/officeDocument/2006/relationships/image" Target="../media/image101.jpeg"/><Relationship Id="rId185" Type="http://schemas.openxmlformats.org/officeDocument/2006/relationships/image" Target="../media/image185.jpeg"/><Relationship Id="rId406" Type="http://schemas.openxmlformats.org/officeDocument/2006/relationships/image" Target="../media/image406.jpeg"/><Relationship Id="rId960" Type="http://schemas.openxmlformats.org/officeDocument/2006/relationships/image" Target="../media/image960.jpeg"/><Relationship Id="rId392" Type="http://schemas.openxmlformats.org/officeDocument/2006/relationships/image" Target="../media/image392.jpeg"/><Relationship Id="rId613" Type="http://schemas.openxmlformats.org/officeDocument/2006/relationships/image" Target="../media/image613.jpeg"/><Relationship Id="rId697" Type="http://schemas.openxmlformats.org/officeDocument/2006/relationships/image" Target="../media/image697.jpeg"/><Relationship Id="rId820" Type="http://schemas.openxmlformats.org/officeDocument/2006/relationships/image" Target="../media/image820.jpeg"/><Relationship Id="rId918" Type="http://schemas.openxmlformats.org/officeDocument/2006/relationships/image" Target="../media/image918.jpeg"/><Relationship Id="rId252" Type="http://schemas.openxmlformats.org/officeDocument/2006/relationships/image" Target="../media/image252.jpeg"/><Relationship Id="rId47" Type="http://schemas.openxmlformats.org/officeDocument/2006/relationships/image" Target="../media/image47.jpeg"/><Relationship Id="rId112" Type="http://schemas.openxmlformats.org/officeDocument/2006/relationships/image" Target="../media/image112.jpeg"/><Relationship Id="rId557" Type="http://schemas.openxmlformats.org/officeDocument/2006/relationships/image" Target="../media/image557.jpeg"/><Relationship Id="rId764" Type="http://schemas.openxmlformats.org/officeDocument/2006/relationships/image" Target="../media/image764.jpeg"/><Relationship Id="rId971" Type="http://schemas.openxmlformats.org/officeDocument/2006/relationships/image" Target="../media/image971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624" Type="http://schemas.openxmlformats.org/officeDocument/2006/relationships/image" Target="../media/image624.jpeg"/><Relationship Id="rId831" Type="http://schemas.openxmlformats.org/officeDocument/2006/relationships/image" Target="../media/image831.jpeg"/><Relationship Id="rId263" Type="http://schemas.openxmlformats.org/officeDocument/2006/relationships/image" Target="../media/image263.jpeg"/><Relationship Id="rId470" Type="http://schemas.openxmlformats.org/officeDocument/2006/relationships/image" Target="../media/image470.jpeg"/><Relationship Id="rId929" Type="http://schemas.openxmlformats.org/officeDocument/2006/relationships/image" Target="../media/image929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75" Type="http://schemas.openxmlformats.org/officeDocument/2006/relationships/image" Target="../media/image775.jpeg"/><Relationship Id="rId982" Type="http://schemas.openxmlformats.org/officeDocument/2006/relationships/image" Target="../media/image982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842" Type="http://schemas.openxmlformats.org/officeDocument/2006/relationships/image" Target="../media/image84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79" Type="http://schemas.openxmlformats.org/officeDocument/2006/relationships/image" Target="../media/image579.jpeg"/><Relationship Id="rId786" Type="http://schemas.openxmlformats.org/officeDocument/2006/relationships/image" Target="../media/image786.jpeg"/><Relationship Id="rId341" Type="http://schemas.openxmlformats.org/officeDocument/2006/relationships/image" Target="../media/image341.jpeg"/><Relationship Id="rId439" Type="http://schemas.openxmlformats.org/officeDocument/2006/relationships/image" Target="../media/image439.jpeg"/><Relationship Id="rId646" Type="http://schemas.openxmlformats.org/officeDocument/2006/relationships/image" Target="../media/image646.jpeg"/><Relationship Id="rId201" Type="http://schemas.openxmlformats.org/officeDocument/2006/relationships/image" Target="../media/image201.jpeg"/><Relationship Id="rId285" Type="http://schemas.openxmlformats.org/officeDocument/2006/relationships/image" Target="../media/image285.jpeg"/><Relationship Id="rId506" Type="http://schemas.openxmlformats.org/officeDocument/2006/relationships/image" Target="../media/image506.jpeg"/><Relationship Id="rId853" Type="http://schemas.openxmlformats.org/officeDocument/2006/relationships/image" Target="../media/image853.jpeg"/><Relationship Id="rId492" Type="http://schemas.openxmlformats.org/officeDocument/2006/relationships/image" Target="../media/image492.jpeg"/><Relationship Id="rId713" Type="http://schemas.openxmlformats.org/officeDocument/2006/relationships/image" Target="../media/image713.jpeg"/><Relationship Id="rId797" Type="http://schemas.openxmlformats.org/officeDocument/2006/relationships/image" Target="../media/image797.jpeg"/><Relationship Id="rId920" Type="http://schemas.openxmlformats.org/officeDocument/2006/relationships/image" Target="../media/image920.jpeg"/><Relationship Id="rId145" Type="http://schemas.openxmlformats.org/officeDocument/2006/relationships/image" Target="../media/image145.jpeg"/><Relationship Id="rId352" Type="http://schemas.openxmlformats.org/officeDocument/2006/relationships/image" Target="../media/image352.jpeg"/><Relationship Id="rId212" Type="http://schemas.openxmlformats.org/officeDocument/2006/relationships/image" Target="../media/image212.jpeg"/><Relationship Id="rId657" Type="http://schemas.openxmlformats.org/officeDocument/2006/relationships/image" Target="../media/image657.jpeg"/><Relationship Id="rId864" Type="http://schemas.openxmlformats.org/officeDocument/2006/relationships/image" Target="../media/image864.jpeg"/><Relationship Id="rId296" Type="http://schemas.openxmlformats.org/officeDocument/2006/relationships/image" Target="../media/image296.jpeg"/><Relationship Id="rId517" Type="http://schemas.openxmlformats.org/officeDocument/2006/relationships/image" Target="../media/image517.jpeg"/><Relationship Id="rId724" Type="http://schemas.openxmlformats.org/officeDocument/2006/relationships/image" Target="../media/image724.jpeg"/><Relationship Id="rId931" Type="http://schemas.openxmlformats.org/officeDocument/2006/relationships/image" Target="../media/image931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363" Type="http://schemas.openxmlformats.org/officeDocument/2006/relationships/image" Target="../media/image363.jpeg"/><Relationship Id="rId570" Type="http://schemas.openxmlformats.org/officeDocument/2006/relationships/image" Target="../media/image570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875" Type="http://schemas.openxmlformats.org/officeDocument/2006/relationships/image" Target="../media/image875.jpeg"/><Relationship Id="rId18" Type="http://schemas.openxmlformats.org/officeDocument/2006/relationships/image" Target="../media/image18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942" Type="http://schemas.openxmlformats.org/officeDocument/2006/relationships/image" Target="../media/image942.jpeg"/><Relationship Id="rId167" Type="http://schemas.openxmlformats.org/officeDocument/2006/relationships/image" Target="../media/image167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79" Type="http://schemas.openxmlformats.org/officeDocument/2006/relationships/image" Target="../media/image679.jpeg"/><Relationship Id="rId802" Type="http://schemas.openxmlformats.org/officeDocument/2006/relationships/image" Target="../media/image802.jpeg"/><Relationship Id="rId886" Type="http://schemas.openxmlformats.org/officeDocument/2006/relationships/image" Target="../media/image886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41" Type="http://schemas.openxmlformats.org/officeDocument/2006/relationships/image" Target="../media/image441.jpeg"/><Relationship Id="rId539" Type="http://schemas.openxmlformats.org/officeDocument/2006/relationships/image" Target="../media/image539.jpeg"/><Relationship Id="rId746" Type="http://schemas.openxmlformats.org/officeDocument/2006/relationships/image" Target="../media/image74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953" Type="http://schemas.openxmlformats.org/officeDocument/2006/relationships/image" Target="../media/image953.jpeg"/><Relationship Id="rId82" Type="http://schemas.openxmlformats.org/officeDocument/2006/relationships/image" Target="../media/image82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813" Type="http://schemas.openxmlformats.org/officeDocument/2006/relationships/image" Target="../media/image813.jpeg"/><Relationship Id="rId245" Type="http://schemas.openxmlformats.org/officeDocument/2006/relationships/image" Target="../media/image245.jpeg"/><Relationship Id="rId452" Type="http://schemas.openxmlformats.org/officeDocument/2006/relationships/image" Target="../media/image452.jpeg"/><Relationship Id="rId897" Type="http://schemas.openxmlformats.org/officeDocument/2006/relationships/image" Target="../media/image897.jpeg"/><Relationship Id="rId105" Type="http://schemas.openxmlformats.org/officeDocument/2006/relationships/image" Target="../media/image105.jpeg"/><Relationship Id="rId312" Type="http://schemas.openxmlformats.org/officeDocument/2006/relationships/image" Target="../media/image312.jpeg"/><Relationship Id="rId757" Type="http://schemas.openxmlformats.org/officeDocument/2006/relationships/image" Target="../media/image757.jpeg"/><Relationship Id="rId964" Type="http://schemas.openxmlformats.org/officeDocument/2006/relationships/image" Target="../media/image964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617" Type="http://schemas.openxmlformats.org/officeDocument/2006/relationships/image" Target="../media/image617.jpeg"/><Relationship Id="rId824" Type="http://schemas.openxmlformats.org/officeDocument/2006/relationships/image" Target="../media/image824.jpeg"/><Relationship Id="rId256" Type="http://schemas.openxmlformats.org/officeDocument/2006/relationships/image" Target="../media/image256.jpeg"/><Relationship Id="rId463" Type="http://schemas.openxmlformats.org/officeDocument/2006/relationships/image" Target="../media/image463.jpeg"/><Relationship Id="rId670" Type="http://schemas.openxmlformats.org/officeDocument/2006/relationships/image" Target="../media/image670.jpeg"/><Relationship Id="rId116" Type="http://schemas.openxmlformats.org/officeDocument/2006/relationships/image" Target="../media/image116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68" Type="http://schemas.openxmlformats.org/officeDocument/2006/relationships/image" Target="../media/image768.jpeg"/><Relationship Id="rId975" Type="http://schemas.openxmlformats.org/officeDocument/2006/relationships/image" Target="../media/image975.jpeg"/><Relationship Id="rId20" Type="http://schemas.openxmlformats.org/officeDocument/2006/relationships/image" Target="../media/image20.jpeg"/><Relationship Id="rId628" Type="http://schemas.openxmlformats.org/officeDocument/2006/relationships/image" Target="../media/image628.jpeg"/><Relationship Id="rId835" Type="http://schemas.openxmlformats.org/officeDocument/2006/relationships/image" Target="../media/image835.jpeg"/><Relationship Id="rId267" Type="http://schemas.openxmlformats.org/officeDocument/2006/relationships/image" Target="../media/image267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79" Type="http://schemas.openxmlformats.org/officeDocument/2006/relationships/image" Target="../media/image779.jpeg"/><Relationship Id="rId902" Type="http://schemas.openxmlformats.org/officeDocument/2006/relationships/image" Target="../media/image902.jpeg"/><Relationship Id="rId986" Type="http://schemas.openxmlformats.org/officeDocument/2006/relationships/image" Target="../media/image986.jpeg"/><Relationship Id="rId31" Type="http://schemas.openxmlformats.org/officeDocument/2006/relationships/image" Target="../media/image31.jpeg"/><Relationship Id="rId334" Type="http://schemas.openxmlformats.org/officeDocument/2006/relationships/image" Target="../media/image334.jpeg"/><Relationship Id="rId541" Type="http://schemas.openxmlformats.org/officeDocument/2006/relationships/image" Target="../media/image541.jpeg"/><Relationship Id="rId639" Type="http://schemas.openxmlformats.org/officeDocument/2006/relationships/image" Target="../media/image639.jpeg"/><Relationship Id="rId180" Type="http://schemas.openxmlformats.org/officeDocument/2006/relationships/image" Target="../media/image180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846" Type="http://schemas.openxmlformats.org/officeDocument/2006/relationships/image" Target="../media/image846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913" Type="http://schemas.openxmlformats.org/officeDocument/2006/relationships/image" Target="../media/image913.jpeg"/><Relationship Id="rId42" Type="http://schemas.openxmlformats.org/officeDocument/2006/relationships/image" Target="../media/image42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552" Type="http://schemas.openxmlformats.org/officeDocument/2006/relationships/image" Target="../media/image552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412" Type="http://schemas.openxmlformats.org/officeDocument/2006/relationships/image" Target="../media/image412.jpeg"/><Relationship Id="rId857" Type="http://schemas.openxmlformats.org/officeDocument/2006/relationships/image" Target="../media/image857.jpeg"/><Relationship Id="rId289" Type="http://schemas.openxmlformats.org/officeDocument/2006/relationships/image" Target="../media/image289.jpeg"/><Relationship Id="rId496" Type="http://schemas.openxmlformats.org/officeDocument/2006/relationships/image" Target="../media/image496.jpeg"/><Relationship Id="rId717" Type="http://schemas.openxmlformats.org/officeDocument/2006/relationships/image" Target="../media/image717.jpeg"/><Relationship Id="rId924" Type="http://schemas.openxmlformats.org/officeDocument/2006/relationships/image" Target="../media/image924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56" Type="http://schemas.openxmlformats.org/officeDocument/2006/relationships/image" Target="../media/image356.jpeg"/><Relationship Id="rId563" Type="http://schemas.openxmlformats.org/officeDocument/2006/relationships/image" Target="../media/image563.jpeg"/><Relationship Id="rId770" Type="http://schemas.openxmlformats.org/officeDocument/2006/relationships/image" Target="../media/image77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868" Type="http://schemas.openxmlformats.org/officeDocument/2006/relationships/image" Target="../media/image868.jpeg"/><Relationship Id="rId630" Type="http://schemas.openxmlformats.org/officeDocument/2006/relationships/image" Target="../media/image630.jpeg"/><Relationship Id="rId728" Type="http://schemas.openxmlformats.org/officeDocument/2006/relationships/image" Target="../media/image728.jpeg"/><Relationship Id="rId935" Type="http://schemas.openxmlformats.org/officeDocument/2006/relationships/image" Target="../media/image935.jpeg"/><Relationship Id="rId64" Type="http://schemas.openxmlformats.org/officeDocument/2006/relationships/image" Target="../media/image64.jpeg"/><Relationship Id="rId367" Type="http://schemas.openxmlformats.org/officeDocument/2006/relationships/image" Target="../media/image367.jpeg"/><Relationship Id="rId574" Type="http://schemas.openxmlformats.org/officeDocument/2006/relationships/image" Target="../media/image574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879" Type="http://schemas.openxmlformats.org/officeDocument/2006/relationships/image" Target="../media/image879.jpeg"/><Relationship Id="rId434" Type="http://schemas.openxmlformats.org/officeDocument/2006/relationships/image" Target="../media/image434.jpeg"/><Relationship Id="rId641" Type="http://schemas.openxmlformats.org/officeDocument/2006/relationships/image" Target="../media/image641.jpeg"/><Relationship Id="rId739" Type="http://schemas.openxmlformats.org/officeDocument/2006/relationships/image" Target="../media/image739.jpeg"/><Relationship Id="rId280" Type="http://schemas.openxmlformats.org/officeDocument/2006/relationships/image" Target="../media/image280.jpeg"/><Relationship Id="rId501" Type="http://schemas.openxmlformats.org/officeDocument/2006/relationships/image" Target="../media/image501.jpeg"/><Relationship Id="rId946" Type="http://schemas.openxmlformats.org/officeDocument/2006/relationships/image" Target="../media/image94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378" Type="http://schemas.openxmlformats.org/officeDocument/2006/relationships/image" Target="../media/image378.jpeg"/><Relationship Id="rId585" Type="http://schemas.openxmlformats.org/officeDocument/2006/relationships/image" Target="../media/image585.jpeg"/><Relationship Id="rId792" Type="http://schemas.openxmlformats.org/officeDocument/2006/relationships/image" Target="../media/image792.jpeg"/><Relationship Id="rId806" Type="http://schemas.openxmlformats.org/officeDocument/2006/relationships/image" Target="../media/image806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652" Type="http://schemas.openxmlformats.org/officeDocument/2006/relationships/image" Target="../media/image652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512" Type="http://schemas.openxmlformats.org/officeDocument/2006/relationships/image" Target="../media/image512.jpeg"/><Relationship Id="rId957" Type="http://schemas.openxmlformats.org/officeDocument/2006/relationships/image" Target="../media/image957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96" Type="http://schemas.openxmlformats.org/officeDocument/2006/relationships/image" Target="../media/image596.jpeg"/><Relationship Id="rId817" Type="http://schemas.openxmlformats.org/officeDocument/2006/relationships/image" Target="../media/image817.jpeg"/><Relationship Id="rId249" Type="http://schemas.openxmlformats.org/officeDocument/2006/relationships/image" Target="../media/image249.jpeg"/><Relationship Id="rId456" Type="http://schemas.openxmlformats.org/officeDocument/2006/relationships/image" Target="../media/image456.jpeg"/><Relationship Id="rId663" Type="http://schemas.openxmlformats.org/officeDocument/2006/relationships/image" Target="../media/image663.jpeg"/><Relationship Id="rId870" Type="http://schemas.openxmlformats.org/officeDocument/2006/relationships/image" Target="../media/image870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968" Type="http://schemas.openxmlformats.org/officeDocument/2006/relationships/image" Target="../media/image968.jpeg"/><Relationship Id="rId97" Type="http://schemas.openxmlformats.org/officeDocument/2006/relationships/image" Target="../media/image97.jpeg"/><Relationship Id="rId730" Type="http://schemas.openxmlformats.org/officeDocument/2006/relationships/image" Target="../media/image730.jpeg"/><Relationship Id="rId828" Type="http://schemas.openxmlformats.org/officeDocument/2006/relationships/image" Target="../media/image828.jpeg"/><Relationship Id="rId162" Type="http://schemas.openxmlformats.org/officeDocument/2006/relationships/image" Target="../media/image162.jpeg"/><Relationship Id="rId467" Type="http://schemas.openxmlformats.org/officeDocument/2006/relationships/image" Target="../media/image467.jpeg"/><Relationship Id="rId674" Type="http://schemas.openxmlformats.org/officeDocument/2006/relationships/image" Target="../media/image674.jpeg"/><Relationship Id="rId881" Type="http://schemas.openxmlformats.org/officeDocument/2006/relationships/image" Target="../media/image881.jpeg"/><Relationship Id="rId979" Type="http://schemas.openxmlformats.org/officeDocument/2006/relationships/image" Target="../media/image979.jpeg"/><Relationship Id="rId24" Type="http://schemas.openxmlformats.org/officeDocument/2006/relationships/image" Target="../media/image24.jpeg"/><Relationship Id="rId327" Type="http://schemas.openxmlformats.org/officeDocument/2006/relationships/image" Target="../media/image327.jpeg"/><Relationship Id="rId534" Type="http://schemas.openxmlformats.org/officeDocument/2006/relationships/image" Target="../media/image534.jpeg"/><Relationship Id="rId741" Type="http://schemas.openxmlformats.org/officeDocument/2006/relationships/image" Target="../media/image741.jpeg"/><Relationship Id="rId839" Type="http://schemas.openxmlformats.org/officeDocument/2006/relationships/image" Target="../media/image839.jpeg"/><Relationship Id="rId173" Type="http://schemas.openxmlformats.org/officeDocument/2006/relationships/image" Target="../media/image173.jpeg"/><Relationship Id="rId380" Type="http://schemas.openxmlformats.org/officeDocument/2006/relationships/image" Target="../media/image380.jpeg"/><Relationship Id="rId601" Type="http://schemas.openxmlformats.org/officeDocument/2006/relationships/image" Target="../media/image601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892" Type="http://schemas.openxmlformats.org/officeDocument/2006/relationships/image" Target="../media/image892.jpeg"/><Relationship Id="rId906" Type="http://schemas.openxmlformats.org/officeDocument/2006/relationships/image" Target="../media/image906.jpeg"/><Relationship Id="rId35" Type="http://schemas.openxmlformats.org/officeDocument/2006/relationships/image" Target="../media/image35.jpeg"/><Relationship Id="rId100" Type="http://schemas.openxmlformats.org/officeDocument/2006/relationships/image" Target="../media/image100.jpeg"/><Relationship Id="rId338" Type="http://schemas.openxmlformats.org/officeDocument/2006/relationships/image" Target="../media/image338.jpeg"/><Relationship Id="rId545" Type="http://schemas.openxmlformats.org/officeDocument/2006/relationships/image" Target="../media/image545.jpeg"/><Relationship Id="rId752" Type="http://schemas.openxmlformats.org/officeDocument/2006/relationships/image" Target="../media/image75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612" Type="http://schemas.openxmlformats.org/officeDocument/2006/relationships/image" Target="../media/image612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96" Type="http://schemas.openxmlformats.org/officeDocument/2006/relationships/image" Target="../media/image696.jpeg"/><Relationship Id="rId917" Type="http://schemas.openxmlformats.org/officeDocument/2006/relationships/image" Target="../media/image917.jpeg"/><Relationship Id="rId46" Type="http://schemas.openxmlformats.org/officeDocument/2006/relationships/image" Target="../media/image46.jpeg"/><Relationship Id="rId349" Type="http://schemas.openxmlformats.org/officeDocument/2006/relationships/image" Target="../media/image349.jpeg"/><Relationship Id="rId556" Type="http://schemas.openxmlformats.org/officeDocument/2006/relationships/image" Target="../media/image556.jpeg"/><Relationship Id="rId763" Type="http://schemas.openxmlformats.org/officeDocument/2006/relationships/image" Target="../media/image763.jpeg"/><Relationship Id="rId111" Type="http://schemas.openxmlformats.org/officeDocument/2006/relationships/image" Target="../media/image111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416" Type="http://schemas.openxmlformats.org/officeDocument/2006/relationships/image" Target="../media/image416.jpeg"/><Relationship Id="rId970" Type="http://schemas.openxmlformats.org/officeDocument/2006/relationships/image" Target="../media/image970.jpeg"/><Relationship Id="rId623" Type="http://schemas.openxmlformats.org/officeDocument/2006/relationships/image" Target="../media/image623.jpeg"/><Relationship Id="rId830" Type="http://schemas.openxmlformats.org/officeDocument/2006/relationships/image" Target="../media/image830.jpeg"/><Relationship Id="rId928" Type="http://schemas.openxmlformats.org/officeDocument/2006/relationships/image" Target="../media/image928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567" Type="http://schemas.openxmlformats.org/officeDocument/2006/relationships/image" Target="../media/image567.jpeg"/><Relationship Id="rId122" Type="http://schemas.openxmlformats.org/officeDocument/2006/relationships/image" Target="../media/image122.jpeg"/><Relationship Id="rId774" Type="http://schemas.openxmlformats.org/officeDocument/2006/relationships/image" Target="../media/image774.jpeg"/><Relationship Id="rId981" Type="http://schemas.openxmlformats.org/officeDocument/2006/relationships/image" Target="../media/image981.jpeg"/><Relationship Id="rId427" Type="http://schemas.openxmlformats.org/officeDocument/2006/relationships/image" Target="../media/image427.jpeg"/><Relationship Id="rId634" Type="http://schemas.openxmlformats.org/officeDocument/2006/relationships/image" Target="../media/image634.jpeg"/><Relationship Id="rId841" Type="http://schemas.openxmlformats.org/officeDocument/2006/relationships/image" Target="../media/image841.jpeg"/><Relationship Id="rId273" Type="http://schemas.openxmlformats.org/officeDocument/2006/relationships/image" Target="../media/image273.jpeg"/><Relationship Id="rId480" Type="http://schemas.openxmlformats.org/officeDocument/2006/relationships/image" Target="../media/image480.jpeg"/><Relationship Id="rId701" Type="http://schemas.openxmlformats.org/officeDocument/2006/relationships/image" Target="../media/image701.jpeg"/><Relationship Id="rId939" Type="http://schemas.openxmlformats.org/officeDocument/2006/relationships/image" Target="../media/image939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85" Type="http://schemas.openxmlformats.org/officeDocument/2006/relationships/image" Target="../media/image785.jpeg"/><Relationship Id="rId200" Type="http://schemas.openxmlformats.org/officeDocument/2006/relationships/image" Target="../media/image200.jpeg"/><Relationship Id="rId438" Type="http://schemas.openxmlformats.org/officeDocument/2006/relationships/image" Target="../media/image438.jpeg"/><Relationship Id="rId645" Type="http://schemas.openxmlformats.org/officeDocument/2006/relationships/image" Target="../media/image645.jpeg"/><Relationship Id="rId852" Type="http://schemas.openxmlformats.org/officeDocument/2006/relationships/image" Target="../media/image85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79" Type="http://schemas.openxmlformats.org/officeDocument/2006/relationships/image" Target="../media/image79.jpeg"/><Relationship Id="rId144" Type="http://schemas.openxmlformats.org/officeDocument/2006/relationships/image" Target="../media/image144.jpeg"/><Relationship Id="rId589" Type="http://schemas.openxmlformats.org/officeDocument/2006/relationships/image" Target="../media/image589.jpeg"/><Relationship Id="rId796" Type="http://schemas.openxmlformats.org/officeDocument/2006/relationships/image" Target="../media/image796.jpeg"/><Relationship Id="rId351" Type="http://schemas.openxmlformats.org/officeDocument/2006/relationships/image" Target="../media/image351.jpeg"/><Relationship Id="rId449" Type="http://schemas.openxmlformats.org/officeDocument/2006/relationships/image" Target="../media/image449.jpeg"/><Relationship Id="rId656" Type="http://schemas.openxmlformats.org/officeDocument/2006/relationships/image" Target="../media/image656.jpeg"/><Relationship Id="rId863" Type="http://schemas.openxmlformats.org/officeDocument/2006/relationships/image" Target="../media/image863.jpeg"/><Relationship Id="rId211" Type="http://schemas.openxmlformats.org/officeDocument/2006/relationships/image" Target="../media/image211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516" Type="http://schemas.openxmlformats.org/officeDocument/2006/relationships/image" Target="../media/image516.jpeg"/><Relationship Id="rId723" Type="http://schemas.openxmlformats.org/officeDocument/2006/relationships/image" Target="../media/image723.jpeg"/><Relationship Id="rId930" Type="http://schemas.openxmlformats.org/officeDocument/2006/relationships/image" Target="../media/image930.jpeg"/><Relationship Id="rId155" Type="http://schemas.openxmlformats.org/officeDocument/2006/relationships/image" Target="../media/image155.jpeg"/><Relationship Id="rId362" Type="http://schemas.openxmlformats.org/officeDocument/2006/relationships/image" Target="../media/image362.jpeg"/><Relationship Id="rId222" Type="http://schemas.openxmlformats.org/officeDocument/2006/relationships/image" Target="../media/image222.jpeg"/><Relationship Id="rId667" Type="http://schemas.openxmlformats.org/officeDocument/2006/relationships/image" Target="../media/image667.jpeg"/><Relationship Id="rId874" Type="http://schemas.openxmlformats.org/officeDocument/2006/relationships/image" Target="../media/image874.jpeg"/><Relationship Id="rId17" Type="http://schemas.openxmlformats.org/officeDocument/2006/relationships/image" Target="../media/image17.jpeg"/><Relationship Id="rId527" Type="http://schemas.openxmlformats.org/officeDocument/2006/relationships/image" Target="../media/image527.jpeg"/><Relationship Id="rId734" Type="http://schemas.openxmlformats.org/officeDocument/2006/relationships/image" Target="../media/image734.jpeg"/><Relationship Id="rId941" Type="http://schemas.openxmlformats.org/officeDocument/2006/relationships/image" Target="../media/image941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73" Type="http://schemas.openxmlformats.org/officeDocument/2006/relationships/image" Target="../media/image373.jpeg"/><Relationship Id="rId580" Type="http://schemas.openxmlformats.org/officeDocument/2006/relationships/image" Target="../media/image580.jpeg"/><Relationship Id="rId801" Type="http://schemas.openxmlformats.org/officeDocument/2006/relationships/image" Target="../media/image801.jpeg"/><Relationship Id="rId1" Type="http://schemas.openxmlformats.org/officeDocument/2006/relationships/image" Target="../media/image1.pn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885" Type="http://schemas.openxmlformats.org/officeDocument/2006/relationships/image" Target="../media/image885.jpeg"/><Relationship Id="rId28" Type="http://schemas.openxmlformats.org/officeDocument/2006/relationships/image" Target="../media/image28.jpeg"/><Relationship Id="rId300" Type="http://schemas.openxmlformats.org/officeDocument/2006/relationships/image" Target="../media/image300.jpeg"/><Relationship Id="rId538" Type="http://schemas.openxmlformats.org/officeDocument/2006/relationships/image" Target="../media/image538.jpeg"/><Relationship Id="rId745" Type="http://schemas.openxmlformats.org/officeDocument/2006/relationships/image" Target="../media/image745.jpeg"/><Relationship Id="rId952" Type="http://schemas.openxmlformats.org/officeDocument/2006/relationships/image" Target="../media/image952.jpeg"/><Relationship Id="rId81" Type="http://schemas.openxmlformats.org/officeDocument/2006/relationships/image" Target="../media/image81.jpeg"/><Relationship Id="rId177" Type="http://schemas.openxmlformats.org/officeDocument/2006/relationships/image" Target="../media/image177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812" Type="http://schemas.openxmlformats.org/officeDocument/2006/relationships/image" Target="../media/image812.jpeg"/><Relationship Id="rId244" Type="http://schemas.openxmlformats.org/officeDocument/2006/relationships/image" Target="../media/image244.jpeg"/><Relationship Id="rId689" Type="http://schemas.openxmlformats.org/officeDocument/2006/relationships/image" Target="../media/image689.jpeg"/><Relationship Id="rId896" Type="http://schemas.openxmlformats.org/officeDocument/2006/relationships/image" Target="../media/image896.jpeg"/><Relationship Id="rId39" Type="http://schemas.openxmlformats.org/officeDocument/2006/relationships/image" Target="../media/image39.jpeg"/><Relationship Id="rId451" Type="http://schemas.openxmlformats.org/officeDocument/2006/relationships/image" Target="../media/image451.jpeg"/><Relationship Id="rId549" Type="http://schemas.openxmlformats.org/officeDocument/2006/relationships/image" Target="../media/image549.jpeg"/><Relationship Id="rId756" Type="http://schemas.openxmlformats.org/officeDocument/2006/relationships/image" Target="../media/image756.jpeg"/><Relationship Id="rId104" Type="http://schemas.openxmlformats.org/officeDocument/2006/relationships/image" Target="../media/image104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963" Type="http://schemas.openxmlformats.org/officeDocument/2006/relationships/image" Target="../media/image963.jpeg"/><Relationship Id="rId92" Type="http://schemas.openxmlformats.org/officeDocument/2006/relationships/image" Target="../media/image92.jpeg"/><Relationship Id="rId616" Type="http://schemas.openxmlformats.org/officeDocument/2006/relationships/image" Target="../media/image616.jpeg"/><Relationship Id="rId823" Type="http://schemas.openxmlformats.org/officeDocument/2006/relationships/image" Target="../media/image823.jpeg"/><Relationship Id="rId255" Type="http://schemas.openxmlformats.org/officeDocument/2006/relationships/image" Target="../media/image255.jpeg"/><Relationship Id="rId462" Type="http://schemas.openxmlformats.org/officeDocument/2006/relationships/image" Target="../media/image462.jpeg"/><Relationship Id="rId115" Type="http://schemas.openxmlformats.org/officeDocument/2006/relationships/image" Target="../media/image115.jpeg"/><Relationship Id="rId322" Type="http://schemas.openxmlformats.org/officeDocument/2006/relationships/image" Target="../media/image322.jpeg"/><Relationship Id="rId767" Type="http://schemas.openxmlformats.org/officeDocument/2006/relationships/image" Target="../media/image767.jpeg"/><Relationship Id="rId974" Type="http://schemas.openxmlformats.org/officeDocument/2006/relationships/image" Target="../media/image974.jpeg"/><Relationship Id="rId199" Type="http://schemas.openxmlformats.org/officeDocument/2006/relationships/image" Target="../media/image199.jpeg"/><Relationship Id="rId627" Type="http://schemas.openxmlformats.org/officeDocument/2006/relationships/image" Target="../media/image627.jpeg"/><Relationship Id="rId834" Type="http://schemas.openxmlformats.org/officeDocument/2006/relationships/image" Target="../media/image834.jpeg"/><Relationship Id="rId266" Type="http://schemas.openxmlformats.org/officeDocument/2006/relationships/image" Target="../media/image266.jpeg"/><Relationship Id="rId473" Type="http://schemas.openxmlformats.org/officeDocument/2006/relationships/image" Target="../media/image473.jpeg"/><Relationship Id="rId680" Type="http://schemas.openxmlformats.org/officeDocument/2006/relationships/image" Target="../media/image680.jpeg"/><Relationship Id="rId901" Type="http://schemas.openxmlformats.org/officeDocument/2006/relationships/image" Target="../media/image901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943" Type="http://schemas.openxmlformats.org/officeDocument/2006/relationships/image" Target="../media/image943.jpeg"/><Relationship Id="rId985" Type="http://schemas.openxmlformats.org/officeDocument/2006/relationships/image" Target="../media/image985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803" Type="http://schemas.openxmlformats.org/officeDocument/2006/relationships/image" Target="../media/image803.jpeg"/><Relationship Id="rId845" Type="http://schemas.openxmlformats.org/officeDocument/2006/relationships/image" Target="../media/image845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887" Type="http://schemas.openxmlformats.org/officeDocument/2006/relationships/image" Target="../media/image887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47" Type="http://schemas.openxmlformats.org/officeDocument/2006/relationships/image" Target="../media/image747.jpeg"/><Relationship Id="rId789" Type="http://schemas.openxmlformats.org/officeDocument/2006/relationships/image" Target="../media/image789.jpeg"/><Relationship Id="rId912" Type="http://schemas.openxmlformats.org/officeDocument/2006/relationships/image" Target="../media/image912.jpeg"/><Relationship Id="rId954" Type="http://schemas.openxmlformats.org/officeDocument/2006/relationships/image" Target="../media/image954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814" Type="http://schemas.openxmlformats.org/officeDocument/2006/relationships/image" Target="../media/image814.jpeg"/><Relationship Id="rId856" Type="http://schemas.openxmlformats.org/officeDocument/2006/relationships/image" Target="../media/image85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898" Type="http://schemas.openxmlformats.org/officeDocument/2006/relationships/image" Target="../media/image898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758" Type="http://schemas.openxmlformats.org/officeDocument/2006/relationships/image" Target="../media/image758.jpeg"/><Relationship Id="rId923" Type="http://schemas.openxmlformats.org/officeDocument/2006/relationships/image" Target="../media/image923.jpeg"/><Relationship Id="rId965" Type="http://schemas.openxmlformats.org/officeDocument/2006/relationships/image" Target="../media/image965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825" Type="http://schemas.openxmlformats.org/officeDocument/2006/relationships/image" Target="../media/image825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867" Type="http://schemas.openxmlformats.org/officeDocument/2006/relationships/image" Target="../media/image867.jpe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934" Type="http://schemas.openxmlformats.org/officeDocument/2006/relationships/image" Target="../media/image934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878" Type="http://schemas.openxmlformats.org/officeDocument/2006/relationships/image" Target="../media/image878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945" Type="http://schemas.openxmlformats.org/officeDocument/2006/relationships/image" Target="../media/image945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805" Type="http://schemas.openxmlformats.org/officeDocument/2006/relationships/image" Target="../media/image805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791" Type="http://schemas.openxmlformats.org/officeDocument/2006/relationships/image" Target="../media/image791.jpeg"/><Relationship Id="rId889" Type="http://schemas.openxmlformats.org/officeDocument/2006/relationships/image" Target="../media/image889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956" Type="http://schemas.openxmlformats.org/officeDocument/2006/relationships/image" Target="../media/image956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816" Type="http://schemas.openxmlformats.org/officeDocument/2006/relationships/image" Target="../media/image816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662" Type="http://schemas.openxmlformats.org/officeDocument/2006/relationships/image" Target="../media/image662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jpeg"/><Relationship Id="rId967" Type="http://schemas.openxmlformats.org/officeDocument/2006/relationships/image" Target="../media/image967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399" Type="http://schemas.openxmlformats.org/officeDocument/2006/relationships/image" Target="../media/image399.jpeg"/><Relationship Id="rId827" Type="http://schemas.openxmlformats.org/officeDocument/2006/relationships/image" Target="../media/image827.jpe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673" Type="http://schemas.openxmlformats.org/officeDocument/2006/relationships/image" Target="../media/image673.jpeg"/><Relationship Id="rId880" Type="http://schemas.openxmlformats.org/officeDocument/2006/relationships/image" Target="../media/image880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978" Type="http://schemas.openxmlformats.org/officeDocument/2006/relationships/image" Target="../media/image978.jpeg"/><Relationship Id="rId740" Type="http://schemas.openxmlformats.org/officeDocument/2006/relationships/image" Target="../media/image740.jpeg"/><Relationship Id="rId838" Type="http://schemas.openxmlformats.org/officeDocument/2006/relationships/image" Target="../media/image838.jpeg"/><Relationship Id="rId172" Type="http://schemas.openxmlformats.org/officeDocument/2006/relationships/image" Target="../media/image172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84" Type="http://schemas.openxmlformats.org/officeDocument/2006/relationships/image" Target="../media/image684.jpeg"/><Relationship Id="rId337" Type="http://schemas.openxmlformats.org/officeDocument/2006/relationships/image" Target="../media/image337.jpeg"/><Relationship Id="rId891" Type="http://schemas.openxmlformats.org/officeDocument/2006/relationships/image" Target="../media/image891.jpeg"/><Relationship Id="rId905" Type="http://schemas.openxmlformats.org/officeDocument/2006/relationships/image" Target="../media/image905.jpeg"/><Relationship Id="rId34" Type="http://schemas.openxmlformats.org/officeDocument/2006/relationships/image" Target="../media/image34.jpeg"/><Relationship Id="rId544" Type="http://schemas.openxmlformats.org/officeDocument/2006/relationships/image" Target="../media/image544.jpeg"/><Relationship Id="rId751" Type="http://schemas.openxmlformats.org/officeDocument/2006/relationships/image" Target="../media/image751.jpeg"/><Relationship Id="rId849" Type="http://schemas.openxmlformats.org/officeDocument/2006/relationships/image" Target="../media/image849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611" Type="http://schemas.openxmlformats.org/officeDocument/2006/relationships/image" Target="../media/image611.jpeg"/><Relationship Id="rId250" Type="http://schemas.openxmlformats.org/officeDocument/2006/relationships/image" Target="../media/image250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916" Type="http://schemas.openxmlformats.org/officeDocument/2006/relationships/image" Target="../media/image916.jpeg"/><Relationship Id="rId45" Type="http://schemas.openxmlformats.org/officeDocument/2006/relationships/image" Target="../media/image45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jpeg"/><Relationship Id="rId762" Type="http://schemas.openxmlformats.org/officeDocument/2006/relationships/image" Target="../media/image76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927" Type="http://schemas.openxmlformats.org/officeDocument/2006/relationships/image" Target="../media/image927.jpeg"/><Relationship Id="rId56" Type="http://schemas.openxmlformats.org/officeDocument/2006/relationships/image" Target="../media/image56.jpeg"/><Relationship Id="rId359" Type="http://schemas.openxmlformats.org/officeDocument/2006/relationships/image" Target="../media/image359.jpeg"/><Relationship Id="rId566" Type="http://schemas.openxmlformats.org/officeDocument/2006/relationships/image" Target="../media/image566.jpeg"/><Relationship Id="rId773" Type="http://schemas.openxmlformats.org/officeDocument/2006/relationships/image" Target="../media/image773.jpeg"/><Relationship Id="rId121" Type="http://schemas.openxmlformats.org/officeDocument/2006/relationships/image" Target="../media/image121.jpeg"/><Relationship Id="rId219" Type="http://schemas.openxmlformats.org/officeDocument/2006/relationships/image" Target="../media/image219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980" Type="http://schemas.openxmlformats.org/officeDocument/2006/relationships/image" Target="../media/image980.jpeg"/><Relationship Id="rId840" Type="http://schemas.openxmlformats.org/officeDocument/2006/relationships/image" Target="../media/image840.jpeg"/><Relationship Id="rId938" Type="http://schemas.openxmlformats.org/officeDocument/2006/relationships/image" Target="../media/image938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132" Type="http://schemas.openxmlformats.org/officeDocument/2006/relationships/image" Target="../media/image132.jpeg"/><Relationship Id="rId784" Type="http://schemas.openxmlformats.org/officeDocument/2006/relationships/image" Target="../media/image784.jpeg"/><Relationship Id="rId437" Type="http://schemas.openxmlformats.org/officeDocument/2006/relationships/image" Target="../media/image437.jpeg"/><Relationship Id="rId644" Type="http://schemas.openxmlformats.org/officeDocument/2006/relationships/image" Target="../media/image644.jpeg"/><Relationship Id="rId851" Type="http://schemas.openxmlformats.org/officeDocument/2006/relationships/image" Target="../media/image851.jpeg"/><Relationship Id="rId283" Type="http://schemas.openxmlformats.org/officeDocument/2006/relationships/image" Target="../media/image283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711" Type="http://schemas.openxmlformats.org/officeDocument/2006/relationships/image" Target="../media/image711.jpeg"/><Relationship Id="rId949" Type="http://schemas.openxmlformats.org/officeDocument/2006/relationships/image" Target="../media/image949.jpeg"/><Relationship Id="rId78" Type="http://schemas.openxmlformats.org/officeDocument/2006/relationships/image" Target="../media/image78.jpeg"/><Relationship Id="rId143" Type="http://schemas.openxmlformats.org/officeDocument/2006/relationships/image" Target="../media/image143.jpeg"/><Relationship Id="rId350" Type="http://schemas.openxmlformats.org/officeDocument/2006/relationships/image" Target="../media/image350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jpeg"/><Relationship Id="rId809" Type="http://schemas.openxmlformats.org/officeDocument/2006/relationships/image" Target="../media/image809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448" Type="http://schemas.openxmlformats.org/officeDocument/2006/relationships/image" Target="../media/image448.jpeg"/><Relationship Id="rId655" Type="http://schemas.openxmlformats.org/officeDocument/2006/relationships/image" Target="../media/image655.jpeg"/><Relationship Id="rId862" Type="http://schemas.openxmlformats.org/officeDocument/2006/relationships/image" Target="../media/image86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89" Type="http://schemas.openxmlformats.org/officeDocument/2006/relationships/image" Target="../media/image89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99" Type="http://schemas.openxmlformats.org/officeDocument/2006/relationships/image" Target="../media/image599.jpeg"/><Relationship Id="rId459" Type="http://schemas.openxmlformats.org/officeDocument/2006/relationships/image" Target="../media/image459.jpeg"/><Relationship Id="rId666" Type="http://schemas.openxmlformats.org/officeDocument/2006/relationships/image" Target="../media/image666.jpeg"/><Relationship Id="rId873" Type="http://schemas.openxmlformats.org/officeDocument/2006/relationships/image" Target="../media/image873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19" Type="http://schemas.openxmlformats.org/officeDocument/2006/relationships/image" Target="../media/image319.jpeg"/><Relationship Id="rId526" Type="http://schemas.openxmlformats.org/officeDocument/2006/relationships/image" Target="../media/image526.jpeg"/><Relationship Id="rId733" Type="http://schemas.openxmlformats.org/officeDocument/2006/relationships/image" Target="../media/image733.jpeg"/><Relationship Id="rId940" Type="http://schemas.openxmlformats.org/officeDocument/2006/relationships/image" Target="../media/image940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jpeg"/><Relationship Id="rId232" Type="http://schemas.openxmlformats.org/officeDocument/2006/relationships/image" Target="../media/image232.jpeg"/><Relationship Id="rId884" Type="http://schemas.openxmlformats.org/officeDocument/2006/relationships/image" Target="../media/image884.jpeg"/><Relationship Id="rId27" Type="http://schemas.openxmlformats.org/officeDocument/2006/relationships/image" Target="../media/image27.jpeg"/><Relationship Id="rId537" Type="http://schemas.openxmlformats.org/officeDocument/2006/relationships/image" Target="../media/image537.jpeg"/><Relationship Id="rId744" Type="http://schemas.openxmlformats.org/officeDocument/2006/relationships/image" Target="../media/image744.jpeg"/><Relationship Id="rId951" Type="http://schemas.openxmlformats.org/officeDocument/2006/relationships/image" Target="../media/image951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83" Type="http://schemas.openxmlformats.org/officeDocument/2006/relationships/image" Target="../media/image383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811" Type="http://schemas.openxmlformats.org/officeDocument/2006/relationships/image" Target="../media/image811.jpeg"/><Relationship Id="rId243" Type="http://schemas.openxmlformats.org/officeDocument/2006/relationships/image" Target="../media/image243.jpeg"/><Relationship Id="rId450" Type="http://schemas.openxmlformats.org/officeDocument/2006/relationships/image" Target="../media/image450.jpeg"/><Relationship Id="rId688" Type="http://schemas.openxmlformats.org/officeDocument/2006/relationships/image" Target="../media/image688.jpeg"/><Relationship Id="rId895" Type="http://schemas.openxmlformats.org/officeDocument/2006/relationships/image" Target="../media/image895.jpeg"/><Relationship Id="rId909" Type="http://schemas.openxmlformats.org/officeDocument/2006/relationships/image" Target="../media/image909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548" Type="http://schemas.openxmlformats.org/officeDocument/2006/relationships/image" Target="../media/image548.jpeg"/><Relationship Id="rId755" Type="http://schemas.openxmlformats.org/officeDocument/2006/relationships/image" Target="../media/image755.jpeg"/><Relationship Id="rId962" Type="http://schemas.openxmlformats.org/officeDocument/2006/relationships/image" Target="../media/image962.jpeg"/><Relationship Id="rId91" Type="http://schemas.openxmlformats.org/officeDocument/2006/relationships/image" Target="../media/image91.jpeg"/><Relationship Id="rId187" Type="http://schemas.openxmlformats.org/officeDocument/2006/relationships/image" Target="../media/image187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822" Type="http://schemas.openxmlformats.org/officeDocument/2006/relationships/image" Target="../media/image822.jpeg"/><Relationship Id="rId254" Type="http://schemas.openxmlformats.org/officeDocument/2006/relationships/image" Target="../media/image254.jpeg"/><Relationship Id="rId699" Type="http://schemas.openxmlformats.org/officeDocument/2006/relationships/image" Target="../media/image699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461" Type="http://schemas.openxmlformats.org/officeDocument/2006/relationships/image" Target="../media/image461.jpeg"/><Relationship Id="rId559" Type="http://schemas.openxmlformats.org/officeDocument/2006/relationships/image" Target="../media/image559.jpeg"/><Relationship Id="rId766" Type="http://schemas.openxmlformats.org/officeDocument/2006/relationships/image" Target="../media/image76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419" Type="http://schemas.openxmlformats.org/officeDocument/2006/relationships/image" Target="../media/image419.jpeg"/><Relationship Id="rId626" Type="http://schemas.openxmlformats.org/officeDocument/2006/relationships/image" Target="../media/image626.jpeg"/><Relationship Id="rId973" Type="http://schemas.openxmlformats.org/officeDocument/2006/relationships/image" Target="../media/image973.jpeg"/><Relationship Id="rId833" Type="http://schemas.openxmlformats.org/officeDocument/2006/relationships/image" Target="../media/image833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900" Type="http://schemas.openxmlformats.org/officeDocument/2006/relationships/image" Target="../media/image900.jpeg"/><Relationship Id="rId125" Type="http://schemas.openxmlformats.org/officeDocument/2006/relationships/image" Target="../media/image125.jpeg"/><Relationship Id="rId332" Type="http://schemas.openxmlformats.org/officeDocument/2006/relationships/image" Target="../media/image332.jpeg"/><Relationship Id="rId777" Type="http://schemas.openxmlformats.org/officeDocument/2006/relationships/image" Target="../media/image777.jpeg"/><Relationship Id="rId984" Type="http://schemas.openxmlformats.org/officeDocument/2006/relationships/image" Target="../media/image984.jpeg"/><Relationship Id="rId637" Type="http://schemas.openxmlformats.org/officeDocument/2006/relationships/image" Target="../media/image637.jpeg"/><Relationship Id="rId844" Type="http://schemas.openxmlformats.org/officeDocument/2006/relationships/image" Target="../media/image844.jpeg"/><Relationship Id="rId276" Type="http://schemas.openxmlformats.org/officeDocument/2006/relationships/image" Target="../media/image276.jpeg"/><Relationship Id="rId483" Type="http://schemas.openxmlformats.org/officeDocument/2006/relationships/image" Target="../media/image483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911" Type="http://schemas.openxmlformats.org/officeDocument/2006/relationships/image" Target="../media/image911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203" Type="http://schemas.openxmlformats.org/officeDocument/2006/relationships/image" Target="../media/image203.jpeg"/><Relationship Id="rId648" Type="http://schemas.openxmlformats.org/officeDocument/2006/relationships/image" Target="../media/image648.jpeg"/><Relationship Id="rId855" Type="http://schemas.openxmlformats.org/officeDocument/2006/relationships/image" Target="../media/image85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922" Type="http://schemas.openxmlformats.org/officeDocument/2006/relationships/image" Target="../media/image922.jpeg"/><Relationship Id="rId147" Type="http://schemas.openxmlformats.org/officeDocument/2006/relationships/image" Target="../media/image147.jpeg"/><Relationship Id="rId354" Type="http://schemas.openxmlformats.org/officeDocument/2006/relationships/image" Target="../media/image354.jpeg"/><Relationship Id="rId799" Type="http://schemas.openxmlformats.org/officeDocument/2006/relationships/image" Target="../media/image799.jpeg"/><Relationship Id="rId51" Type="http://schemas.openxmlformats.org/officeDocument/2006/relationships/image" Target="../media/image51.jpeg"/><Relationship Id="rId561" Type="http://schemas.openxmlformats.org/officeDocument/2006/relationships/image" Target="../media/image561.jpeg"/><Relationship Id="rId659" Type="http://schemas.openxmlformats.org/officeDocument/2006/relationships/image" Target="../media/image659.jpeg"/><Relationship Id="rId866" Type="http://schemas.openxmlformats.org/officeDocument/2006/relationships/image" Target="../media/image866.jpeg"/><Relationship Id="rId214" Type="http://schemas.openxmlformats.org/officeDocument/2006/relationships/image" Target="../media/image214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519" Type="http://schemas.openxmlformats.org/officeDocument/2006/relationships/image" Target="../media/image519.jpeg"/><Relationship Id="rId158" Type="http://schemas.openxmlformats.org/officeDocument/2006/relationships/image" Target="../media/image158.jpeg"/><Relationship Id="rId726" Type="http://schemas.openxmlformats.org/officeDocument/2006/relationships/image" Target="../media/image726.png"/><Relationship Id="rId933" Type="http://schemas.openxmlformats.org/officeDocument/2006/relationships/image" Target="../media/image933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225" Type="http://schemas.openxmlformats.org/officeDocument/2006/relationships/image" Target="../media/image225.jpeg"/><Relationship Id="rId432" Type="http://schemas.openxmlformats.org/officeDocument/2006/relationships/image" Target="../media/image432.jpeg"/><Relationship Id="rId877" Type="http://schemas.openxmlformats.org/officeDocument/2006/relationships/image" Target="../media/image877.jpeg"/><Relationship Id="rId737" Type="http://schemas.openxmlformats.org/officeDocument/2006/relationships/image" Target="../media/image737.jpeg"/><Relationship Id="rId944" Type="http://schemas.openxmlformats.org/officeDocument/2006/relationships/image" Target="../media/image944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76" Type="http://schemas.openxmlformats.org/officeDocument/2006/relationships/image" Target="../media/image376.jpeg"/><Relationship Id="rId583" Type="http://schemas.openxmlformats.org/officeDocument/2006/relationships/image" Target="../media/image583.jpeg"/><Relationship Id="rId790" Type="http://schemas.openxmlformats.org/officeDocument/2006/relationships/image" Target="../media/image790.jpeg"/><Relationship Id="rId804" Type="http://schemas.openxmlformats.org/officeDocument/2006/relationships/image" Target="../media/image804.jpeg"/><Relationship Id="rId4" Type="http://schemas.openxmlformats.org/officeDocument/2006/relationships/image" Target="../media/image4.jpeg"/><Relationship Id="rId236" Type="http://schemas.openxmlformats.org/officeDocument/2006/relationships/image" Target="../media/image236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888" Type="http://schemas.openxmlformats.org/officeDocument/2006/relationships/image" Target="../media/image888.jpeg"/><Relationship Id="rId303" Type="http://schemas.openxmlformats.org/officeDocument/2006/relationships/image" Target="../media/image303.jpeg"/><Relationship Id="rId748" Type="http://schemas.openxmlformats.org/officeDocument/2006/relationships/image" Target="../media/image748.jpeg"/><Relationship Id="rId955" Type="http://schemas.openxmlformats.org/officeDocument/2006/relationships/image" Target="../media/image955.jpeg"/><Relationship Id="rId84" Type="http://schemas.openxmlformats.org/officeDocument/2006/relationships/image" Target="../media/image84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jpeg"/><Relationship Id="rId247" Type="http://schemas.openxmlformats.org/officeDocument/2006/relationships/image" Target="../media/image247.jpeg"/><Relationship Id="rId899" Type="http://schemas.openxmlformats.org/officeDocument/2006/relationships/image" Target="../media/image899.jpeg"/><Relationship Id="rId107" Type="http://schemas.openxmlformats.org/officeDocument/2006/relationships/image" Target="../media/image107.jpeg"/><Relationship Id="rId454" Type="http://schemas.openxmlformats.org/officeDocument/2006/relationships/image" Target="../media/image454.jpeg"/><Relationship Id="rId661" Type="http://schemas.openxmlformats.org/officeDocument/2006/relationships/image" Target="../media/image661.jpeg"/><Relationship Id="rId759" Type="http://schemas.openxmlformats.org/officeDocument/2006/relationships/image" Target="../media/image759.jpeg"/><Relationship Id="rId966" Type="http://schemas.openxmlformats.org/officeDocument/2006/relationships/image" Target="../media/image966.jpeg"/><Relationship Id="rId11" Type="http://schemas.openxmlformats.org/officeDocument/2006/relationships/image" Target="../media/image11.jpeg"/><Relationship Id="rId314" Type="http://schemas.openxmlformats.org/officeDocument/2006/relationships/image" Target="../media/image314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619" Type="http://schemas.openxmlformats.org/officeDocument/2006/relationships/image" Target="../media/image619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826" Type="http://schemas.openxmlformats.org/officeDocument/2006/relationships/image" Target="../media/image826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72" Type="http://schemas.openxmlformats.org/officeDocument/2006/relationships/image" Target="../media/image672.jpeg"/><Relationship Id="rId22" Type="http://schemas.openxmlformats.org/officeDocument/2006/relationships/image" Target="../media/image22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532" Type="http://schemas.openxmlformats.org/officeDocument/2006/relationships/image" Target="../media/image532.jpeg"/><Relationship Id="rId977" Type="http://schemas.openxmlformats.org/officeDocument/2006/relationships/image" Target="../media/image977.jpeg"/><Relationship Id="rId171" Type="http://schemas.openxmlformats.org/officeDocument/2006/relationships/image" Target="../media/image171.jpeg"/><Relationship Id="rId837" Type="http://schemas.openxmlformats.org/officeDocument/2006/relationships/image" Target="../media/image837.jpeg"/><Relationship Id="rId269" Type="http://schemas.openxmlformats.org/officeDocument/2006/relationships/image" Target="../media/image269.jpeg"/><Relationship Id="rId476" Type="http://schemas.openxmlformats.org/officeDocument/2006/relationships/image" Target="../media/image476.jpeg"/><Relationship Id="rId683" Type="http://schemas.openxmlformats.org/officeDocument/2006/relationships/image" Target="../media/image683.jpeg"/><Relationship Id="rId890" Type="http://schemas.openxmlformats.org/officeDocument/2006/relationships/image" Target="../media/image890.jpeg"/><Relationship Id="rId904" Type="http://schemas.openxmlformats.org/officeDocument/2006/relationships/image" Target="../media/image904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336" Type="http://schemas.openxmlformats.org/officeDocument/2006/relationships/image" Target="../media/image336.jpeg"/><Relationship Id="rId543" Type="http://schemas.openxmlformats.org/officeDocument/2006/relationships/image" Target="../media/image543.jpeg"/><Relationship Id="rId182" Type="http://schemas.openxmlformats.org/officeDocument/2006/relationships/image" Target="../media/image182.jpeg"/><Relationship Id="rId403" Type="http://schemas.openxmlformats.org/officeDocument/2006/relationships/image" Target="../media/image403.jpeg"/><Relationship Id="rId750" Type="http://schemas.openxmlformats.org/officeDocument/2006/relationships/image" Target="../media/image750.jpeg"/><Relationship Id="rId848" Type="http://schemas.openxmlformats.org/officeDocument/2006/relationships/image" Target="../media/image848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915" Type="http://schemas.openxmlformats.org/officeDocument/2006/relationships/image" Target="../media/image915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554" Type="http://schemas.openxmlformats.org/officeDocument/2006/relationships/image" Target="../media/image554.jpeg"/><Relationship Id="rId761" Type="http://schemas.openxmlformats.org/officeDocument/2006/relationships/image" Target="../media/image761.jpeg"/><Relationship Id="rId859" Type="http://schemas.openxmlformats.org/officeDocument/2006/relationships/image" Target="../media/image859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414" Type="http://schemas.openxmlformats.org/officeDocument/2006/relationships/image" Target="../media/image414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260" Type="http://schemas.openxmlformats.org/officeDocument/2006/relationships/image" Target="../media/image260.jpeg"/><Relationship Id="rId719" Type="http://schemas.openxmlformats.org/officeDocument/2006/relationships/image" Target="../media/image719.jpeg"/><Relationship Id="rId926" Type="http://schemas.openxmlformats.org/officeDocument/2006/relationships/image" Target="../media/image926.jpeg"/><Relationship Id="rId55" Type="http://schemas.openxmlformats.org/officeDocument/2006/relationships/image" Target="../media/image55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72" Type="http://schemas.openxmlformats.org/officeDocument/2006/relationships/image" Target="../media/image77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632" Type="http://schemas.openxmlformats.org/officeDocument/2006/relationships/image" Target="../media/image632.jpeg"/><Relationship Id="rId271" Type="http://schemas.openxmlformats.org/officeDocument/2006/relationships/image" Target="../media/image271.jpeg"/><Relationship Id="rId937" Type="http://schemas.openxmlformats.org/officeDocument/2006/relationships/image" Target="../media/image937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69" Type="http://schemas.openxmlformats.org/officeDocument/2006/relationships/image" Target="../media/image369.jpeg"/><Relationship Id="rId576" Type="http://schemas.openxmlformats.org/officeDocument/2006/relationships/image" Target="../media/image576.jpeg"/><Relationship Id="rId783" Type="http://schemas.openxmlformats.org/officeDocument/2006/relationships/image" Target="../media/image783.jpeg"/><Relationship Id="rId229" Type="http://schemas.openxmlformats.org/officeDocument/2006/relationships/image" Target="../media/image229.jpeg"/><Relationship Id="rId436" Type="http://schemas.openxmlformats.org/officeDocument/2006/relationships/image" Target="../media/image436.jpeg"/><Relationship Id="rId643" Type="http://schemas.openxmlformats.org/officeDocument/2006/relationships/image" Target="../media/image643.jpeg"/><Relationship Id="rId850" Type="http://schemas.openxmlformats.org/officeDocument/2006/relationships/image" Target="../media/image850.jpeg"/><Relationship Id="rId948" Type="http://schemas.openxmlformats.org/officeDocument/2006/relationships/image" Target="../media/image948.jpeg"/><Relationship Id="rId77" Type="http://schemas.openxmlformats.org/officeDocument/2006/relationships/image" Target="../media/image77.jpeg"/><Relationship Id="rId282" Type="http://schemas.openxmlformats.org/officeDocument/2006/relationships/image" Target="../media/image282.jpeg"/><Relationship Id="rId503" Type="http://schemas.openxmlformats.org/officeDocument/2006/relationships/image" Target="../media/image503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808" Type="http://schemas.openxmlformats.org/officeDocument/2006/relationships/image" Target="../media/image80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447" Type="http://schemas.openxmlformats.org/officeDocument/2006/relationships/image" Target="../media/image447.jpeg"/><Relationship Id="rId794" Type="http://schemas.openxmlformats.org/officeDocument/2006/relationships/image" Target="../media/image794.jpeg"/><Relationship Id="rId654" Type="http://schemas.openxmlformats.org/officeDocument/2006/relationships/image" Target="../media/image654.jpeg"/><Relationship Id="rId861" Type="http://schemas.openxmlformats.org/officeDocument/2006/relationships/image" Target="../media/image861.jpeg"/><Relationship Id="rId959" Type="http://schemas.openxmlformats.org/officeDocument/2006/relationships/image" Target="../media/image959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514" Type="http://schemas.openxmlformats.org/officeDocument/2006/relationships/image" Target="../media/image514.jpeg"/><Relationship Id="rId721" Type="http://schemas.openxmlformats.org/officeDocument/2006/relationships/image" Target="../media/image721.jpeg"/><Relationship Id="rId88" Type="http://schemas.openxmlformats.org/officeDocument/2006/relationships/image" Target="../media/image88.jpeg"/><Relationship Id="rId153" Type="http://schemas.openxmlformats.org/officeDocument/2006/relationships/image" Target="../media/image153.jpeg"/><Relationship Id="rId360" Type="http://schemas.openxmlformats.org/officeDocument/2006/relationships/image" Target="../media/image360.jpeg"/><Relationship Id="rId598" Type="http://schemas.openxmlformats.org/officeDocument/2006/relationships/image" Target="../media/image598.jpeg"/><Relationship Id="rId819" Type="http://schemas.openxmlformats.org/officeDocument/2006/relationships/image" Target="../media/image819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65" Type="http://schemas.openxmlformats.org/officeDocument/2006/relationships/image" Target="../media/image665.jpeg"/><Relationship Id="rId872" Type="http://schemas.openxmlformats.org/officeDocument/2006/relationships/image" Target="../media/image872.jpeg"/><Relationship Id="rId15" Type="http://schemas.openxmlformats.org/officeDocument/2006/relationships/image" Target="../media/image15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732" Type="http://schemas.openxmlformats.org/officeDocument/2006/relationships/image" Target="../media/image732.jpeg"/><Relationship Id="rId99" Type="http://schemas.openxmlformats.org/officeDocument/2006/relationships/image" Target="../media/image99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469" Type="http://schemas.openxmlformats.org/officeDocument/2006/relationships/image" Target="../media/image469.jpeg"/><Relationship Id="rId676" Type="http://schemas.openxmlformats.org/officeDocument/2006/relationships/image" Target="../media/image676.jpeg"/><Relationship Id="rId883" Type="http://schemas.openxmlformats.org/officeDocument/2006/relationships/image" Target="../media/image883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329" Type="http://schemas.openxmlformats.org/officeDocument/2006/relationships/image" Target="../media/image329.jpeg"/><Relationship Id="rId536" Type="http://schemas.openxmlformats.org/officeDocument/2006/relationships/image" Target="../media/image536.jpeg"/><Relationship Id="rId175" Type="http://schemas.openxmlformats.org/officeDocument/2006/relationships/image" Target="../media/image175.jpeg"/><Relationship Id="rId743" Type="http://schemas.openxmlformats.org/officeDocument/2006/relationships/image" Target="../media/image743.jpeg"/><Relationship Id="rId950" Type="http://schemas.openxmlformats.org/officeDocument/2006/relationships/image" Target="../media/image950.jpeg"/><Relationship Id="rId382" Type="http://schemas.openxmlformats.org/officeDocument/2006/relationships/image" Target="../media/image382.jpeg"/><Relationship Id="rId603" Type="http://schemas.openxmlformats.org/officeDocument/2006/relationships/image" Target="../media/image603.jpeg"/><Relationship Id="rId687" Type="http://schemas.openxmlformats.org/officeDocument/2006/relationships/image" Target="../media/image687.jpeg"/><Relationship Id="rId810" Type="http://schemas.openxmlformats.org/officeDocument/2006/relationships/image" Target="../media/image810.jpeg"/><Relationship Id="rId908" Type="http://schemas.openxmlformats.org/officeDocument/2006/relationships/image" Target="../media/image908.jpeg"/><Relationship Id="rId242" Type="http://schemas.openxmlformats.org/officeDocument/2006/relationships/image" Target="../media/image242.jpeg"/><Relationship Id="rId894" Type="http://schemas.openxmlformats.org/officeDocument/2006/relationships/image" Target="../media/image894.jpeg"/><Relationship Id="rId37" Type="http://schemas.openxmlformats.org/officeDocument/2006/relationships/image" Target="../media/image37.jpeg"/><Relationship Id="rId102" Type="http://schemas.openxmlformats.org/officeDocument/2006/relationships/image" Target="../media/image102.jpeg"/><Relationship Id="rId547" Type="http://schemas.openxmlformats.org/officeDocument/2006/relationships/image" Target="../media/image547.jpeg"/><Relationship Id="rId754" Type="http://schemas.openxmlformats.org/officeDocument/2006/relationships/image" Target="../media/image754.jpeg"/><Relationship Id="rId961" Type="http://schemas.openxmlformats.org/officeDocument/2006/relationships/image" Target="../media/image961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614" Type="http://schemas.openxmlformats.org/officeDocument/2006/relationships/image" Target="../media/image614.jpeg"/><Relationship Id="rId821" Type="http://schemas.openxmlformats.org/officeDocument/2006/relationships/image" Target="../media/image821.jpeg"/><Relationship Id="rId253" Type="http://schemas.openxmlformats.org/officeDocument/2006/relationships/image" Target="../media/image253.jpeg"/><Relationship Id="rId460" Type="http://schemas.openxmlformats.org/officeDocument/2006/relationships/image" Target="../media/image460.jpeg"/><Relationship Id="rId698" Type="http://schemas.openxmlformats.org/officeDocument/2006/relationships/image" Target="../media/image698.jpeg"/><Relationship Id="rId919" Type="http://schemas.openxmlformats.org/officeDocument/2006/relationships/image" Target="../media/image919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65" Type="http://schemas.openxmlformats.org/officeDocument/2006/relationships/image" Target="../media/image765.jpeg"/><Relationship Id="rId972" Type="http://schemas.openxmlformats.org/officeDocument/2006/relationships/image" Target="../media/image972.jpeg"/><Relationship Id="rId197" Type="http://schemas.openxmlformats.org/officeDocument/2006/relationships/image" Target="../media/image197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832" Type="http://schemas.openxmlformats.org/officeDocument/2006/relationships/image" Target="../media/image83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69" Type="http://schemas.openxmlformats.org/officeDocument/2006/relationships/image" Target="../media/image569.jpeg"/><Relationship Id="rId776" Type="http://schemas.openxmlformats.org/officeDocument/2006/relationships/image" Target="../media/image776.jpeg"/><Relationship Id="rId983" Type="http://schemas.openxmlformats.org/officeDocument/2006/relationships/image" Target="../media/image983.jpeg"/><Relationship Id="rId331" Type="http://schemas.openxmlformats.org/officeDocument/2006/relationships/image" Target="../media/image331.jpeg"/><Relationship Id="rId429" Type="http://schemas.openxmlformats.org/officeDocument/2006/relationships/image" Target="../media/image429.jpeg"/><Relationship Id="rId636" Type="http://schemas.openxmlformats.org/officeDocument/2006/relationships/image" Target="../media/image636.jpeg"/><Relationship Id="rId843" Type="http://schemas.openxmlformats.org/officeDocument/2006/relationships/image" Target="../media/image843.jpeg"/><Relationship Id="rId275" Type="http://schemas.openxmlformats.org/officeDocument/2006/relationships/image" Target="../media/image275.jpeg"/><Relationship Id="rId482" Type="http://schemas.openxmlformats.org/officeDocument/2006/relationships/image" Target="../media/image482.jpeg"/><Relationship Id="rId703" Type="http://schemas.openxmlformats.org/officeDocument/2006/relationships/image" Target="../media/image703.jpeg"/><Relationship Id="rId910" Type="http://schemas.openxmlformats.org/officeDocument/2006/relationships/image" Target="../media/image910.jpeg"/><Relationship Id="rId135" Type="http://schemas.openxmlformats.org/officeDocument/2006/relationships/image" Target="../media/image135.jpeg"/><Relationship Id="rId342" Type="http://schemas.openxmlformats.org/officeDocument/2006/relationships/image" Target="../media/image342.jpeg"/><Relationship Id="rId787" Type="http://schemas.openxmlformats.org/officeDocument/2006/relationships/image" Target="../media/image787.jpeg"/><Relationship Id="rId202" Type="http://schemas.openxmlformats.org/officeDocument/2006/relationships/image" Target="../media/image202.jpeg"/><Relationship Id="rId647" Type="http://schemas.openxmlformats.org/officeDocument/2006/relationships/image" Target="../media/image647.jpeg"/><Relationship Id="rId854" Type="http://schemas.openxmlformats.org/officeDocument/2006/relationships/image" Target="../media/image854.jpeg"/><Relationship Id="rId286" Type="http://schemas.openxmlformats.org/officeDocument/2006/relationships/image" Target="../media/image286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714" Type="http://schemas.openxmlformats.org/officeDocument/2006/relationships/image" Target="../media/image714.jpeg"/><Relationship Id="rId921" Type="http://schemas.openxmlformats.org/officeDocument/2006/relationships/image" Target="../media/image921.jpeg"/><Relationship Id="rId50" Type="http://schemas.openxmlformats.org/officeDocument/2006/relationships/image" Target="../media/image50.jpeg"/><Relationship Id="rId146" Type="http://schemas.openxmlformats.org/officeDocument/2006/relationships/image" Target="../media/image146.jpeg"/><Relationship Id="rId353" Type="http://schemas.openxmlformats.org/officeDocument/2006/relationships/image" Target="../media/image353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58" Type="http://schemas.openxmlformats.org/officeDocument/2006/relationships/image" Target="../media/image658.jpeg"/><Relationship Id="rId865" Type="http://schemas.openxmlformats.org/officeDocument/2006/relationships/image" Target="../media/image865.jpeg"/><Relationship Id="rId297" Type="http://schemas.openxmlformats.org/officeDocument/2006/relationships/image" Target="../media/image297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932" Type="http://schemas.openxmlformats.org/officeDocument/2006/relationships/image" Target="../media/image932.jpeg"/><Relationship Id="rId157" Type="http://schemas.openxmlformats.org/officeDocument/2006/relationships/image" Target="../media/image157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571" Type="http://schemas.openxmlformats.org/officeDocument/2006/relationships/image" Target="../media/image571.jpeg"/><Relationship Id="rId669" Type="http://schemas.openxmlformats.org/officeDocument/2006/relationships/image" Target="../media/image669.jpeg"/><Relationship Id="rId876" Type="http://schemas.openxmlformats.org/officeDocument/2006/relationships/image" Target="../media/image876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431" Type="http://schemas.openxmlformats.org/officeDocument/2006/relationships/image" Target="../media/image431.jpeg"/><Relationship Id="rId529" Type="http://schemas.openxmlformats.org/officeDocument/2006/relationships/image" Target="../media/image529.jpeg"/><Relationship Id="rId736" Type="http://schemas.openxmlformats.org/officeDocument/2006/relationships/image" Target="../media/image73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180975</xdr:rowOff>
    </xdr:from>
    <xdr:to>
      <xdr:col>2</xdr:col>
      <xdr:colOff>1206341</xdr:colOff>
      <xdr:row>3</xdr:row>
      <xdr:rowOff>133469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BE448CA-82C1-4BCC-B89B-141C7306C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80975"/>
          <a:ext cx="1774031" cy="514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0</xdr:rowOff>
    </xdr:from>
    <xdr:to>
      <xdr:col>2</xdr:col>
      <xdr:colOff>286649</xdr:colOff>
      <xdr:row>0</xdr:row>
      <xdr:rowOff>510659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7288B9E-D0E4-4321-A2DF-42B3A4043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1774031" cy="514469"/>
        </a:xfrm>
        <a:prstGeom prst="rect">
          <a:avLst/>
        </a:prstGeom>
      </xdr:spPr>
    </xdr:pic>
    <xdr:clientData/>
  </xdr:twoCellAnchor>
  <xdr:twoCellAnchor>
    <xdr:from>
      <xdr:col>0</xdr:col>
      <xdr:colOff>59796</xdr:colOff>
      <xdr:row>1</xdr:row>
      <xdr:rowOff>485775</xdr:rowOff>
    </xdr:from>
    <xdr:to>
      <xdr:col>0</xdr:col>
      <xdr:colOff>821796</xdr:colOff>
      <xdr:row>2</xdr:row>
      <xdr:rowOff>760942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30BD6A5-6C33-D873-2753-D7CE03B92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23213" y="10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</xdr:row>
      <xdr:rowOff>485775</xdr:rowOff>
    </xdr:from>
    <xdr:to>
      <xdr:col>0</xdr:col>
      <xdr:colOff>871538</xdr:colOff>
      <xdr:row>2</xdr:row>
      <xdr:rowOff>760942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60AAE22-BB62-7CDD-B915-14732522CD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</xdr:row>
      <xdr:rowOff>485775</xdr:rowOff>
    </xdr:from>
    <xdr:to>
      <xdr:col>0</xdr:col>
      <xdr:colOff>871538</xdr:colOff>
      <xdr:row>2</xdr:row>
      <xdr:rowOff>760942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45A3772-EDAC-1E9A-8000-866FADC0A8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</xdr:row>
      <xdr:rowOff>485775</xdr:rowOff>
    </xdr:from>
    <xdr:to>
      <xdr:col>0</xdr:col>
      <xdr:colOff>871538</xdr:colOff>
      <xdr:row>2</xdr:row>
      <xdr:rowOff>760942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6CB4F04-4372-2130-C1E5-9B3620C508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</xdr:row>
      <xdr:rowOff>485775</xdr:rowOff>
    </xdr:from>
    <xdr:to>
      <xdr:col>0</xdr:col>
      <xdr:colOff>871538</xdr:colOff>
      <xdr:row>2</xdr:row>
      <xdr:rowOff>760942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B08984EC-5B0A-D67B-FFAB-C7C0B5E4CF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</xdr:row>
      <xdr:rowOff>760942</xdr:rowOff>
    </xdr:from>
    <xdr:to>
      <xdr:col>0</xdr:col>
      <xdr:colOff>871538</xdr:colOff>
      <xdr:row>3</xdr:row>
      <xdr:rowOff>760942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3730F522-08DE-357E-2ED1-CEB9EF91C9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</xdr:row>
      <xdr:rowOff>760942</xdr:rowOff>
    </xdr:from>
    <xdr:to>
      <xdr:col>0</xdr:col>
      <xdr:colOff>871538</xdr:colOff>
      <xdr:row>4</xdr:row>
      <xdr:rowOff>760942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AD553AE1-CE4C-BA14-349B-E9435BE7C6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</xdr:row>
      <xdr:rowOff>760942</xdr:rowOff>
    </xdr:from>
    <xdr:to>
      <xdr:col>0</xdr:col>
      <xdr:colOff>871538</xdr:colOff>
      <xdr:row>5</xdr:row>
      <xdr:rowOff>760942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FA252502-A8F0-B05C-59E4-B2F3BC0DE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</xdr:row>
      <xdr:rowOff>760942</xdr:rowOff>
    </xdr:from>
    <xdr:to>
      <xdr:col>0</xdr:col>
      <xdr:colOff>871538</xdr:colOff>
      <xdr:row>6</xdr:row>
      <xdr:rowOff>760942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22930611-3389-BF56-5B00-448B48913B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</xdr:row>
      <xdr:rowOff>760942</xdr:rowOff>
    </xdr:from>
    <xdr:to>
      <xdr:col>0</xdr:col>
      <xdr:colOff>871538</xdr:colOff>
      <xdr:row>7</xdr:row>
      <xdr:rowOff>760942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E16FC2F-7DD4-619F-03B6-87328788A3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</xdr:row>
      <xdr:rowOff>760942</xdr:rowOff>
    </xdr:from>
    <xdr:to>
      <xdr:col>0</xdr:col>
      <xdr:colOff>871538</xdr:colOff>
      <xdr:row>8</xdr:row>
      <xdr:rowOff>760942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C2DC1D2E-587E-9878-DE20-04CCC4FF5B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6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</xdr:row>
      <xdr:rowOff>760942</xdr:rowOff>
    </xdr:from>
    <xdr:to>
      <xdr:col>0</xdr:col>
      <xdr:colOff>871538</xdr:colOff>
      <xdr:row>9</xdr:row>
      <xdr:rowOff>760942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552884B0-973C-37E0-4DC0-5C6F0D45C6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</xdr:row>
      <xdr:rowOff>760942</xdr:rowOff>
    </xdr:from>
    <xdr:to>
      <xdr:col>0</xdr:col>
      <xdr:colOff>871538</xdr:colOff>
      <xdr:row>10</xdr:row>
      <xdr:rowOff>760942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B6964B56-EB2C-E442-5A53-152B3D2E80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</xdr:row>
      <xdr:rowOff>760942</xdr:rowOff>
    </xdr:from>
    <xdr:to>
      <xdr:col>0</xdr:col>
      <xdr:colOff>871538</xdr:colOff>
      <xdr:row>11</xdr:row>
      <xdr:rowOff>760942</xdr:rowOff>
    </xdr:to>
    <xdr:pic>
      <xdr:nvPicPr>
        <xdr:cNvPr id="40" name="Obraz 39">
          <a:extLst>
            <a:ext uri="{FF2B5EF4-FFF2-40B4-BE49-F238E27FC236}">
              <a16:creationId xmlns:a16="http://schemas.microsoft.com/office/drawing/2014/main" id="{BB6CAC29-AEA5-89AA-CFEF-6DFEB93FF0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</xdr:row>
      <xdr:rowOff>760942</xdr:rowOff>
    </xdr:from>
    <xdr:to>
      <xdr:col>0</xdr:col>
      <xdr:colOff>871538</xdr:colOff>
      <xdr:row>12</xdr:row>
      <xdr:rowOff>760942</xdr:rowOff>
    </xdr:to>
    <xdr:pic>
      <xdr:nvPicPr>
        <xdr:cNvPr id="44" name="Obraz 43">
          <a:extLst>
            <a:ext uri="{FF2B5EF4-FFF2-40B4-BE49-F238E27FC236}">
              <a16:creationId xmlns:a16="http://schemas.microsoft.com/office/drawing/2014/main" id="{7BCB8FAE-3EF3-E2E3-4288-CE2C02F7F3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6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</xdr:row>
      <xdr:rowOff>760942</xdr:rowOff>
    </xdr:from>
    <xdr:to>
      <xdr:col>0</xdr:col>
      <xdr:colOff>871538</xdr:colOff>
      <xdr:row>13</xdr:row>
      <xdr:rowOff>760942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3D2C2434-2FC4-0314-A853-8529684DEC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4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</xdr:row>
      <xdr:rowOff>760942</xdr:rowOff>
    </xdr:from>
    <xdr:to>
      <xdr:col>0</xdr:col>
      <xdr:colOff>871538</xdr:colOff>
      <xdr:row>14</xdr:row>
      <xdr:rowOff>760942</xdr:rowOff>
    </xdr:to>
    <xdr:pic>
      <xdr:nvPicPr>
        <xdr:cNvPr id="51" name="Obraz 50">
          <a:extLst>
            <a:ext uri="{FF2B5EF4-FFF2-40B4-BE49-F238E27FC236}">
              <a16:creationId xmlns:a16="http://schemas.microsoft.com/office/drawing/2014/main" id="{3D6215C6-D6B4-9DCF-A748-AAB46C4A72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2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</xdr:row>
      <xdr:rowOff>760942</xdr:rowOff>
    </xdr:from>
    <xdr:to>
      <xdr:col>0</xdr:col>
      <xdr:colOff>871538</xdr:colOff>
      <xdr:row>15</xdr:row>
      <xdr:rowOff>760942</xdr:rowOff>
    </xdr:to>
    <xdr:pic>
      <xdr:nvPicPr>
        <xdr:cNvPr id="55" name="Obraz 54">
          <a:extLst>
            <a:ext uri="{FF2B5EF4-FFF2-40B4-BE49-F238E27FC236}">
              <a16:creationId xmlns:a16="http://schemas.microsoft.com/office/drawing/2014/main" id="{6EA0CE67-6ABD-0D20-6352-484E9F7ACF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9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</xdr:row>
      <xdr:rowOff>760942</xdr:rowOff>
    </xdr:from>
    <xdr:to>
      <xdr:col>0</xdr:col>
      <xdr:colOff>871538</xdr:colOff>
      <xdr:row>16</xdr:row>
      <xdr:rowOff>760942</xdr:rowOff>
    </xdr:to>
    <xdr:pic>
      <xdr:nvPicPr>
        <xdr:cNvPr id="58" name="Obraz 57">
          <a:extLst>
            <a:ext uri="{FF2B5EF4-FFF2-40B4-BE49-F238E27FC236}">
              <a16:creationId xmlns:a16="http://schemas.microsoft.com/office/drawing/2014/main" id="{2EF4BAA1-6DB3-4DB5-C696-571E77A17B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7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</xdr:row>
      <xdr:rowOff>760942</xdr:rowOff>
    </xdr:from>
    <xdr:to>
      <xdr:col>0</xdr:col>
      <xdr:colOff>871538</xdr:colOff>
      <xdr:row>17</xdr:row>
      <xdr:rowOff>760942</xdr:rowOff>
    </xdr:to>
    <xdr:pic>
      <xdr:nvPicPr>
        <xdr:cNvPr id="62" name="Obraz 61">
          <a:extLst>
            <a:ext uri="{FF2B5EF4-FFF2-40B4-BE49-F238E27FC236}">
              <a16:creationId xmlns:a16="http://schemas.microsoft.com/office/drawing/2014/main" id="{7D18954C-AF3F-A951-FFBD-BB61CE3A26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4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</xdr:row>
      <xdr:rowOff>760942</xdr:rowOff>
    </xdr:from>
    <xdr:to>
      <xdr:col>0</xdr:col>
      <xdr:colOff>871538</xdr:colOff>
      <xdr:row>18</xdr:row>
      <xdr:rowOff>760942</xdr:rowOff>
    </xdr:to>
    <xdr:pic>
      <xdr:nvPicPr>
        <xdr:cNvPr id="65" name="Obraz 64">
          <a:extLst>
            <a:ext uri="{FF2B5EF4-FFF2-40B4-BE49-F238E27FC236}">
              <a16:creationId xmlns:a16="http://schemas.microsoft.com/office/drawing/2014/main" id="{3EE024A7-DA05-4DEE-25D7-DA8B4569E7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2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</xdr:row>
      <xdr:rowOff>760942</xdr:rowOff>
    </xdr:from>
    <xdr:to>
      <xdr:col>0</xdr:col>
      <xdr:colOff>871538</xdr:colOff>
      <xdr:row>19</xdr:row>
      <xdr:rowOff>760942</xdr:rowOff>
    </xdr:to>
    <xdr:pic>
      <xdr:nvPicPr>
        <xdr:cNvPr id="69" name="Obraz 68">
          <a:extLst>
            <a:ext uri="{FF2B5EF4-FFF2-40B4-BE49-F238E27FC236}">
              <a16:creationId xmlns:a16="http://schemas.microsoft.com/office/drawing/2014/main" id="{5A7B8153-1BE6-C541-AC74-02F5488622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0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</xdr:row>
      <xdr:rowOff>760942</xdr:rowOff>
    </xdr:from>
    <xdr:to>
      <xdr:col>0</xdr:col>
      <xdr:colOff>871538</xdr:colOff>
      <xdr:row>20</xdr:row>
      <xdr:rowOff>760942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7C817126-9F1E-3B8F-C188-EC7CBB85D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7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</xdr:row>
      <xdr:rowOff>760942</xdr:rowOff>
    </xdr:from>
    <xdr:to>
      <xdr:col>0</xdr:col>
      <xdr:colOff>871538</xdr:colOff>
      <xdr:row>21</xdr:row>
      <xdr:rowOff>760942</xdr:rowOff>
    </xdr:to>
    <xdr:pic>
      <xdr:nvPicPr>
        <xdr:cNvPr id="76" name="Obraz 75">
          <a:extLst>
            <a:ext uri="{FF2B5EF4-FFF2-40B4-BE49-F238E27FC236}">
              <a16:creationId xmlns:a16="http://schemas.microsoft.com/office/drawing/2014/main" id="{19334E4B-F072-6930-4771-716B186C23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5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</xdr:row>
      <xdr:rowOff>760942</xdr:rowOff>
    </xdr:from>
    <xdr:to>
      <xdr:col>0</xdr:col>
      <xdr:colOff>871538</xdr:colOff>
      <xdr:row>22</xdr:row>
      <xdr:rowOff>760942</xdr:rowOff>
    </xdr:to>
    <xdr:pic>
      <xdr:nvPicPr>
        <xdr:cNvPr id="79" name="Obraz 78">
          <a:extLst>
            <a:ext uri="{FF2B5EF4-FFF2-40B4-BE49-F238E27FC236}">
              <a16:creationId xmlns:a16="http://schemas.microsoft.com/office/drawing/2014/main" id="{97BC8495-D016-D281-A88C-342DF6FDBC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2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22</xdr:row>
      <xdr:rowOff>760942</xdr:rowOff>
    </xdr:from>
    <xdr:to>
      <xdr:col>0</xdr:col>
      <xdr:colOff>871538</xdr:colOff>
      <xdr:row>23</xdr:row>
      <xdr:rowOff>760942</xdr:rowOff>
    </xdr:to>
    <xdr:pic>
      <xdr:nvPicPr>
        <xdr:cNvPr id="83" name="Obraz 82">
          <a:extLst>
            <a:ext uri="{FF2B5EF4-FFF2-40B4-BE49-F238E27FC236}">
              <a16:creationId xmlns:a16="http://schemas.microsoft.com/office/drawing/2014/main" id="{FD812D1A-61A0-E218-33F8-61BB9FE167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70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23</xdr:row>
      <xdr:rowOff>760942</xdr:rowOff>
    </xdr:from>
    <xdr:to>
      <xdr:col>0</xdr:col>
      <xdr:colOff>871538</xdr:colOff>
      <xdr:row>24</xdr:row>
      <xdr:rowOff>760942</xdr:rowOff>
    </xdr:to>
    <xdr:pic>
      <xdr:nvPicPr>
        <xdr:cNvPr id="86" name="Obraz 85">
          <a:extLst>
            <a:ext uri="{FF2B5EF4-FFF2-40B4-BE49-F238E27FC236}">
              <a16:creationId xmlns:a16="http://schemas.microsoft.com/office/drawing/2014/main" id="{72FF3FC9-4349-EB38-E61E-3034FF6164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78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</xdr:row>
      <xdr:rowOff>760942</xdr:rowOff>
    </xdr:from>
    <xdr:to>
      <xdr:col>0</xdr:col>
      <xdr:colOff>871538</xdr:colOff>
      <xdr:row>25</xdr:row>
      <xdr:rowOff>760942</xdr:rowOff>
    </xdr:to>
    <xdr:pic>
      <xdr:nvPicPr>
        <xdr:cNvPr id="90" name="Obraz 89">
          <a:extLst>
            <a:ext uri="{FF2B5EF4-FFF2-40B4-BE49-F238E27FC236}">
              <a16:creationId xmlns:a16="http://schemas.microsoft.com/office/drawing/2014/main" id="{B67784A5-F385-223D-F829-121A248E95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5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</xdr:row>
      <xdr:rowOff>760942</xdr:rowOff>
    </xdr:from>
    <xdr:to>
      <xdr:col>0</xdr:col>
      <xdr:colOff>871538</xdr:colOff>
      <xdr:row>26</xdr:row>
      <xdr:rowOff>760942</xdr:rowOff>
    </xdr:to>
    <xdr:pic>
      <xdr:nvPicPr>
        <xdr:cNvPr id="93" name="Obraz 92">
          <a:extLst>
            <a:ext uri="{FF2B5EF4-FFF2-40B4-BE49-F238E27FC236}">
              <a16:creationId xmlns:a16="http://schemas.microsoft.com/office/drawing/2014/main" id="{F08D48FD-9A15-E3DA-5503-B8D03964D0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3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</xdr:row>
      <xdr:rowOff>760942</xdr:rowOff>
    </xdr:from>
    <xdr:to>
      <xdr:col>0</xdr:col>
      <xdr:colOff>871538</xdr:colOff>
      <xdr:row>27</xdr:row>
      <xdr:rowOff>760942</xdr:rowOff>
    </xdr:to>
    <xdr:pic>
      <xdr:nvPicPr>
        <xdr:cNvPr id="97" name="Obraz 96">
          <a:extLst>
            <a:ext uri="{FF2B5EF4-FFF2-40B4-BE49-F238E27FC236}">
              <a16:creationId xmlns:a16="http://schemas.microsoft.com/office/drawing/2014/main" id="{3727E914-7E5F-DB31-160E-F742CBE0DE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1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</xdr:row>
      <xdr:rowOff>760942</xdr:rowOff>
    </xdr:from>
    <xdr:to>
      <xdr:col>0</xdr:col>
      <xdr:colOff>871538</xdr:colOff>
      <xdr:row>28</xdr:row>
      <xdr:rowOff>760942</xdr:rowOff>
    </xdr:to>
    <xdr:pic>
      <xdr:nvPicPr>
        <xdr:cNvPr id="101" name="Obraz 100">
          <a:extLst>
            <a:ext uri="{FF2B5EF4-FFF2-40B4-BE49-F238E27FC236}">
              <a16:creationId xmlns:a16="http://schemas.microsoft.com/office/drawing/2014/main" id="{C0747F31-C8EF-D62C-7AE2-59FDE2832E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8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</xdr:row>
      <xdr:rowOff>760942</xdr:rowOff>
    </xdr:from>
    <xdr:to>
      <xdr:col>0</xdr:col>
      <xdr:colOff>871538</xdr:colOff>
      <xdr:row>29</xdr:row>
      <xdr:rowOff>760942</xdr:rowOff>
    </xdr:to>
    <xdr:pic>
      <xdr:nvPicPr>
        <xdr:cNvPr id="104" name="Obraz 103">
          <a:extLst>
            <a:ext uri="{FF2B5EF4-FFF2-40B4-BE49-F238E27FC236}">
              <a16:creationId xmlns:a16="http://schemas.microsoft.com/office/drawing/2014/main" id="{09B55716-30AA-7F30-300B-6D4BD46C9B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6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</xdr:row>
      <xdr:rowOff>760942</xdr:rowOff>
    </xdr:from>
    <xdr:to>
      <xdr:col>0</xdr:col>
      <xdr:colOff>871538</xdr:colOff>
      <xdr:row>30</xdr:row>
      <xdr:rowOff>760942</xdr:rowOff>
    </xdr:to>
    <xdr:pic>
      <xdr:nvPicPr>
        <xdr:cNvPr id="108" name="Obraz 107">
          <a:extLst>
            <a:ext uri="{FF2B5EF4-FFF2-40B4-BE49-F238E27FC236}">
              <a16:creationId xmlns:a16="http://schemas.microsoft.com/office/drawing/2014/main" id="{9BD75AA8-B309-76F3-ED80-D0EE71B373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3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</xdr:row>
      <xdr:rowOff>760942</xdr:rowOff>
    </xdr:from>
    <xdr:to>
      <xdr:col>0</xdr:col>
      <xdr:colOff>871538</xdr:colOff>
      <xdr:row>31</xdr:row>
      <xdr:rowOff>760942</xdr:rowOff>
    </xdr:to>
    <xdr:pic>
      <xdr:nvPicPr>
        <xdr:cNvPr id="111" name="Obraz 110">
          <a:extLst>
            <a:ext uri="{FF2B5EF4-FFF2-40B4-BE49-F238E27FC236}">
              <a16:creationId xmlns:a16="http://schemas.microsoft.com/office/drawing/2014/main" id="{11FE754C-4835-C862-5B9D-B25844C5BC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1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</xdr:row>
      <xdr:rowOff>760942</xdr:rowOff>
    </xdr:from>
    <xdr:to>
      <xdr:col>0</xdr:col>
      <xdr:colOff>871538</xdr:colOff>
      <xdr:row>32</xdr:row>
      <xdr:rowOff>760942</xdr:rowOff>
    </xdr:to>
    <xdr:pic>
      <xdr:nvPicPr>
        <xdr:cNvPr id="115" name="Obraz 114">
          <a:extLst>
            <a:ext uri="{FF2B5EF4-FFF2-40B4-BE49-F238E27FC236}">
              <a16:creationId xmlns:a16="http://schemas.microsoft.com/office/drawing/2014/main" id="{77C7AAA4-C995-54D4-63F3-9F8D4A1253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9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</xdr:row>
      <xdr:rowOff>760942</xdr:rowOff>
    </xdr:from>
    <xdr:to>
      <xdr:col>0</xdr:col>
      <xdr:colOff>871538</xdr:colOff>
      <xdr:row>33</xdr:row>
      <xdr:rowOff>760942</xdr:rowOff>
    </xdr:to>
    <xdr:pic>
      <xdr:nvPicPr>
        <xdr:cNvPr id="118" name="Obraz 117">
          <a:extLst>
            <a:ext uri="{FF2B5EF4-FFF2-40B4-BE49-F238E27FC236}">
              <a16:creationId xmlns:a16="http://schemas.microsoft.com/office/drawing/2014/main" id="{2187E496-2F9A-6F35-E17C-1195E39017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6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</xdr:row>
      <xdr:rowOff>760942</xdr:rowOff>
    </xdr:from>
    <xdr:to>
      <xdr:col>0</xdr:col>
      <xdr:colOff>871538</xdr:colOff>
      <xdr:row>34</xdr:row>
      <xdr:rowOff>760942</xdr:rowOff>
    </xdr:to>
    <xdr:pic>
      <xdr:nvPicPr>
        <xdr:cNvPr id="122" name="Obraz 121">
          <a:extLst>
            <a:ext uri="{FF2B5EF4-FFF2-40B4-BE49-F238E27FC236}">
              <a16:creationId xmlns:a16="http://schemas.microsoft.com/office/drawing/2014/main" id="{F2F44B1C-87A2-EA34-EFE9-415E2BE8F2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4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</xdr:row>
      <xdr:rowOff>760942</xdr:rowOff>
    </xdr:from>
    <xdr:to>
      <xdr:col>0</xdr:col>
      <xdr:colOff>871538</xdr:colOff>
      <xdr:row>35</xdr:row>
      <xdr:rowOff>760942</xdr:rowOff>
    </xdr:to>
    <xdr:pic>
      <xdr:nvPicPr>
        <xdr:cNvPr id="125" name="Obraz 124">
          <a:extLst>
            <a:ext uri="{FF2B5EF4-FFF2-40B4-BE49-F238E27FC236}">
              <a16:creationId xmlns:a16="http://schemas.microsoft.com/office/drawing/2014/main" id="{859E4C50-AED9-F62D-6672-096C2275E5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2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</xdr:row>
      <xdr:rowOff>760942</xdr:rowOff>
    </xdr:from>
    <xdr:to>
      <xdr:col>0</xdr:col>
      <xdr:colOff>871538</xdr:colOff>
      <xdr:row>36</xdr:row>
      <xdr:rowOff>760942</xdr:rowOff>
    </xdr:to>
    <xdr:pic>
      <xdr:nvPicPr>
        <xdr:cNvPr id="129" name="Obraz 128">
          <a:extLst>
            <a:ext uri="{FF2B5EF4-FFF2-40B4-BE49-F238E27FC236}">
              <a16:creationId xmlns:a16="http://schemas.microsoft.com/office/drawing/2014/main" id="{EEB72FF5-54C9-CF30-F2E0-3B9049A64B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9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</xdr:row>
      <xdr:rowOff>760942</xdr:rowOff>
    </xdr:from>
    <xdr:to>
      <xdr:col>0</xdr:col>
      <xdr:colOff>871538</xdr:colOff>
      <xdr:row>37</xdr:row>
      <xdr:rowOff>760942</xdr:rowOff>
    </xdr:to>
    <xdr:pic>
      <xdr:nvPicPr>
        <xdr:cNvPr id="133" name="Obraz 132">
          <a:extLst>
            <a:ext uri="{FF2B5EF4-FFF2-40B4-BE49-F238E27FC236}">
              <a16:creationId xmlns:a16="http://schemas.microsoft.com/office/drawing/2014/main" id="{D2E8DC16-ED06-4303-8A97-8DD41D6EC0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7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</xdr:row>
      <xdr:rowOff>760942</xdr:rowOff>
    </xdr:from>
    <xdr:to>
      <xdr:col>0</xdr:col>
      <xdr:colOff>871538</xdr:colOff>
      <xdr:row>38</xdr:row>
      <xdr:rowOff>760942</xdr:rowOff>
    </xdr:to>
    <xdr:pic>
      <xdr:nvPicPr>
        <xdr:cNvPr id="136" name="Obraz 135">
          <a:extLst>
            <a:ext uri="{FF2B5EF4-FFF2-40B4-BE49-F238E27FC236}">
              <a16:creationId xmlns:a16="http://schemas.microsoft.com/office/drawing/2014/main" id="{60F974C1-BB31-CC00-F0A6-D5051F5A63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4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</xdr:row>
      <xdr:rowOff>760942</xdr:rowOff>
    </xdr:from>
    <xdr:to>
      <xdr:col>0</xdr:col>
      <xdr:colOff>871538</xdr:colOff>
      <xdr:row>39</xdr:row>
      <xdr:rowOff>760942</xdr:rowOff>
    </xdr:to>
    <xdr:pic>
      <xdr:nvPicPr>
        <xdr:cNvPr id="140" name="Obraz 139">
          <a:extLst>
            <a:ext uri="{FF2B5EF4-FFF2-40B4-BE49-F238E27FC236}">
              <a16:creationId xmlns:a16="http://schemas.microsoft.com/office/drawing/2014/main" id="{6B519C8B-8448-2165-F800-F0366ACEFA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2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39</xdr:row>
      <xdr:rowOff>760942</xdr:rowOff>
    </xdr:from>
    <xdr:to>
      <xdr:col>0</xdr:col>
      <xdr:colOff>871538</xdr:colOff>
      <xdr:row>40</xdr:row>
      <xdr:rowOff>760942</xdr:rowOff>
    </xdr:to>
    <xdr:pic>
      <xdr:nvPicPr>
        <xdr:cNvPr id="143" name="Obraz 142">
          <a:extLst>
            <a:ext uri="{FF2B5EF4-FFF2-40B4-BE49-F238E27FC236}">
              <a16:creationId xmlns:a16="http://schemas.microsoft.com/office/drawing/2014/main" id="{A57BB65B-CF75-F018-32C2-83172E31D5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0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</xdr:row>
      <xdr:rowOff>760942</xdr:rowOff>
    </xdr:from>
    <xdr:to>
      <xdr:col>0</xdr:col>
      <xdr:colOff>871538</xdr:colOff>
      <xdr:row>41</xdr:row>
      <xdr:rowOff>760942</xdr:rowOff>
    </xdr:to>
    <xdr:pic>
      <xdr:nvPicPr>
        <xdr:cNvPr id="147" name="Obraz 146">
          <a:extLst>
            <a:ext uri="{FF2B5EF4-FFF2-40B4-BE49-F238E27FC236}">
              <a16:creationId xmlns:a16="http://schemas.microsoft.com/office/drawing/2014/main" id="{75BE6086-842A-ECCD-0435-988B62C815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7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41</xdr:row>
      <xdr:rowOff>760942</xdr:rowOff>
    </xdr:from>
    <xdr:to>
      <xdr:col>0</xdr:col>
      <xdr:colOff>871538</xdr:colOff>
      <xdr:row>42</xdr:row>
      <xdr:rowOff>760942</xdr:rowOff>
    </xdr:to>
    <xdr:pic>
      <xdr:nvPicPr>
        <xdr:cNvPr id="150" name="Obraz 149">
          <a:extLst>
            <a:ext uri="{FF2B5EF4-FFF2-40B4-BE49-F238E27FC236}">
              <a16:creationId xmlns:a16="http://schemas.microsoft.com/office/drawing/2014/main" id="{8D398D95-CEE0-A873-F28F-EFAC584C5C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5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</xdr:row>
      <xdr:rowOff>760942</xdr:rowOff>
    </xdr:from>
    <xdr:to>
      <xdr:col>0</xdr:col>
      <xdr:colOff>871538</xdr:colOff>
      <xdr:row>43</xdr:row>
      <xdr:rowOff>760942</xdr:rowOff>
    </xdr:to>
    <xdr:pic>
      <xdr:nvPicPr>
        <xdr:cNvPr id="154" name="Obraz 153">
          <a:extLst>
            <a:ext uri="{FF2B5EF4-FFF2-40B4-BE49-F238E27FC236}">
              <a16:creationId xmlns:a16="http://schemas.microsoft.com/office/drawing/2014/main" id="{5C59E87D-40E6-5945-7CAF-B990E79F48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2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</xdr:row>
      <xdr:rowOff>760942</xdr:rowOff>
    </xdr:from>
    <xdr:to>
      <xdr:col>0</xdr:col>
      <xdr:colOff>871538</xdr:colOff>
      <xdr:row>44</xdr:row>
      <xdr:rowOff>760942</xdr:rowOff>
    </xdr:to>
    <xdr:pic>
      <xdr:nvPicPr>
        <xdr:cNvPr id="157" name="Obraz 156">
          <a:extLst>
            <a:ext uri="{FF2B5EF4-FFF2-40B4-BE49-F238E27FC236}">
              <a16:creationId xmlns:a16="http://schemas.microsoft.com/office/drawing/2014/main" id="{1B8A3220-9FCB-B548-EDC1-E93EA10CEB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0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</xdr:row>
      <xdr:rowOff>760942</xdr:rowOff>
    </xdr:from>
    <xdr:to>
      <xdr:col>0</xdr:col>
      <xdr:colOff>871538</xdr:colOff>
      <xdr:row>45</xdr:row>
      <xdr:rowOff>760942</xdr:rowOff>
    </xdr:to>
    <xdr:pic>
      <xdr:nvPicPr>
        <xdr:cNvPr id="161" name="Obraz 160">
          <a:extLst>
            <a:ext uri="{FF2B5EF4-FFF2-40B4-BE49-F238E27FC236}">
              <a16:creationId xmlns:a16="http://schemas.microsoft.com/office/drawing/2014/main" id="{678CCDB2-82C7-D1E6-9A9E-9AE2D1525F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8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45</xdr:row>
      <xdr:rowOff>760942</xdr:rowOff>
    </xdr:from>
    <xdr:to>
      <xdr:col>0</xdr:col>
      <xdr:colOff>871538</xdr:colOff>
      <xdr:row>46</xdr:row>
      <xdr:rowOff>760942</xdr:rowOff>
    </xdr:to>
    <xdr:pic>
      <xdr:nvPicPr>
        <xdr:cNvPr id="165" name="Obraz 164">
          <a:extLst>
            <a:ext uri="{FF2B5EF4-FFF2-40B4-BE49-F238E27FC236}">
              <a16:creationId xmlns:a16="http://schemas.microsoft.com/office/drawing/2014/main" id="{20128953-7962-9AE9-48A8-5D723F78C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5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</xdr:row>
      <xdr:rowOff>760942</xdr:rowOff>
    </xdr:from>
    <xdr:to>
      <xdr:col>0</xdr:col>
      <xdr:colOff>871538</xdr:colOff>
      <xdr:row>47</xdr:row>
      <xdr:rowOff>760942</xdr:rowOff>
    </xdr:to>
    <xdr:pic>
      <xdr:nvPicPr>
        <xdr:cNvPr id="168" name="Obraz 167">
          <a:extLst>
            <a:ext uri="{FF2B5EF4-FFF2-40B4-BE49-F238E27FC236}">
              <a16:creationId xmlns:a16="http://schemas.microsoft.com/office/drawing/2014/main" id="{CB972AB9-3227-A1A4-432E-A92805A0E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3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</xdr:row>
      <xdr:rowOff>760942</xdr:rowOff>
    </xdr:from>
    <xdr:to>
      <xdr:col>0</xdr:col>
      <xdr:colOff>871538</xdr:colOff>
      <xdr:row>48</xdr:row>
      <xdr:rowOff>760942</xdr:rowOff>
    </xdr:to>
    <xdr:pic>
      <xdr:nvPicPr>
        <xdr:cNvPr id="172" name="Obraz 171">
          <a:extLst>
            <a:ext uri="{FF2B5EF4-FFF2-40B4-BE49-F238E27FC236}">
              <a16:creationId xmlns:a16="http://schemas.microsoft.com/office/drawing/2014/main" id="{502C3363-0FE9-E37D-18DF-38359A93F8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1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</xdr:row>
      <xdr:rowOff>760942</xdr:rowOff>
    </xdr:from>
    <xdr:to>
      <xdr:col>0</xdr:col>
      <xdr:colOff>871538</xdr:colOff>
      <xdr:row>49</xdr:row>
      <xdr:rowOff>760942</xdr:rowOff>
    </xdr:to>
    <xdr:pic>
      <xdr:nvPicPr>
        <xdr:cNvPr id="175" name="Obraz 174">
          <a:extLst>
            <a:ext uri="{FF2B5EF4-FFF2-40B4-BE49-F238E27FC236}">
              <a16:creationId xmlns:a16="http://schemas.microsoft.com/office/drawing/2014/main" id="{03D450EB-1422-B2A5-BD33-F93E6267E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8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</xdr:row>
      <xdr:rowOff>760942</xdr:rowOff>
    </xdr:from>
    <xdr:to>
      <xdr:col>0</xdr:col>
      <xdr:colOff>871538</xdr:colOff>
      <xdr:row>50</xdr:row>
      <xdr:rowOff>760942</xdr:rowOff>
    </xdr:to>
    <xdr:pic>
      <xdr:nvPicPr>
        <xdr:cNvPr id="179" name="Obraz 178">
          <a:extLst>
            <a:ext uri="{FF2B5EF4-FFF2-40B4-BE49-F238E27FC236}">
              <a16:creationId xmlns:a16="http://schemas.microsoft.com/office/drawing/2014/main" id="{B2F7CF28-E916-5AEA-E303-89AD7C6C9F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6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</xdr:row>
      <xdr:rowOff>760942</xdr:rowOff>
    </xdr:from>
    <xdr:to>
      <xdr:col>0</xdr:col>
      <xdr:colOff>871538</xdr:colOff>
      <xdr:row>51</xdr:row>
      <xdr:rowOff>760942</xdr:rowOff>
    </xdr:to>
    <xdr:pic>
      <xdr:nvPicPr>
        <xdr:cNvPr id="182" name="Obraz 181">
          <a:extLst>
            <a:ext uri="{FF2B5EF4-FFF2-40B4-BE49-F238E27FC236}">
              <a16:creationId xmlns:a16="http://schemas.microsoft.com/office/drawing/2014/main" id="{EA41E608-4A77-6970-5402-ADF332FABC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3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</xdr:row>
      <xdr:rowOff>760942</xdr:rowOff>
    </xdr:from>
    <xdr:to>
      <xdr:col>0</xdr:col>
      <xdr:colOff>871538</xdr:colOff>
      <xdr:row>52</xdr:row>
      <xdr:rowOff>760942</xdr:rowOff>
    </xdr:to>
    <xdr:pic>
      <xdr:nvPicPr>
        <xdr:cNvPr id="186" name="Obraz 185">
          <a:extLst>
            <a:ext uri="{FF2B5EF4-FFF2-40B4-BE49-F238E27FC236}">
              <a16:creationId xmlns:a16="http://schemas.microsoft.com/office/drawing/2014/main" id="{5FC341D9-D62A-B620-8082-AB2520534E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1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</xdr:row>
      <xdr:rowOff>760942</xdr:rowOff>
    </xdr:from>
    <xdr:to>
      <xdr:col>0</xdr:col>
      <xdr:colOff>871538</xdr:colOff>
      <xdr:row>53</xdr:row>
      <xdr:rowOff>760942</xdr:rowOff>
    </xdr:to>
    <xdr:pic>
      <xdr:nvPicPr>
        <xdr:cNvPr id="189" name="Obraz 188">
          <a:extLst>
            <a:ext uri="{FF2B5EF4-FFF2-40B4-BE49-F238E27FC236}">
              <a16:creationId xmlns:a16="http://schemas.microsoft.com/office/drawing/2014/main" id="{0E312D70-737A-069A-B534-4247A07351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9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</xdr:row>
      <xdr:rowOff>760942</xdr:rowOff>
    </xdr:from>
    <xdr:to>
      <xdr:col>0</xdr:col>
      <xdr:colOff>871538</xdr:colOff>
      <xdr:row>54</xdr:row>
      <xdr:rowOff>760942</xdr:rowOff>
    </xdr:to>
    <xdr:pic>
      <xdr:nvPicPr>
        <xdr:cNvPr id="193" name="Obraz 192">
          <a:extLst>
            <a:ext uri="{FF2B5EF4-FFF2-40B4-BE49-F238E27FC236}">
              <a16:creationId xmlns:a16="http://schemas.microsoft.com/office/drawing/2014/main" id="{66FA112E-F2FA-2339-812C-37BC4C7982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6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</xdr:row>
      <xdr:rowOff>760942</xdr:rowOff>
    </xdr:from>
    <xdr:to>
      <xdr:col>0</xdr:col>
      <xdr:colOff>871538</xdr:colOff>
      <xdr:row>55</xdr:row>
      <xdr:rowOff>760942</xdr:rowOff>
    </xdr:to>
    <xdr:pic>
      <xdr:nvPicPr>
        <xdr:cNvPr id="197" name="Obraz 196">
          <a:extLst>
            <a:ext uri="{FF2B5EF4-FFF2-40B4-BE49-F238E27FC236}">
              <a16:creationId xmlns:a16="http://schemas.microsoft.com/office/drawing/2014/main" id="{D139E8E1-B1B4-EBF9-CD4B-5121D703B7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4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</xdr:row>
      <xdr:rowOff>760942</xdr:rowOff>
    </xdr:from>
    <xdr:to>
      <xdr:col>0</xdr:col>
      <xdr:colOff>871538</xdr:colOff>
      <xdr:row>56</xdr:row>
      <xdr:rowOff>760942</xdr:rowOff>
    </xdr:to>
    <xdr:pic>
      <xdr:nvPicPr>
        <xdr:cNvPr id="200" name="Obraz 199">
          <a:extLst>
            <a:ext uri="{FF2B5EF4-FFF2-40B4-BE49-F238E27FC236}">
              <a16:creationId xmlns:a16="http://schemas.microsoft.com/office/drawing/2014/main" id="{62569681-88D5-9A28-F211-6B678DF498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2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</xdr:row>
      <xdr:rowOff>760942</xdr:rowOff>
    </xdr:from>
    <xdr:to>
      <xdr:col>0</xdr:col>
      <xdr:colOff>871538</xdr:colOff>
      <xdr:row>57</xdr:row>
      <xdr:rowOff>760942</xdr:rowOff>
    </xdr:to>
    <xdr:pic>
      <xdr:nvPicPr>
        <xdr:cNvPr id="204" name="Obraz 203">
          <a:extLst>
            <a:ext uri="{FF2B5EF4-FFF2-40B4-BE49-F238E27FC236}">
              <a16:creationId xmlns:a16="http://schemas.microsoft.com/office/drawing/2014/main" id="{8F229ADA-207B-6F88-9384-D21E7D4F6E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9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</xdr:row>
      <xdr:rowOff>760942</xdr:rowOff>
    </xdr:from>
    <xdr:to>
      <xdr:col>0</xdr:col>
      <xdr:colOff>871538</xdr:colOff>
      <xdr:row>58</xdr:row>
      <xdr:rowOff>760942</xdr:rowOff>
    </xdr:to>
    <xdr:pic>
      <xdr:nvPicPr>
        <xdr:cNvPr id="207" name="Obraz 206">
          <a:extLst>
            <a:ext uri="{FF2B5EF4-FFF2-40B4-BE49-F238E27FC236}">
              <a16:creationId xmlns:a16="http://schemas.microsoft.com/office/drawing/2014/main" id="{BB2E94F5-5CEB-D799-B7E0-30E7FE6E67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7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58</xdr:row>
      <xdr:rowOff>760942</xdr:rowOff>
    </xdr:from>
    <xdr:to>
      <xdr:col>0</xdr:col>
      <xdr:colOff>871538</xdr:colOff>
      <xdr:row>59</xdr:row>
      <xdr:rowOff>760942</xdr:rowOff>
    </xdr:to>
    <xdr:pic>
      <xdr:nvPicPr>
        <xdr:cNvPr id="211" name="Obraz 210">
          <a:extLst>
            <a:ext uri="{FF2B5EF4-FFF2-40B4-BE49-F238E27FC236}">
              <a16:creationId xmlns:a16="http://schemas.microsoft.com/office/drawing/2014/main" id="{EA26CA3B-5D9B-189F-A050-19BDE309FD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4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</xdr:row>
      <xdr:rowOff>760942</xdr:rowOff>
    </xdr:from>
    <xdr:to>
      <xdr:col>0</xdr:col>
      <xdr:colOff>871538</xdr:colOff>
      <xdr:row>60</xdr:row>
      <xdr:rowOff>760942</xdr:rowOff>
    </xdr:to>
    <xdr:pic>
      <xdr:nvPicPr>
        <xdr:cNvPr id="214" name="Obraz 213">
          <a:extLst>
            <a:ext uri="{FF2B5EF4-FFF2-40B4-BE49-F238E27FC236}">
              <a16:creationId xmlns:a16="http://schemas.microsoft.com/office/drawing/2014/main" id="{ACC00578-FCA6-904B-7AB5-9F5838CE55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2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</xdr:row>
      <xdr:rowOff>760942</xdr:rowOff>
    </xdr:from>
    <xdr:to>
      <xdr:col>0</xdr:col>
      <xdr:colOff>871538</xdr:colOff>
      <xdr:row>61</xdr:row>
      <xdr:rowOff>760942</xdr:rowOff>
    </xdr:to>
    <xdr:pic>
      <xdr:nvPicPr>
        <xdr:cNvPr id="218" name="Obraz 217">
          <a:extLst>
            <a:ext uri="{FF2B5EF4-FFF2-40B4-BE49-F238E27FC236}">
              <a16:creationId xmlns:a16="http://schemas.microsoft.com/office/drawing/2014/main" id="{442D5AD1-5349-1273-8028-D20C8F2BE1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0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</xdr:row>
      <xdr:rowOff>760942</xdr:rowOff>
    </xdr:from>
    <xdr:to>
      <xdr:col>0</xdr:col>
      <xdr:colOff>871538</xdr:colOff>
      <xdr:row>62</xdr:row>
      <xdr:rowOff>760942</xdr:rowOff>
    </xdr:to>
    <xdr:pic>
      <xdr:nvPicPr>
        <xdr:cNvPr id="221" name="Obraz 220">
          <a:extLst>
            <a:ext uri="{FF2B5EF4-FFF2-40B4-BE49-F238E27FC236}">
              <a16:creationId xmlns:a16="http://schemas.microsoft.com/office/drawing/2014/main" id="{DE60DF62-C037-B413-F996-FC029AD05D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7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62</xdr:row>
      <xdr:rowOff>760942</xdr:rowOff>
    </xdr:from>
    <xdr:to>
      <xdr:col>0</xdr:col>
      <xdr:colOff>871538</xdr:colOff>
      <xdr:row>63</xdr:row>
      <xdr:rowOff>760942</xdr:rowOff>
    </xdr:to>
    <xdr:pic>
      <xdr:nvPicPr>
        <xdr:cNvPr id="225" name="Obraz 224">
          <a:extLst>
            <a:ext uri="{FF2B5EF4-FFF2-40B4-BE49-F238E27FC236}">
              <a16:creationId xmlns:a16="http://schemas.microsoft.com/office/drawing/2014/main" id="{E7418F63-9A09-B2FE-6030-4BCFD6938E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5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63</xdr:row>
      <xdr:rowOff>760942</xdr:rowOff>
    </xdr:from>
    <xdr:to>
      <xdr:col>0</xdr:col>
      <xdr:colOff>871538</xdr:colOff>
      <xdr:row>64</xdr:row>
      <xdr:rowOff>760942</xdr:rowOff>
    </xdr:to>
    <xdr:pic>
      <xdr:nvPicPr>
        <xdr:cNvPr id="229" name="Obraz 228">
          <a:extLst>
            <a:ext uri="{FF2B5EF4-FFF2-40B4-BE49-F238E27FC236}">
              <a16:creationId xmlns:a16="http://schemas.microsoft.com/office/drawing/2014/main" id="{0079DB98-0984-1A84-9ED0-44185BC15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3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64</xdr:row>
      <xdr:rowOff>760942</xdr:rowOff>
    </xdr:from>
    <xdr:to>
      <xdr:col>0</xdr:col>
      <xdr:colOff>871538</xdr:colOff>
      <xdr:row>65</xdr:row>
      <xdr:rowOff>760942</xdr:rowOff>
    </xdr:to>
    <xdr:pic>
      <xdr:nvPicPr>
        <xdr:cNvPr id="232" name="Obraz 231">
          <a:extLst>
            <a:ext uri="{FF2B5EF4-FFF2-40B4-BE49-F238E27FC236}">
              <a16:creationId xmlns:a16="http://schemas.microsoft.com/office/drawing/2014/main" id="{2DBC5965-3893-3639-5983-9422BC7C78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0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</xdr:row>
      <xdr:rowOff>760942</xdr:rowOff>
    </xdr:from>
    <xdr:to>
      <xdr:col>0</xdr:col>
      <xdr:colOff>871538</xdr:colOff>
      <xdr:row>66</xdr:row>
      <xdr:rowOff>760942</xdr:rowOff>
    </xdr:to>
    <xdr:pic>
      <xdr:nvPicPr>
        <xdr:cNvPr id="236" name="Obraz 235">
          <a:extLst>
            <a:ext uri="{FF2B5EF4-FFF2-40B4-BE49-F238E27FC236}">
              <a16:creationId xmlns:a16="http://schemas.microsoft.com/office/drawing/2014/main" id="{2EEA8600-0D0A-B28A-DCE3-94F516EB6A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8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</xdr:row>
      <xdr:rowOff>760942</xdr:rowOff>
    </xdr:from>
    <xdr:to>
      <xdr:col>0</xdr:col>
      <xdr:colOff>871538</xdr:colOff>
      <xdr:row>67</xdr:row>
      <xdr:rowOff>760942</xdr:rowOff>
    </xdr:to>
    <xdr:pic>
      <xdr:nvPicPr>
        <xdr:cNvPr id="239" name="Obraz 238">
          <a:extLst>
            <a:ext uri="{FF2B5EF4-FFF2-40B4-BE49-F238E27FC236}">
              <a16:creationId xmlns:a16="http://schemas.microsoft.com/office/drawing/2014/main" id="{0A7D22CA-BA91-A449-10CC-B2E1B1E0F3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5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</xdr:row>
      <xdr:rowOff>760942</xdr:rowOff>
    </xdr:from>
    <xdr:to>
      <xdr:col>0</xdr:col>
      <xdr:colOff>871538</xdr:colOff>
      <xdr:row>68</xdr:row>
      <xdr:rowOff>760942</xdr:rowOff>
    </xdr:to>
    <xdr:pic>
      <xdr:nvPicPr>
        <xdr:cNvPr id="243" name="Obraz 242">
          <a:extLst>
            <a:ext uri="{FF2B5EF4-FFF2-40B4-BE49-F238E27FC236}">
              <a16:creationId xmlns:a16="http://schemas.microsoft.com/office/drawing/2014/main" id="{36BE2A31-CFC1-0291-833D-786F3ECCE1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3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</xdr:row>
      <xdr:rowOff>760942</xdr:rowOff>
    </xdr:from>
    <xdr:to>
      <xdr:col>0</xdr:col>
      <xdr:colOff>871538</xdr:colOff>
      <xdr:row>69</xdr:row>
      <xdr:rowOff>760942</xdr:rowOff>
    </xdr:to>
    <xdr:pic>
      <xdr:nvPicPr>
        <xdr:cNvPr id="246" name="Obraz 245">
          <a:extLst>
            <a:ext uri="{FF2B5EF4-FFF2-40B4-BE49-F238E27FC236}">
              <a16:creationId xmlns:a16="http://schemas.microsoft.com/office/drawing/2014/main" id="{77E7CEBC-DA7B-29F6-F0EE-749CC52B0A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1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69</xdr:row>
      <xdr:rowOff>760942</xdr:rowOff>
    </xdr:from>
    <xdr:to>
      <xdr:col>0</xdr:col>
      <xdr:colOff>871538</xdr:colOff>
      <xdr:row>70</xdr:row>
      <xdr:rowOff>760942</xdr:rowOff>
    </xdr:to>
    <xdr:pic>
      <xdr:nvPicPr>
        <xdr:cNvPr id="250" name="Obraz 249">
          <a:extLst>
            <a:ext uri="{FF2B5EF4-FFF2-40B4-BE49-F238E27FC236}">
              <a16:creationId xmlns:a16="http://schemas.microsoft.com/office/drawing/2014/main" id="{748C45C8-7FB7-86D6-0069-B11CDE693A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8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70</xdr:row>
      <xdr:rowOff>760942</xdr:rowOff>
    </xdr:from>
    <xdr:to>
      <xdr:col>0</xdr:col>
      <xdr:colOff>871538</xdr:colOff>
      <xdr:row>71</xdr:row>
      <xdr:rowOff>760942</xdr:rowOff>
    </xdr:to>
    <xdr:pic>
      <xdr:nvPicPr>
        <xdr:cNvPr id="253" name="Obraz 252">
          <a:extLst>
            <a:ext uri="{FF2B5EF4-FFF2-40B4-BE49-F238E27FC236}">
              <a16:creationId xmlns:a16="http://schemas.microsoft.com/office/drawing/2014/main" id="{53650F0B-475F-40BC-5C23-6C58FBEBE2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6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71</xdr:row>
      <xdr:rowOff>760942</xdr:rowOff>
    </xdr:from>
    <xdr:to>
      <xdr:col>0</xdr:col>
      <xdr:colOff>871538</xdr:colOff>
      <xdr:row>72</xdr:row>
      <xdr:rowOff>760942</xdr:rowOff>
    </xdr:to>
    <xdr:pic>
      <xdr:nvPicPr>
        <xdr:cNvPr id="257" name="Obraz 256">
          <a:extLst>
            <a:ext uri="{FF2B5EF4-FFF2-40B4-BE49-F238E27FC236}">
              <a16:creationId xmlns:a16="http://schemas.microsoft.com/office/drawing/2014/main" id="{6A71E002-3394-136C-37E8-5CBAA1567D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3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72</xdr:row>
      <xdr:rowOff>760942</xdr:rowOff>
    </xdr:from>
    <xdr:to>
      <xdr:col>0</xdr:col>
      <xdr:colOff>871538</xdr:colOff>
      <xdr:row>73</xdr:row>
      <xdr:rowOff>760942</xdr:rowOff>
    </xdr:to>
    <xdr:pic>
      <xdr:nvPicPr>
        <xdr:cNvPr id="261" name="Obraz 260">
          <a:extLst>
            <a:ext uri="{FF2B5EF4-FFF2-40B4-BE49-F238E27FC236}">
              <a16:creationId xmlns:a16="http://schemas.microsoft.com/office/drawing/2014/main" id="{39D8747C-35DB-8914-CEAC-1B0250B3CD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1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73</xdr:row>
      <xdr:rowOff>760942</xdr:rowOff>
    </xdr:from>
    <xdr:to>
      <xdr:col>0</xdr:col>
      <xdr:colOff>871538</xdr:colOff>
      <xdr:row>74</xdr:row>
      <xdr:rowOff>760942</xdr:rowOff>
    </xdr:to>
    <xdr:pic>
      <xdr:nvPicPr>
        <xdr:cNvPr id="264" name="Obraz 263">
          <a:extLst>
            <a:ext uri="{FF2B5EF4-FFF2-40B4-BE49-F238E27FC236}">
              <a16:creationId xmlns:a16="http://schemas.microsoft.com/office/drawing/2014/main" id="{259EC1D4-1C41-413C-88B4-F849F213BD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9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74</xdr:row>
      <xdr:rowOff>760942</xdr:rowOff>
    </xdr:from>
    <xdr:to>
      <xdr:col>0</xdr:col>
      <xdr:colOff>871538</xdr:colOff>
      <xdr:row>75</xdr:row>
      <xdr:rowOff>760942</xdr:rowOff>
    </xdr:to>
    <xdr:pic>
      <xdr:nvPicPr>
        <xdr:cNvPr id="268" name="Obraz 267">
          <a:extLst>
            <a:ext uri="{FF2B5EF4-FFF2-40B4-BE49-F238E27FC236}">
              <a16:creationId xmlns:a16="http://schemas.microsoft.com/office/drawing/2014/main" id="{DEFA2125-3B99-A668-71E0-4A065EC10A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66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75</xdr:row>
      <xdr:rowOff>760942</xdr:rowOff>
    </xdr:from>
    <xdr:to>
      <xdr:col>0</xdr:col>
      <xdr:colOff>871538</xdr:colOff>
      <xdr:row>76</xdr:row>
      <xdr:rowOff>760942</xdr:rowOff>
    </xdr:to>
    <xdr:pic>
      <xdr:nvPicPr>
        <xdr:cNvPr id="271" name="Obraz 270">
          <a:extLst>
            <a:ext uri="{FF2B5EF4-FFF2-40B4-BE49-F238E27FC236}">
              <a16:creationId xmlns:a16="http://schemas.microsoft.com/office/drawing/2014/main" id="{DF71898A-D3AD-733E-AADE-CE7691832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4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76</xdr:row>
      <xdr:rowOff>760942</xdr:rowOff>
    </xdr:from>
    <xdr:to>
      <xdr:col>0</xdr:col>
      <xdr:colOff>871538</xdr:colOff>
      <xdr:row>77</xdr:row>
      <xdr:rowOff>760942</xdr:rowOff>
    </xdr:to>
    <xdr:pic>
      <xdr:nvPicPr>
        <xdr:cNvPr id="275" name="Obraz 274">
          <a:extLst>
            <a:ext uri="{FF2B5EF4-FFF2-40B4-BE49-F238E27FC236}">
              <a16:creationId xmlns:a16="http://schemas.microsoft.com/office/drawing/2014/main" id="{7A908CFE-14F4-1561-8451-7C767B5DB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2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</xdr:row>
      <xdr:rowOff>760942</xdr:rowOff>
    </xdr:from>
    <xdr:to>
      <xdr:col>0</xdr:col>
      <xdr:colOff>871538</xdr:colOff>
      <xdr:row>78</xdr:row>
      <xdr:rowOff>760942</xdr:rowOff>
    </xdr:to>
    <xdr:pic>
      <xdr:nvPicPr>
        <xdr:cNvPr id="278" name="Obraz 277">
          <a:extLst>
            <a:ext uri="{FF2B5EF4-FFF2-40B4-BE49-F238E27FC236}">
              <a16:creationId xmlns:a16="http://schemas.microsoft.com/office/drawing/2014/main" id="{53BA30B4-C58F-422E-996A-E8E35418DE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9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</xdr:row>
      <xdr:rowOff>760942</xdr:rowOff>
    </xdr:from>
    <xdr:to>
      <xdr:col>0</xdr:col>
      <xdr:colOff>871538</xdr:colOff>
      <xdr:row>79</xdr:row>
      <xdr:rowOff>760942</xdr:rowOff>
    </xdr:to>
    <xdr:pic>
      <xdr:nvPicPr>
        <xdr:cNvPr id="282" name="Obraz 281">
          <a:extLst>
            <a:ext uri="{FF2B5EF4-FFF2-40B4-BE49-F238E27FC236}">
              <a16:creationId xmlns:a16="http://schemas.microsoft.com/office/drawing/2014/main" id="{0E419047-68F9-1B16-C6EE-6DA12E5DB8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7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</xdr:row>
      <xdr:rowOff>760942</xdr:rowOff>
    </xdr:from>
    <xdr:to>
      <xdr:col>0</xdr:col>
      <xdr:colOff>871538</xdr:colOff>
      <xdr:row>80</xdr:row>
      <xdr:rowOff>760942</xdr:rowOff>
    </xdr:to>
    <xdr:pic>
      <xdr:nvPicPr>
        <xdr:cNvPr id="285" name="Obraz 284">
          <a:extLst>
            <a:ext uri="{FF2B5EF4-FFF2-40B4-BE49-F238E27FC236}">
              <a16:creationId xmlns:a16="http://schemas.microsoft.com/office/drawing/2014/main" id="{BF03C728-13D9-BD71-3640-FCDD61C1CA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4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</xdr:row>
      <xdr:rowOff>760942</xdr:rowOff>
    </xdr:from>
    <xdr:to>
      <xdr:col>0</xdr:col>
      <xdr:colOff>871538</xdr:colOff>
      <xdr:row>81</xdr:row>
      <xdr:rowOff>760942</xdr:rowOff>
    </xdr:to>
    <xdr:pic>
      <xdr:nvPicPr>
        <xdr:cNvPr id="289" name="Obraz 288">
          <a:extLst>
            <a:ext uri="{FF2B5EF4-FFF2-40B4-BE49-F238E27FC236}">
              <a16:creationId xmlns:a16="http://schemas.microsoft.com/office/drawing/2014/main" id="{8C5C709D-216B-74DB-590D-0802C5693D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2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81</xdr:row>
      <xdr:rowOff>760942</xdr:rowOff>
    </xdr:from>
    <xdr:to>
      <xdr:col>0</xdr:col>
      <xdr:colOff>871538</xdr:colOff>
      <xdr:row>82</xdr:row>
      <xdr:rowOff>760942</xdr:rowOff>
    </xdr:to>
    <xdr:pic>
      <xdr:nvPicPr>
        <xdr:cNvPr id="293" name="Obraz 292">
          <a:extLst>
            <a:ext uri="{FF2B5EF4-FFF2-40B4-BE49-F238E27FC236}">
              <a16:creationId xmlns:a16="http://schemas.microsoft.com/office/drawing/2014/main" id="{F91B6D82-D55C-03AF-8B6E-348400905A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0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82</xdr:row>
      <xdr:rowOff>760942</xdr:rowOff>
    </xdr:from>
    <xdr:to>
      <xdr:col>0</xdr:col>
      <xdr:colOff>871538</xdr:colOff>
      <xdr:row>83</xdr:row>
      <xdr:rowOff>760942</xdr:rowOff>
    </xdr:to>
    <xdr:pic>
      <xdr:nvPicPr>
        <xdr:cNvPr id="296" name="Obraz 295">
          <a:extLst>
            <a:ext uri="{FF2B5EF4-FFF2-40B4-BE49-F238E27FC236}">
              <a16:creationId xmlns:a16="http://schemas.microsoft.com/office/drawing/2014/main" id="{99275D72-CA90-776D-23EC-D2D8475CD7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7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83</xdr:row>
      <xdr:rowOff>760942</xdr:rowOff>
    </xdr:from>
    <xdr:to>
      <xdr:col>0</xdr:col>
      <xdr:colOff>871538</xdr:colOff>
      <xdr:row>84</xdr:row>
      <xdr:rowOff>760942</xdr:rowOff>
    </xdr:to>
    <xdr:pic>
      <xdr:nvPicPr>
        <xdr:cNvPr id="300" name="Obraz 299">
          <a:extLst>
            <a:ext uri="{FF2B5EF4-FFF2-40B4-BE49-F238E27FC236}">
              <a16:creationId xmlns:a16="http://schemas.microsoft.com/office/drawing/2014/main" id="{6DF540F0-B5D1-5AA2-C962-3000015D20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5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84</xdr:row>
      <xdr:rowOff>760942</xdr:rowOff>
    </xdr:from>
    <xdr:to>
      <xdr:col>0</xdr:col>
      <xdr:colOff>871538</xdr:colOff>
      <xdr:row>85</xdr:row>
      <xdr:rowOff>760942</xdr:rowOff>
    </xdr:to>
    <xdr:pic>
      <xdr:nvPicPr>
        <xdr:cNvPr id="303" name="Obraz 302">
          <a:extLst>
            <a:ext uri="{FF2B5EF4-FFF2-40B4-BE49-F238E27FC236}">
              <a16:creationId xmlns:a16="http://schemas.microsoft.com/office/drawing/2014/main" id="{A8044A77-F723-6F66-9320-611679A4AC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3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85</xdr:row>
      <xdr:rowOff>760942</xdr:rowOff>
    </xdr:from>
    <xdr:to>
      <xdr:col>0</xdr:col>
      <xdr:colOff>871538</xdr:colOff>
      <xdr:row>86</xdr:row>
      <xdr:rowOff>760942</xdr:rowOff>
    </xdr:to>
    <xdr:pic>
      <xdr:nvPicPr>
        <xdr:cNvPr id="307" name="Obraz 306">
          <a:extLst>
            <a:ext uri="{FF2B5EF4-FFF2-40B4-BE49-F238E27FC236}">
              <a16:creationId xmlns:a16="http://schemas.microsoft.com/office/drawing/2014/main" id="{B391B73C-6AC1-BD4B-E5E8-B6F4B7DA86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0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</xdr:row>
      <xdr:rowOff>760942</xdr:rowOff>
    </xdr:from>
    <xdr:to>
      <xdr:col>0</xdr:col>
      <xdr:colOff>871538</xdr:colOff>
      <xdr:row>87</xdr:row>
      <xdr:rowOff>760942</xdr:rowOff>
    </xdr:to>
    <xdr:pic>
      <xdr:nvPicPr>
        <xdr:cNvPr id="310" name="Obraz 309">
          <a:extLst>
            <a:ext uri="{FF2B5EF4-FFF2-40B4-BE49-F238E27FC236}">
              <a16:creationId xmlns:a16="http://schemas.microsoft.com/office/drawing/2014/main" id="{456F2012-DAD5-CCAA-1932-E1B1F56934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8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</xdr:row>
      <xdr:rowOff>760942</xdr:rowOff>
    </xdr:from>
    <xdr:to>
      <xdr:col>0</xdr:col>
      <xdr:colOff>871538</xdr:colOff>
      <xdr:row>88</xdr:row>
      <xdr:rowOff>760942</xdr:rowOff>
    </xdr:to>
    <xdr:pic>
      <xdr:nvPicPr>
        <xdr:cNvPr id="314" name="Obraz 313">
          <a:extLst>
            <a:ext uri="{FF2B5EF4-FFF2-40B4-BE49-F238E27FC236}">
              <a16:creationId xmlns:a16="http://schemas.microsoft.com/office/drawing/2014/main" id="{088B10F7-50EB-BC04-C863-E54AB85A21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5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</xdr:row>
      <xdr:rowOff>760942</xdr:rowOff>
    </xdr:from>
    <xdr:to>
      <xdr:col>0</xdr:col>
      <xdr:colOff>871538</xdr:colOff>
      <xdr:row>89</xdr:row>
      <xdr:rowOff>760942</xdr:rowOff>
    </xdr:to>
    <xdr:pic>
      <xdr:nvPicPr>
        <xdr:cNvPr id="317" name="Obraz 316">
          <a:extLst>
            <a:ext uri="{FF2B5EF4-FFF2-40B4-BE49-F238E27FC236}">
              <a16:creationId xmlns:a16="http://schemas.microsoft.com/office/drawing/2014/main" id="{8F9017FF-385A-CCE6-F3A3-9ED8464D83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3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89</xdr:row>
      <xdr:rowOff>760942</xdr:rowOff>
    </xdr:from>
    <xdr:to>
      <xdr:col>0</xdr:col>
      <xdr:colOff>871538</xdr:colOff>
      <xdr:row>90</xdr:row>
      <xdr:rowOff>760942</xdr:rowOff>
    </xdr:to>
    <xdr:pic>
      <xdr:nvPicPr>
        <xdr:cNvPr id="321" name="Obraz 320">
          <a:extLst>
            <a:ext uri="{FF2B5EF4-FFF2-40B4-BE49-F238E27FC236}">
              <a16:creationId xmlns:a16="http://schemas.microsoft.com/office/drawing/2014/main" id="{A8AE2D7B-FDC1-C3C6-F585-CF862CA3D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1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90</xdr:row>
      <xdr:rowOff>760942</xdr:rowOff>
    </xdr:from>
    <xdr:to>
      <xdr:col>0</xdr:col>
      <xdr:colOff>871538</xdr:colOff>
      <xdr:row>91</xdr:row>
      <xdr:rowOff>760942</xdr:rowOff>
    </xdr:to>
    <xdr:pic>
      <xdr:nvPicPr>
        <xdr:cNvPr id="325" name="Obraz 324">
          <a:extLst>
            <a:ext uri="{FF2B5EF4-FFF2-40B4-BE49-F238E27FC236}">
              <a16:creationId xmlns:a16="http://schemas.microsoft.com/office/drawing/2014/main" id="{505D80C4-FBB4-0E8F-4B1F-74BD66A8A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8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</xdr:row>
      <xdr:rowOff>760942</xdr:rowOff>
    </xdr:from>
    <xdr:to>
      <xdr:col>0</xdr:col>
      <xdr:colOff>871538</xdr:colOff>
      <xdr:row>92</xdr:row>
      <xdr:rowOff>760942</xdr:rowOff>
    </xdr:to>
    <xdr:pic>
      <xdr:nvPicPr>
        <xdr:cNvPr id="328" name="Obraz 327">
          <a:extLst>
            <a:ext uri="{FF2B5EF4-FFF2-40B4-BE49-F238E27FC236}">
              <a16:creationId xmlns:a16="http://schemas.microsoft.com/office/drawing/2014/main" id="{C527A485-E70C-FB88-F140-C7B2017FC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6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</xdr:row>
      <xdr:rowOff>760942</xdr:rowOff>
    </xdr:from>
    <xdr:to>
      <xdr:col>0</xdr:col>
      <xdr:colOff>871538</xdr:colOff>
      <xdr:row>93</xdr:row>
      <xdr:rowOff>760942</xdr:rowOff>
    </xdr:to>
    <xdr:pic>
      <xdr:nvPicPr>
        <xdr:cNvPr id="332" name="Obraz 331">
          <a:extLst>
            <a:ext uri="{FF2B5EF4-FFF2-40B4-BE49-F238E27FC236}">
              <a16:creationId xmlns:a16="http://schemas.microsoft.com/office/drawing/2014/main" id="{DC2C3983-7655-0E29-41DF-C01D17BE2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3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</xdr:row>
      <xdr:rowOff>760942</xdr:rowOff>
    </xdr:from>
    <xdr:to>
      <xdr:col>0</xdr:col>
      <xdr:colOff>871538</xdr:colOff>
      <xdr:row>94</xdr:row>
      <xdr:rowOff>760942</xdr:rowOff>
    </xdr:to>
    <xdr:pic>
      <xdr:nvPicPr>
        <xdr:cNvPr id="335" name="Obraz 334">
          <a:extLst>
            <a:ext uri="{FF2B5EF4-FFF2-40B4-BE49-F238E27FC236}">
              <a16:creationId xmlns:a16="http://schemas.microsoft.com/office/drawing/2014/main" id="{A1589F6C-926E-DA35-0232-950C08A7A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1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</xdr:row>
      <xdr:rowOff>760942</xdr:rowOff>
    </xdr:from>
    <xdr:to>
      <xdr:col>0</xdr:col>
      <xdr:colOff>871538</xdr:colOff>
      <xdr:row>95</xdr:row>
      <xdr:rowOff>760942</xdr:rowOff>
    </xdr:to>
    <xdr:pic>
      <xdr:nvPicPr>
        <xdr:cNvPr id="339" name="Obraz 338">
          <a:extLst>
            <a:ext uri="{FF2B5EF4-FFF2-40B4-BE49-F238E27FC236}">
              <a16:creationId xmlns:a16="http://schemas.microsoft.com/office/drawing/2014/main" id="{F12C3880-4C6C-0009-FDA1-BB7C3F7FDA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9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</xdr:row>
      <xdr:rowOff>760942</xdr:rowOff>
    </xdr:from>
    <xdr:to>
      <xdr:col>0</xdr:col>
      <xdr:colOff>871538</xdr:colOff>
      <xdr:row>96</xdr:row>
      <xdr:rowOff>760942</xdr:rowOff>
    </xdr:to>
    <xdr:pic>
      <xdr:nvPicPr>
        <xdr:cNvPr id="342" name="Obraz 341">
          <a:extLst>
            <a:ext uri="{FF2B5EF4-FFF2-40B4-BE49-F238E27FC236}">
              <a16:creationId xmlns:a16="http://schemas.microsoft.com/office/drawing/2014/main" id="{A270B9AD-38D2-F789-13F5-457F321494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6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</xdr:row>
      <xdr:rowOff>760942</xdr:rowOff>
    </xdr:from>
    <xdr:to>
      <xdr:col>0</xdr:col>
      <xdr:colOff>871538</xdr:colOff>
      <xdr:row>97</xdr:row>
      <xdr:rowOff>760942</xdr:rowOff>
    </xdr:to>
    <xdr:pic>
      <xdr:nvPicPr>
        <xdr:cNvPr id="346" name="Obraz 345">
          <a:extLst>
            <a:ext uri="{FF2B5EF4-FFF2-40B4-BE49-F238E27FC236}">
              <a16:creationId xmlns:a16="http://schemas.microsoft.com/office/drawing/2014/main" id="{D2BEB399-E83E-21EC-5318-2AD5AE403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4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97</xdr:row>
      <xdr:rowOff>760942</xdr:rowOff>
    </xdr:from>
    <xdr:to>
      <xdr:col>0</xdr:col>
      <xdr:colOff>871538</xdr:colOff>
      <xdr:row>98</xdr:row>
      <xdr:rowOff>760942</xdr:rowOff>
    </xdr:to>
    <xdr:pic>
      <xdr:nvPicPr>
        <xdr:cNvPr id="349" name="Obraz 348">
          <a:extLst>
            <a:ext uri="{FF2B5EF4-FFF2-40B4-BE49-F238E27FC236}">
              <a16:creationId xmlns:a16="http://schemas.microsoft.com/office/drawing/2014/main" id="{A8B72F0A-5708-1526-F0CB-B9E89739CB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2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</xdr:row>
      <xdr:rowOff>760942</xdr:rowOff>
    </xdr:from>
    <xdr:to>
      <xdr:col>0</xdr:col>
      <xdr:colOff>871538</xdr:colOff>
      <xdr:row>99</xdr:row>
      <xdr:rowOff>760942</xdr:rowOff>
    </xdr:to>
    <xdr:pic>
      <xdr:nvPicPr>
        <xdr:cNvPr id="353" name="Obraz 352">
          <a:extLst>
            <a:ext uri="{FF2B5EF4-FFF2-40B4-BE49-F238E27FC236}">
              <a16:creationId xmlns:a16="http://schemas.microsoft.com/office/drawing/2014/main" id="{1EDB01F1-727F-12B6-EEBC-DE8B5F20C6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9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</xdr:row>
      <xdr:rowOff>760942</xdr:rowOff>
    </xdr:from>
    <xdr:to>
      <xdr:col>0</xdr:col>
      <xdr:colOff>871538</xdr:colOff>
      <xdr:row>100</xdr:row>
      <xdr:rowOff>760942</xdr:rowOff>
    </xdr:to>
    <xdr:pic>
      <xdr:nvPicPr>
        <xdr:cNvPr id="357" name="Obraz 356">
          <a:extLst>
            <a:ext uri="{FF2B5EF4-FFF2-40B4-BE49-F238E27FC236}">
              <a16:creationId xmlns:a16="http://schemas.microsoft.com/office/drawing/2014/main" id="{2B71B86B-0151-FCDA-5BB8-274C26DB78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7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</xdr:row>
      <xdr:rowOff>760942</xdr:rowOff>
    </xdr:from>
    <xdr:to>
      <xdr:col>0</xdr:col>
      <xdr:colOff>871538</xdr:colOff>
      <xdr:row>101</xdr:row>
      <xdr:rowOff>760942</xdr:rowOff>
    </xdr:to>
    <xdr:pic>
      <xdr:nvPicPr>
        <xdr:cNvPr id="360" name="Obraz 359">
          <a:extLst>
            <a:ext uri="{FF2B5EF4-FFF2-40B4-BE49-F238E27FC236}">
              <a16:creationId xmlns:a16="http://schemas.microsoft.com/office/drawing/2014/main" id="{A6CB6AED-4B9A-829C-50B9-7D4754EE23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4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101</xdr:row>
      <xdr:rowOff>760942</xdr:rowOff>
    </xdr:from>
    <xdr:to>
      <xdr:col>0</xdr:col>
      <xdr:colOff>871538</xdr:colOff>
      <xdr:row>102</xdr:row>
      <xdr:rowOff>760942</xdr:rowOff>
    </xdr:to>
    <xdr:pic>
      <xdr:nvPicPr>
        <xdr:cNvPr id="364" name="Obraz 363">
          <a:extLst>
            <a:ext uri="{FF2B5EF4-FFF2-40B4-BE49-F238E27FC236}">
              <a16:creationId xmlns:a16="http://schemas.microsoft.com/office/drawing/2014/main" id="{2BF9A2BC-1BBA-61BA-BC84-0D820F6AF0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2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102</xdr:row>
      <xdr:rowOff>760942</xdr:rowOff>
    </xdr:from>
    <xdr:to>
      <xdr:col>0</xdr:col>
      <xdr:colOff>871538</xdr:colOff>
      <xdr:row>103</xdr:row>
      <xdr:rowOff>760942</xdr:rowOff>
    </xdr:to>
    <xdr:pic>
      <xdr:nvPicPr>
        <xdr:cNvPr id="367" name="Obraz 366">
          <a:extLst>
            <a:ext uri="{FF2B5EF4-FFF2-40B4-BE49-F238E27FC236}">
              <a16:creationId xmlns:a16="http://schemas.microsoft.com/office/drawing/2014/main" id="{C56CE23E-66F7-8CBC-33A3-960942B1E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0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103</xdr:row>
      <xdr:rowOff>760942</xdr:rowOff>
    </xdr:from>
    <xdr:to>
      <xdr:col>0</xdr:col>
      <xdr:colOff>871538</xdr:colOff>
      <xdr:row>104</xdr:row>
      <xdr:rowOff>760942</xdr:rowOff>
    </xdr:to>
    <xdr:pic>
      <xdr:nvPicPr>
        <xdr:cNvPr id="371" name="Obraz 370">
          <a:extLst>
            <a:ext uri="{FF2B5EF4-FFF2-40B4-BE49-F238E27FC236}">
              <a16:creationId xmlns:a16="http://schemas.microsoft.com/office/drawing/2014/main" id="{4F1E7BC6-CE82-98E6-4FB2-290BB43351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7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104</xdr:row>
      <xdr:rowOff>760942</xdr:rowOff>
    </xdr:from>
    <xdr:to>
      <xdr:col>0</xdr:col>
      <xdr:colOff>871538</xdr:colOff>
      <xdr:row>105</xdr:row>
      <xdr:rowOff>760942</xdr:rowOff>
    </xdr:to>
    <xdr:pic>
      <xdr:nvPicPr>
        <xdr:cNvPr id="374" name="Obraz 373">
          <a:extLst>
            <a:ext uri="{FF2B5EF4-FFF2-40B4-BE49-F238E27FC236}">
              <a16:creationId xmlns:a16="http://schemas.microsoft.com/office/drawing/2014/main" id="{EF6C7556-E974-9B26-EF94-F55450127A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5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105</xdr:row>
      <xdr:rowOff>760942</xdr:rowOff>
    </xdr:from>
    <xdr:to>
      <xdr:col>0</xdr:col>
      <xdr:colOff>871538</xdr:colOff>
      <xdr:row>106</xdr:row>
      <xdr:rowOff>760942</xdr:rowOff>
    </xdr:to>
    <xdr:pic>
      <xdr:nvPicPr>
        <xdr:cNvPr id="378" name="Obraz 377">
          <a:extLst>
            <a:ext uri="{FF2B5EF4-FFF2-40B4-BE49-F238E27FC236}">
              <a16:creationId xmlns:a16="http://schemas.microsoft.com/office/drawing/2014/main" id="{7B2BB22F-2A74-068D-F94B-6EDBDB181C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3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106</xdr:row>
      <xdr:rowOff>760942</xdr:rowOff>
    </xdr:from>
    <xdr:to>
      <xdr:col>0</xdr:col>
      <xdr:colOff>871538</xdr:colOff>
      <xdr:row>107</xdr:row>
      <xdr:rowOff>760942</xdr:rowOff>
    </xdr:to>
    <xdr:pic>
      <xdr:nvPicPr>
        <xdr:cNvPr id="381" name="Obraz 380">
          <a:extLst>
            <a:ext uri="{FF2B5EF4-FFF2-40B4-BE49-F238E27FC236}">
              <a16:creationId xmlns:a16="http://schemas.microsoft.com/office/drawing/2014/main" id="{EB32FBD3-47B4-4F52-066D-3AA388FE0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0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107</xdr:row>
      <xdr:rowOff>760942</xdr:rowOff>
    </xdr:from>
    <xdr:to>
      <xdr:col>0</xdr:col>
      <xdr:colOff>871538</xdr:colOff>
      <xdr:row>108</xdr:row>
      <xdr:rowOff>760942</xdr:rowOff>
    </xdr:to>
    <xdr:pic>
      <xdr:nvPicPr>
        <xdr:cNvPr id="385" name="Obraz 384">
          <a:extLst>
            <a:ext uri="{FF2B5EF4-FFF2-40B4-BE49-F238E27FC236}">
              <a16:creationId xmlns:a16="http://schemas.microsoft.com/office/drawing/2014/main" id="{A2BF1624-E421-3E56-3DAB-0397C3BB0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8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108</xdr:row>
      <xdr:rowOff>760942</xdr:rowOff>
    </xdr:from>
    <xdr:to>
      <xdr:col>0</xdr:col>
      <xdr:colOff>871538</xdr:colOff>
      <xdr:row>109</xdr:row>
      <xdr:rowOff>760942</xdr:rowOff>
    </xdr:to>
    <xdr:pic>
      <xdr:nvPicPr>
        <xdr:cNvPr id="389" name="Obraz 388">
          <a:extLst>
            <a:ext uri="{FF2B5EF4-FFF2-40B4-BE49-F238E27FC236}">
              <a16:creationId xmlns:a16="http://schemas.microsoft.com/office/drawing/2014/main" id="{25BFC9B2-01BB-CEEB-D477-B8C50511B3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5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109</xdr:row>
      <xdr:rowOff>760942</xdr:rowOff>
    </xdr:from>
    <xdr:to>
      <xdr:col>0</xdr:col>
      <xdr:colOff>871538</xdr:colOff>
      <xdr:row>110</xdr:row>
      <xdr:rowOff>760942</xdr:rowOff>
    </xdr:to>
    <xdr:pic>
      <xdr:nvPicPr>
        <xdr:cNvPr id="392" name="Obraz 391">
          <a:extLst>
            <a:ext uri="{FF2B5EF4-FFF2-40B4-BE49-F238E27FC236}">
              <a16:creationId xmlns:a16="http://schemas.microsoft.com/office/drawing/2014/main" id="{30B5F8F1-7782-E0BF-5AC5-D96CD66CDA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3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110</xdr:row>
      <xdr:rowOff>760942</xdr:rowOff>
    </xdr:from>
    <xdr:to>
      <xdr:col>0</xdr:col>
      <xdr:colOff>871538</xdr:colOff>
      <xdr:row>111</xdr:row>
      <xdr:rowOff>760942</xdr:rowOff>
    </xdr:to>
    <xdr:pic>
      <xdr:nvPicPr>
        <xdr:cNvPr id="396" name="Obraz 395">
          <a:extLst>
            <a:ext uri="{FF2B5EF4-FFF2-40B4-BE49-F238E27FC236}">
              <a16:creationId xmlns:a16="http://schemas.microsoft.com/office/drawing/2014/main" id="{2CA0F61D-071E-3922-3DEA-C67E4B048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41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111</xdr:row>
      <xdr:rowOff>760942</xdr:rowOff>
    </xdr:from>
    <xdr:to>
      <xdr:col>0</xdr:col>
      <xdr:colOff>871538</xdr:colOff>
      <xdr:row>112</xdr:row>
      <xdr:rowOff>760942</xdr:rowOff>
    </xdr:to>
    <xdr:pic>
      <xdr:nvPicPr>
        <xdr:cNvPr id="399" name="Obraz 398">
          <a:extLst>
            <a:ext uri="{FF2B5EF4-FFF2-40B4-BE49-F238E27FC236}">
              <a16:creationId xmlns:a16="http://schemas.microsoft.com/office/drawing/2014/main" id="{C403AC84-1D27-DE39-A86B-DDBE650590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48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112</xdr:row>
      <xdr:rowOff>760942</xdr:rowOff>
    </xdr:from>
    <xdr:to>
      <xdr:col>0</xdr:col>
      <xdr:colOff>871538</xdr:colOff>
      <xdr:row>113</xdr:row>
      <xdr:rowOff>760942</xdr:rowOff>
    </xdr:to>
    <xdr:pic>
      <xdr:nvPicPr>
        <xdr:cNvPr id="403" name="Obraz 402">
          <a:extLst>
            <a:ext uri="{FF2B5EF4-FFF2-40B4-BE49-F238E27FC236}">
              <a16:creationId xmlns:a16="http://schemas.microsoft.com/office/drawing/2014/main" id="{89EC2E3A-2C8E-CCD6-E041-EFEFAD448B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56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113</xdr:row>
      <xdr:rowOff>760942</xdr:rowOff>
    </xdr:from>
    <xdr:to>
      <xdr:col>0</xdr:col>
      <xdr:colOff>871538</xdr:colOff>
      <xdr:row>114</xdr:row>
      <xdr:rowOff>760942</xdr:rowOff>
    </xdr:to>
    <xdr:pic>
      <xdr:nvPicPr>
        <xdr:cNvPr id="406" name="Obraz 405">
          <a:extLst>
            <a:ext uri="{FF2B5EF4-FFF2-40B4-BE49-F238E27FC236}">
              <a16:creationId xmlns:a16="http://schemas.microsoft.com/office/drawing/2014/main" id="{2228F0D8-A234-0B80-58E7-29F993EAD7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64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114</xdr:row>
      <xdr:rowOff>760942</xdr:rowOff>
    </xdr:from>
    <xdr:to>
      <xdr:col>0</xdr:col>
      <xdr:colOff>871538</xdr:colOff>
      <xdr:row>115</xdr:row>
      <xdr:rowOff>760942</xdr:rowOff>
    </xdr:to>
    <xdr:pic>
      <xdr:nvPicPr>
        <xdr:cNvPr id="410" name="Obraz 409">
          <a:extLst>
            <a:ext uri="{FF2B5EF4-FFF2-40B4-BE49-F238E27FC236}">
              <a16:creationId xmlns:a16="http://schemas.microsoft.com/office/drawing/2014/main" id="{209D650E-49DC-DC45-FBAE-E3080FA4C8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71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115</xdr:row>
      <xdr:rowOff>760942</xdr:rowOff>
    </xdr:from>
    <xdr:to>
      <xdr:col>0</xdr:col>
      <xdr:colOff>871538</xdr:colOff>
      <xdr:row>116</xdr:row>
      <xdr:rowOff>760942</xdr:rowOff>
    </xdr:to>
    <xdr:pic>
      <xdr:nvPicPr>
        <xdr:cNvPr id="413" name="Obraz 412">
          <a:extLst>
            <a:ext uri="{FF2B5EF4-FFF2-40B4-BE49-F238E27FC236}">
              <a16:creationId xmlns:a16="http://schemas.microsoft.com/office/drawing/2014/main" id="{0EE577F6-C4F4-0DC1-82AD-452E837B69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79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116</xdr:row>
      <xdr:rowOff>760942</xdr:rowOff>
    </xdr:from>
    <xdr:to>
      <xdr:col>0</xdr:col>
      <xdr:colOff>871538</xdr:colOff>
      <xdr:row>117</xdr:row>
      <xdr:rowOff>760942</xdr:rowOff>
    </xdr:to>
    <xdr:pic>
      <xdr:nvPicPr>
        <xdr:cNvPr id="417" name="Obraz 416">
          <a:extLst>
            <a:ext uri="{FF2B5EF4-FFF2-40B4-BE49-F238E27FC236}">
              <a16:creationId xmlns:a16="http://schemas.microsoft.com/office/drawing/2014/main" id="{E78888E4-EE39-1AB8-CEFB-3AC2A3331D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86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117</xdr:row>
      <xdr:rowOff>760942</xdr:rowOff>
    </xdr:from>
    <xdr:to>
      <xdr:col>0</xdr:col>
      <xdr:colOff>871538</xdr:colOff>
      <xdr:row>118</xdr:row>
      <xdr:rowOff>760942</xdr:rowOff>
    </xdr:to>
    <xdr:pic>
      <xdr:nvPicPr>
        <xdr:cNvPr id="421" name="Obraz 420">
          <a:extLst>
            <a:ext uri="{FF2B5EF4-FFF2-40B4-BE49-F238E27FC236}">
              <a16:creationId xmlns:a16="http://schemas.microsoft.com/office/drawing/2014/main" id="{C4CC5FD8-D8AA-E0A6-212C-F3AB7E3A0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94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118</xdr:row>
      <xdr:rowOff>760942</xdr:rowOff>
    </xdr:from>
    <xdr:to>
      <xdr:col>0</xdr:col>
      <xdr:colOff>871538</xdr:colOff>
      <xdr:row>119</xdr:row>
      <xdr:rowOff>760942</xdr:rowOff>
    </xdr:to>
    <xdr:pic>
      <xdr:nvPicPr>
        <xdr:cNvPr id="424" name="Obraz 423">
          <a:extLst>
            <a:ext uri="{FF2B5EF4-FFF2-40B4-BE49-F238E27FC236}">
              <a16:creationId xmlns:a16="http://schemas.microsoft.com/office/drawing/2014/main" id="{7F15FAD7-AAF6-1986-1F3B-F83E3FE494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02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119</xdr:row>
      <xdr:rowOff>760942</xdr:rowOff>
    </xdr:from>
    <xdr:to>
      <xdr:col>0</xdr:col>
      <xdr:colOff>871538</xdr:colOff>
      <xdr:row>120</xdr:row>
      <xdr:rowOff>760942</xdr:rowOff>
    </xdr:to>
    <xdr:pic>
      <xdr:nvPicPr>
        <xdr:cNvPr id="428" name="Obraz 427">
          <a:extLst>
            <a:ext uri="{FF2B5EF4-FFF2-40B4-BE49-F238E27FC236}">
              <a16:creationId xmlns:a16="http://schemas.microsoft.com/office/drawing/2014/main" id="{47D61C5C-D496-6F68-1341-BDE34EA525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09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120</xdr:row>
      <xdr:rowOff>760942</xdr:rowOff>
    </xdr:from>
    <xdr:to>
      <xdr:col>0</xdr:col>
      <xdr:colOff>871538</xdr:colOff>
      <xdr:row>121</xdr:row>
      <xdr:rowOff>760942</xdr:rowOff>
    </xdr:to>
    <xdr:pic>
      <xdr:nvPicPr>
        <xdr:cNvPr id="431" name="Obraz 430">
          <a:extLst>
            <a:ext uri="{FF2B5EF4-FFF2-40B4-BE49-F238E27FC236}">
              <a16:creationId xmlns:a16="http://schemas.microsoft.com/office/drawing/2014/main" id="{62B7B512-D326-F29F-C79C-3601118001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17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121</xdr:row>
      <xdr:rowOff>760942</xdr:rowOff>
    </xdr:from>
    <xdr:to>
      <xdr:col>0</xdr:col>
      <xdr:colOff>871538</xdr:colOff>
      <xdr:row>122</xdr:row>
      <xdr:rowOff>760942</xdr:rowOff>
    </xdr:to>
    <xdr:pic>
      <xdr:nvPicPr>
        <xdr:cNvPr id="435" name="Obraz 434">
          <a:extLst>
            <a:ext uri="{FF2B5EF4-FFF2-40B4-BE49-F238E27FC236}">
              <a16:creationId xmlns:a16="http://schemas.microsoft.com/office/drawing/2014/main" id="{60BDD3F8-1261-855A-8059-540F099B84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24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122</xdr:row>
      <xdr:rowOff>760942</xdr:rowOff>
    </xdr:from>
    <xdr:to>
      <xdr:col>0</xdr:col>
      <xdr:colOff>871538</xdr:colOff>
      <xdr:row>123</xdr:row>
      <xdr:rowOff>760942</xdr:rowOff>
    </xdr:to>
    <xdr:pic>
      <xdr:nvPicPr>
        <xdr:cNvPr id="438" name="Obraz 437">
          <a:extLst>
            <a:ext uri="{FF2B5EF4-FFF2-40B4-BE49-F238E27FC236}">
              <a16:creationId xmlns:a16="http://schemas.microsoft.com/office/drawing/2014/main" id="{A8DFC400-BB48-13A8-524E-3E8AB0986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32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123</xdr:row>
      <xdr:rowOff>760942</xdr:rowOff>
    </xdr:from>
    <xdr:to>
      <xdr:col>0</xdr:col>
      <xdr:colOff>871538</xdr:colOff>
      <xdr:row>124</xdr:row>
      <xdr:rowOff>760942</xdr:rowOff>
    </xdr:to>
    <xdr:pic>
      <xdr:nvPicPr>
        <xdr:cNvPr id="442" name="Obraz 441">
          <a:extLst>
            <a:ext uri="{FF2B5EF4-FFF2-40B4-BE49-F238E27FC236}">
              <a16:creationId xmlns:a16="http://schemas.microsoft.com/office/drawing/2014/main" id="{8A5316B8-DEA3-2EF0-F9E4-2758E425AB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40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124</xdr:row>
      <xdr:rowOff>760942</xdr:rowOff>
    </xdr:from>
    <xdr:to>
      <xdr:col>0</xdr:col>
      <xdr:colOff>871538</xdr:colOff>
      <xdr:row>125</xdr:row>
      <xdr:rowOff>760942</xdr:rowOff>
    </xdr:to>
    <xdr:pic>
      <xdr:nvPicPr>
        <xdr:cNvPr id="445" name="Obraz 444">
          <a:extLst>
            <a:ext uri="{FF2B5EF4-FFF2-40B4-BE49-F238E27FC236}">
              <a16:creationId xmlns:a16="http://schemas.microsoft.com/office/drawing/2014/main" id="{9A82C35F-ED53-9FDF-43C1-A2B0184951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47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125</xdr:row>
      <xdr:rowOff>760942</xdr:rowOff>
    </xdr:from>
    <xdr:to>
      <xdr:col>0</xdr:col>
      <xdr:colOff>871538</xdr:colOff>
      <xdr:row>126</xdr:row>
      <xdr:rowOff>760942</xdr:rowOff>
    </xdr:to>
    <xdr:pic>
      <xdr:nvPicPr>
        <xdr:cNvPr id="449" name="Obraz 448">
          <a:extLst>
            <a:ext uri="{FF2B5EF4-FFF2-40B4-BE49-F238E27FC236}">
              <a16:creationId xmlns:a16="http://schemas.microsoft.com/office/drawing/2014/main" id="{2A378CE5-2132-42BD-3C06-724C1CC9A4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55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126</xdr:row>
      <xdr:rowOff>760942</xdr:rowOff>
    </xdr:from>
    <xdr:to>
      <xdr:col>0</xdr:col>
      <xdr:colOff>871538</xdr:colOff>
      <xdr:row>127</xdr:row>
      <xdr:rowOff>760942</xdr:rowOff>
    </xdr:to>
    <xdr:pic>
      <xdr:nvPicPr>
        <xdr:cNvPr id="453" name="Obraz 452">
          <a:extLst>
            <a:ext uri="{FF2B5EF4-FFF2-40B4-BE49-F238E27FC236}">
              <a16:creationId xmlns:a16="http://schemas.microsoft.com/office/drawing/2014/main" id="{A9B831ED-5AFE-F97B-4C06-BB0773208B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63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127</xdr:row>
      <xdr:rowOff>760942</xdr:rowOff>
    </xdr:from>
    <xdr:to>
      <xdr:col>0</xdr:col>
      <xdr:colOff>871538</xdr:colOff>
      <xdr:row>128</xdr:row>
      <xdr:rowOff>760942</xdr:rowOff>
    </xdr:to>
    <xdr:pic>
      <xdr:nvPicPr>
        <xdr:cNvPr id="456" name="Obraz 455">
          <a:extLst>
            <a:ext uri="{FF2B5EF4-FFF2-40B4-BE49-F238E27FC236}">
              <a16:creationId xmlns:a16="http://schemas.microsoft.com/office/drawing/2014/main" id="{E77B5933-4C19-BF73-B05E-6BA8E28176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70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128</xdr:row>
      <xdr:rowOff>760942</xdr:rowOff>
    </xdr:from>
    <xdr:to>
      <xdr:col>0</xdr:col>
      <xdr:colOff>871538</xdr:colOff>
      <xdr:row>129</xdr:row>
      <xdr:rowOff>760942</xdr:rowOff>
    </xdr:to>
    <xdr:pic>
      <xdr:nvPicPr>
        <xdr:cNvPr id="460" name="Obraz 459">
          <a:extLst>
            <a:ext uri="{FF2B5EF4-FFF2-40B4-BE49-F238E27FC236}">
              <a16:creationId xmlns:a16="http://schemas.microsoft.com/office/drawing/2014/main" id="{0CEBF415-6572-0916-E042-E8A879C1E0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78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129</xdr:row>
      <xdr:rowOff>760942</xdr:rowOff>
    </xdr:from>
    <xdr:to>
      <xdr:col>0</xdr:col>
      <xdr:colOff>871538</xdr:colOff>
      <xdr:row>130</xdr:row>
      <xdr:rowOff>760942</xdr:rowOff>
    </xdr:to>
    <xdr:pic>
      <xdr:nvPicPr>
        <xdr:cNvPr id="463" name="Obraz 462">
          <a:extLst>
            <a:ext uri="{FF2B5EF4-FFF2-40B4-BE49-F238E27FC236}">
              <a16:creationId xmlns:a16="http://schemas.microsoft.com/office/drawing/2014/main" id="{C282A9CF-FA51-E618-FCDC-24DC1864E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85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130</xdr:row>
      <xdr:rowOff>760942</xdr:rowOff>
    </xdr:from>
    <xdr:to>
      <xdr:col>0</xdr:col>
      <xdr:colOff>871538</xdr:colOff>
      <xdr:row>131</xdr:row>
      <xdr:rowOff>760942</xdr:rowOff>
    </xdr:to>
    <xdr:pic>
      <xdr:nvPicPr>
        <xdr:cNvPr id="467" name="Obraz 466">
          <a:extLst>
            <a:ext uri="{FF2B5EF4-FFF2-40B4-BE49-F238E27FC236}">
              <a16:creationId xmlns:a16="http://schemas.microsoft.com/office/drawing/2014/main" id="{4B953ECC-D201-4DCB-43F7-6EFFECFF5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993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131</xdr:row>
      <xdr:rowOff>760942</xdr:rowOff>
    </xdr:from>
    <xdr:to>
      <xdr:col>0</xdr:col>
      <xdr:colOff>871538</xdr:colOff>
      <xdr:row>132</xdr:row>
      <xdr:rowOff>760942</xdr:rowOff>
    </xdr:to>
    <xdr:pic>
      <xdr:nvPicPr>
        <xdr:cNvPr id="470" name="Obraz 469">
          <a:extLst>
            <a:ext uri="{FF2B5EF4-FFF2-40B4-BE49-F238E27FC236}">
              <a16:creationId xmlns:a16="http://schemas.microsoft.com/office/drawing/2014/main" id="{8ED70D39-5FBD-26B8-77F2-CE3F5FA6ED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01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132</xdr:row>
      <xdr:rowOff>760942</xdr:rowOff>
    </xdr:from>
    <xdr:to>
      <xdr:col>0</xdr:col>
      <xdr:colOff>871538</xdr:colOff>
      <xdr:row>133</xdr:row>
      <xdr:rowOff>760942</xdr:rowOff>
    </xdr:to>
    <xdr:pic>
      <xdr:nvPicPr>
        <xdr:cNvPr id="474" name="Obraz 473">
          <a:extLst>
            <a:ext uri="{FF2B5EF4-FFF2-40B4-BE49-F238E27FC236}">
              <a16:creationId xmlns:a16="http://schemas.microsoft.com/office/drawing/2014/main" id="{B28FF53D-CF11-11A3-C16E-9BFA705731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08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133</xdr:row>
      <xdr:rowOff>760942</xdr:rowOff>
    </xdr:from>
    <xdr:to>
      <xdr:col>0</xdr:col>
      <xdr:colOff>871538</xdr:colOff>
      <xdr:row>134</xdr:row>
      <xdr:rowOff>760942</xdr:rowOff>
    </xdr:to>
    <xdr:pic>
      <xdr:nvPicPr>
        <xdr:cNvPr id="477" name="Obraz 476">
          <a:extLst>
            <a:ext uri="{FF2B5EF4-FFF2-40B4-BE49-F238E27FC236}">
              <a16:creationId xmlns:a16="http://schemas.microsoft.com/office/drawing/2014/main" id="{F9ED0E8A-3203-30AA-8D88-BF9F37C233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16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134</xdr:row>
      <xdr:rowOff>760942</xdr:rowOff>
    </xdr:from>
    <xdr:to>
      <xdr:col>0</xdr:col>
      <xdr:colOff>871538</xdr:colOff>
      <xdr:row>135</xdr:row>
      <xdr:rowOff>760942</xdr:rowOff>
    </xdr:to>
    <xdr:pic>
      <xdr:nvPicPr>
        <xdr:cNvPr id="481" name="Obraz 480">
          <a:extLst>
            <a:ext uri="{FF2B5EF4-FFF2-40B4-BE49-F238E27FC236}">
              <a16:creationId xmlns:a16="http://schemas.microsoft.com/office/drawing/2014/main" id="{0382B812-971D-F00C-B6E5-FCB7394FA6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24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135</xdr:row>
      <xdr:rowOff>760942</xdr:rowOff>
    </xdr:from>
    <xdr:to>
      <xdr:col>0</xdr:col>
      <xdr:colOff>871538</xdr:colOff>
      <xdr:row>136</xdr:row>
      <xdr:rowOff>760942</xdr:rowOff>
    </xdr:to>
    <xdr:pic>
      <xdr:nvPicPr>
        <xdr:cNvPr id="485" name="Obraz 484">
          <a:extLst>
            <a:ext uri="{FF2B5EF4-FFF2-40B4-BE49-F238E27FC236}">
              <a16:creationId xmlns:a16="http://schemas.microsoft.com/office/drawing/2014/main" id="{3B8B5095-5CC0-1B23-38FC-2232295C8A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31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136</xdr:row>
      <xdr:rowOff>760942</xdr:rowOff>
    </xdr:from>
    <xdr:to>
      <xdr:col>0</xdr:col>
      <xdr:colOff>871538</xdr:colOff>
      <xdr:row>137</xdr:row>
      <xdr:rowOff>760942</xdr:rowOff>
    </xdr:to>
    <xdr:pic>
      <xdr:nvPicPr>
        <xdr:cNvPr id="488" name="Obraz 487">
          <a:extLst>
            <a:ext uri="{FF2B5EF4-FFF2-40B4-BE49-F238E27FC236}">
              <a16:creationId xmlns:a16="http://schemas.microsoft.com/office/drawing/2014/main" id="{C8EABB6B-FC97-C0CB-4349-5B308B101F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39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137</xdr:row>
      <xdr:rowOff>760942</xdr:rowOff>
    </xdr:from>
    <xdr:to>
      <xdr:col>0</xdr:col>
      <xdr:colOff>871538</xdr:colOff>
      <xdr:row>138</xdr:row>
      <xdr:rowOff>760942</xdr:rowOff>
    </xdr:to>
    <xdr:pic>
      <xdr:nvPicPr>
        <xdr:cNvPr id="492" name="Obraz 491">
          <a:extLst>
            <a:ext uri="{FF2B5EF4-FFF2-40B4-BE49-F238E27FC236}">
              <a16:creationId xmlns:a16="http://schemas.microsoft.com/office/drawing/2014/main" id="{41E1AA66-14C6-825C-42A9-6551BB3CB6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46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138</xdr:row>
      <xdr:rowOff>760942</xdr:rowOff>
    </xdr:from>
    <xdr:to>
      <xdr:col>0</xdr:col>
      <xdr:colOff>871538</xdr:colOff>
      <xdr:row>139</xdr:row>
      <xdr:rowOff>760942</xdr:rowOff>
    </xdr:to>
    <xdr:pic>
      <xdr:nvPicPr>
        <xdr:cNvPr id="495" name="Obraz 494">
          <a:extLst>
            <a:ext uri="{FF2B5EF4-FFF2-40B4-BE49-F238E27FC236}">
              <a16:creationId xmlns:a16="http://schemas.microsoft.com/office/drawing/2014/main" id="{4AAF0506-2018-2909-56CE-112877700C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54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139</xdr:row>
      <xdr:rowOff>760942</xdr:rowOff>
    </xdr:from>
    <xdr:to>
      <xdr:col>0</xdr:col>
      <xdr:colOff>871538</xdr:colOff>
      <xdr:row>140</xdr:row>
      <xdr:rowOff>760942</xdr:rowOff>
    </xdr:to>
    <xdr:pic>
      <xdr:nvPicPr>
        <xdr:cNvPr id="499" name="Obraz 498">
          <a:extLst>
            <a:ext uri="{FF2B5EF4-FFF2-40B4-BE49-F238E27FC236}">
              <a16:creationId xmlns:a16="http://schemas.microsoft.com/office/drawing/2014/main" id="{79EA67E8-8F85-44A5-6533-A3708EB05B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62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140</xdr:row>
      <xdr:rowOff>760942</xdr:rowOff>
    </xdr:from>
    <xdr:to>
      <xdr:col>0</xdr:col>
      <xdr:colOff>871538</xdr:colOff>
      <xdr:row>141</xdr:row>
      <xdr:rowOff>760942</xdr:rowOff>
    </xdr:to>
    <xdr:pic>
      <xdr:nvPicPr>
        <xdr:cNvPr id="502" name="Obraz 501">
          <a:extLst>
            <a:ext uri="{FF2B5EF4-FFF2-40B4-BE49-F238E27FC236}">
              <a16:creationId xmlns:a16="http://schemas.microsoft.com/office/drawing/2014/main" id="{B33418A2-70BC-5F48-D915-3FB787DD43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69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141</xdr:row>
      <xdr:rowOff>760942</xdr:rowOff>
    </xdr:from>
    <xdr:to>
      <xdr:col>0</xdr:col>
      <xdr:colOff>871538</xdr:colOff>
      <xdr:row>142</xdr:row>
      <xdr:rowOff>760942</xdr:rowOff>
    </xdr:to>
    <xdr:pic>
      <xdr:nvPicPr>
        <xdr:cNvPr id="506" name="Obraz 505">
          <a:extLst>
            <a:ext uri="{FF2B5EF4-FFF2-40B4-BE49-F238E27FC236}">
              <a16:creationId xmlns:a16="http://schemas.microsoft.com/office/drawing/2014/main" id="{DDBAF153-21DF-D9C1-F32D-8E19A205D9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77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142</xdr:row>
      <xdr:rowOff>760942</xdr:rowOff>
    </xdr:from>
    <xdr:to>
      <xdr:col>0</xdr:col>
      <xdr:colOff>871538</xdr:colOff>
      <xdr:row>143</xdr:row>
      <xdr:rowOff>760942</xdr:rowOff>
    </xdr:to>
    <xdr:pic>
      <xdr:nvPicPr>
        <xdr:cNvPr id="509" name="Obraz 508">
          <a:extLst>
            <a:ext uri="{FF2B5EF4-FFF2-40B4-BE49-F238E27FC236}">
              <a16:creationId xmlns:a16="http://schemas.microsoft.com/office/drawing/2014/main" id="{17F31387-D322-C8D8-E547-910F2ECFDC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84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143</xdr:row>
      <xdr:rowOff>760942</xdr:rowOff>
    </xdr:from>
    <xdr:to>
      <xdr:col>0</xdr:col>
      <xdr:colOff>871538</xdr:colOff>
      <xdr:row>144</xdr:row>
      <xdr:rowOff>760942</xdr:rowOff>
    </xdr:to>
    <xdr:pic>
      <xdr:nvPicPr>
        <xdr:cNvPr id="513" name="Obraz 512">
          <a:extLst>
            <a:ext uri="{FF2B5EF4-FFF2-40B4-BE49-F238E27FC236}">
              <a16:creationId xmlns:a16="http://schemas.microsoft.com/office/drawing/2014/main" id="{947735FF-127D-EB19-8772-19EF54ABF5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092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144</xdr:row>
      <xdr:rowOff>760942</xdr:rowOff>
    </xdr:from>
    <xdr:to>
      <xdr:col>0</xdr:col>
      <xdr:colOff>871538</xdr:colOff>
      <xdr:row>145</xdr:row>
      <xdr:rowOff>760942</xdr:rowOff>
    </xdr:to>
    <xdr:pic>
      <xdr:nvPicPr>
        <xdr:cNvPr id="517" name="Obraz 516">
          <a:extLst>
            <a:ext uri="{FF2B5EF4-FFF2-40B4-BE49-F238E27FC236}">
              <a16:creationId xmlns:a16="http://schemas.microsoft.com/office/drawing/2014/main" id="{17F6261E-29BE-305A-1A3F-7E0281E20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00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145</xdr:row>
      <xdr:rowOff>760942</xdr:rowOff>
    </xdr:from>
    <xdr:to>
      <xdr:col>0</xdr:col>
      <xdr:colOff>871538</xdr:colOff>
      <xdr:row>146</xdr:row>
      <xdr:rowOff>760942</xdr:rowOff>
    </xdr:to>
    <xdr:pic>
      <xdr:nvPicPr>
        <xdr:cNvPr id="520" name="Obraz 519">
          <a:extLst>
            <a:ext uri="{FF2B5EF4-FFF2-40B4-BE49-F238E27FC236}">
              <a16:creationId xmlns:a16="http://schemas.microsoft.com/office/drawing/2014/main" id="{60E5E739-C5A5-799F-D592-EA3CE492D0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07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146</xdr:row>
      <xdr:rowOff>760942</xdr:rowOff>
    </xdr:from>
    <xdr:to>
      <xdr:col>0</xdr:col>
      <xdr:colOff>871538</xdr:colOff>
      <xdr:row>147</xdr:row>
      <xdr:rowOff>760942</xdr:rowOff>
    </xdr:to>
    <xdr:pic>
      <xdr:nvPicPr>
        <xdr:cNvPr id="524" name="Obraz 523">
          <a:extLst>
            <a:ext uri="{FF2B5EF4-FFF2-40B4-BE49-F238E27FC236}">
              <a16:creationId xmlns:a16="http://schemas.microsoft.com/office/drawing/2014/main" id="{A58235E0-1CEF-E669-DF4B-4E2D37A44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15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147</xdr:row>
      <xdr:rowOff>760942</xdr:rowOff>
    </xdr:from>
    <xdr:to>
      <xdr:col>0</xdr:col>
      <xdr:colOff>871538</xdr:colOff>
      <xdr:row>148</xdr:row>
      <xdr:rowOff>760942</xdr:rowOff>
    </xdr:to>
    <xdr:pic>
      <xdr:nvPicPr>
        <xdr:cNvPr id="527" name="Obraz 526">
          <a:extLst>
            <a:ext uri="{FF2B5EF4-FFF2-40B4-BE49-F238E27FC236}">
              <a16:creationId xmlns:a16="http://schemas.microsoft.com/office/drawing/2014/main" id="{6609807B-D0C3-1583-B7C1-A0E7600785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23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148</xdr:row>
      <xdr:rowOff>760942</xdr:rowOff>
    </xdr:from>
    <xdr:to>
      <xdr:col>0</xdr:col>
      <xdr:colOff>871538</xdr:colOff>
      <xdr:row>149</xdr:row>
      <xdr:rowOff>760942</xdr:rowOff>
    </xdr:to>
    <xdr:pic>
      <xdr:nvPicPr>
        <xdr:cNvPr id="531" name="Obraz 530">
          <a:extLst>
            <a:ext uri="{FF2B5EF4-FFF2-40B4-BE49-F238E27FC236}">
              <a16:creationId xmlns:a16="http://schemas.microsoft.com/office/drawing/2014/main" id="{763954DC-C7F3-E842-7404-DAB5DD7C0D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30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149</xdr:row>
      <xdr:rowOff>760942</xdr:rowOff>
    </xdr:from>
    <xdr:to>
      <xdr:col>0</xdr:col>
      <xdr:colOff>871538</xdr:colOff>
      <xdr:row>150</xdr:row>
      <xdr:rowOff>760942</xdr:rowOff>
    </xdr:to>
    <xdr:pic>
      <xdr:nvPicPr>
        <xdr:cNvPr id="534" name="Obraz 533">
          <a:extLst>
            <a:ext uri="{FF2B5EF4-FFF2-40B4-BE49-F238E27FC236}">
              <a16:creationId xmlns:a16="http://schemas.microsoft.com/office/drawing/2014/main" id="{8726661A-9449-9A58-392C-C0E3472D2D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38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150</xdr:row>
      <xdr:rowOff>760942</xdr:rowOff>
    </xdr:from>
    <xdr:to>
      <xdr:col>0</xdr:col>
      <xdr:colOff>871538</xdr:colOff>
      <xdr:row>151</xdr:row>
      <xdr:rowOff>760942</xdr:rowOff>
    </xdr:to>
    <xdr:pic>
      <xdr:nvPicPr>
        <xdr:cNvPr id="538" name="Obraz 537">
          <a:extLst>
            <a:ext uri="{FF2B5EF4-FFF2-40B4-BE49-F238E27FC236}">
              <a16:creationId xmlns:a16="http://schemas.microsoft.com/office/drawing/2014/main" id="{297E09AF-C659-6838-DB22-ABE8C9FA91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45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151</xdr:row>
      <xdr:rowOff>760942</xdr:rowOff>
    </xdr:from>
    <xdr:to>
      <xdr:col>0</xdr:col>
      <xdr:colOff>871538</xdr:colOff>
      <xdr:row>152</xdr:row>
      <xdr:rowOff>760942</xdr:rowOff>
    </xdr:to>
    <xdr:pic>
      <xdr:nvPicPr>
        <xdr:cNvPr id="541" name="Obraz 540">
          <a:extLst>
            <a:ext uri="{FF2B5EF4-FFF2-40B4-BE49-F238E27FC236}">
              <a16:creationId xmlns:a16="http://schemas.microsoft.com/office/drawing/2014/main" id="{6333FB02-62F8-5565-19A5-584071DD06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53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152</xdr:row>
      <xdr:rowOff>760942</xdr:rowOff>
    </xdr:from>
    <xdr:to>
      <xdr:col>0</xdr:col>
      <xdr:colOff>871538</xdr:colOff>
      <xdr:row>153</xdr:row>
      <xdr:rowOff>760942</xdr:rowOff>
    </xdr:to>
    <xdr:pic>
      <xdr:nvPicPr>
        <xdr:cNvPr id="545" name="Obraz 544">
          <a:extLst>
            <a:ext uri="{FF2B5EF4-FFF2-40B4-BE49-F238E27FC236}">
              <a16:creationId xmlns:a16="http://schemas.microsoft.com/office/drawing/2014/main" id="{8144A44D-A07F-B0F4-D144-5E1A71D1A6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61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153</xdr:row>
      <xdr:rowOff>760942</xdr:rowOff>
    </xdr:from>
    <xdr:to>
      <xdr:col>0</xdr:col>
      <xdr:colOff>871538</xdr:colOff>
      <xdr:row>154</xdr:row>
      <xdr:rowOff>760942</xdr:rowOff>
    </xdr:to>
    <xdr:pic>
      <xdr:nvPicPr>
        <xdr:cNvPr id="549" name="Obraz 548">
          <a:extLst>
            <a:ext uri="{FF2B5EF4-FFF2-40B4-BE49-F238E27FC236}">
              <a16:creationId xmlns:a16="http://schemas.microsoft.com/office/drawing/2014/main" id="{EAE09888-1D08-7180-426C-030E08BCBB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68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154</xdr:row>
      <xdr:rowOff>760942</xdr:rowOff>
    </xdr:from>
    <xdr:to>
      <xdr:col>0</xdr:col>
      <xdr:colOff>871538</xdr:colOff>
      <xdr:row>155</xdr:row>
      <xdr:rowOff>760942</xdr:rowOff>
    </xdr:to>
    <xdr:pic>
      <xdr:nvPicPr>
        <xdr:cNvPr id="552" name="Obraz 551">
          <a:extLst>
            <a:ext uri="{FF2B5EF4-FFF2-40B4-BE49-F238E27FC236}">
              <a16:creationId xmlns:a16="http://schemas.microsoft.com/office/drawing/2014/main" id="{F7E1EDDD-63E1-85E5-A4E3-8BB2B0B01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76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155</xdr:row>
      <xdr:rowOff>760942</xdr:rowOff>
    </xdr:from>
    <xdr:to>
      <xdr:col>0</xdr:col>
      <xdr:colOff>871538</xdr:colOff>
      <xdr:row>156</xdr:row>
      <xdr:rowOff>760942</xdr:rowOff>
    </xdr:to>
    <xdr:pic>
      <xdr:nvPicPr>
        <xdr:cNvPr id="556" name="Obraz 555">
          <a:extLst>
            <a:ext uri="{FF2B5EF4-FFF2-40B4-BE49-F238E27FC236}">
              <a16:creationId xmlns:a16="http://schemas.microsoft.com/office/drawing/2014/main" id="{2B67AE20-9409-ECB6-BD84-1747B84FC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84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156</xdr:row>
      <xdr:rowOff>760942</xdr:rowOff>
    </xdr:from>
    <xdr:to>
      <xdr:col>0</xdr:col>
      <xdr:colOff>871538</xdr:colOff>
      <xdr:row>157</xdr:row>
      <xdr:rowOff>760942</xdr:rowOff>
    </xdr:to>
    <xdr:pic>
      <xdr:nvPicPr>
        <xdr:cNvPr id="559" name="Obraz 558">
          <a:extLst>
            <a:ext uri="{FF2B5EF4-FFF2-40B4-BE49-F238E27FC236}">
              <a16:creationId xmlns:a16="http://schemas.microsoft.com/office/drawing/2014/main" id="{0FC154E0-B564-6BB7-AB3B-539D3492B3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91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157</xdr:row>
      <xdr:rowOff>760942</xdr:rowOff>
    </xdr:from>
    <xdr:to>
      <xdr:col>0</xdr:col>
      <xdr:colOff>871538</xdr:colOff>
      <xdr:row>158</xdr:row>
      <xdr:rowOff>760942</xdr:rowOff>
    </xdr:to>
    <xdr:pic>
      <xdr:nvPicPr>
        <xdr:cNvPr id="563" name="Obraz 562">
          <a:extLst>
            <a:ext uri="{FF2B5EF4-FFF2-40B4-BE49-F238E27FC236}">
              <a16:creationId xmlns:a16="http://schemas.microsoft.com/office/drawing/2014/main" id="{63DDC5F5-2DD2-707C-CF43-FADB6C6367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199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158</xdr:row>
      <xdr:rowOff>760942</xdr:rowOff>
    </xdr:from>
    <xdr:to>
      <xdr:col>0</xdr:col>
      <xdr:colOff>871538</xdr:colOff>
      <xdr:row>159</xdr:row>
      <xdr:rowOff>760942</xdr:rowOff>
    </xdr:to>
    <xdr:pic>
      <xdr:nvPicPr>
        <xdr:cNvPr id="566" name="Obraz 565">
          <a:extLst>
            <a:ext uri="{FF2B5EF4-FFF2-40B4-BE49-F238E27FC236}">
              <a16:creationId xmlns:a16="http://schemas.microsoft.com/office/drawing/2014/main" id="{A3006560-8244-4744-137D-F1FBE606B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06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159</xdr:row>
      <xdr:rowOff>760942</xdr:rowOff>
    </xdr:from>
    <xdr:to>
      <xdr:col>0</xdr:col>
      <xdr:colOff>871538</xdr:colOff>
      <xdr:row>160</xdr:row>
      <xdr:rowOff>760942</xdr:rowOff>
    </xdr:to>
    <xdr:pic>
      <xdr:nvPicPr>
        <xdr:cNvPr id="570" name="Obraz 569">
          <a:extLst>
            <a:ext uri="{FF2B5EF4-FFF2-40B4-BE49-F238E27FC236}">
              <a16:creationId xmlns:a16="http://schemas.microsoft.com/office/drawing/2014/main" id="{55ED8AB5-01D7-F702-AB2A-B2C89E06A5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14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160</xdr:row>
      <xdr:rowOff>760942</xdr:rowOff>
    </xdr:from>
    <xdr:to>
      <xdr:col>0</xdr:col>
      <xdr:colOff>871538</xdr:colOff>
      <xdr:row>161</xdr:row>
      <xdr:rowOff>760942</xdr:rowOff>
    </xdr:to>
    <xdr:pic>
      <xdr:nvPicPr>
        <xdr:cNvPr id="573" name="Obraz 572">
          <a:extLst>
            <a:ext uri="{FF2B5EF4-FFF2-40B4-BE49-F238E27FC236}">
              <a16:creationId xmlns:a16="http://schemas.microsoft.com/office/drawing/2014/main" id="{7F453B4F-E119-8AD1-94BF-8023837C1D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22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161</xdr:row>
      <xdr:rowOff>760942</xdr:rowOff>
    </xdr:from>
    <xdr:to>
      <xdr:col>0</xdr:col>
      <xdr:colOff>871538</xdr:colOff>
      <xdr:row>162</xdr:row>
      <xdr:rowOff>760942</xdr:rowOff>
    </xdr:to>
    <xdr:pic>
      <xdr:nvPicPr>
        <xdr:cNvPr id="577" name="Obraz 576">
          <a:extLst>
            <a:ext uri="{FF2B5EF4-FFF2-40B4-BE49-F238E27FC236}">
              <a16:creationId xmlns:a16="http://schemas.microsoft.com/office/drawing/2014/main" id="{E84FA609-A397-46A1-BBB4-367D6B7BF0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29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162</xdr:row>
      <xdr:rowOff>760942</xdr:rowOff>
    </xdr:from>
    <xdr:to>
      <xdr:col>0</xdr:col>
      <xdr:colOff>871538</xdr:colOff>
      <xdr:row>163</xdr:row>
      <xdr:rowOff>760942</xdr:rowOff>
    </xdr:to>
    <xdr:pic>
      <xdr:nvPicPr>
        <xdr:cNvPr id="581" name="Obraz 580">
          <a:extLst>
            <a:ext uri="{FF2B5EF4-FFF2-40B4-BE49-F238E27FC236}">
              <a16:creationId xmlns:a16="http://schemas.microsoft.com/office/drawing/2014/main" id="{EB757A7C-D8E8-563A-9320-328FF264A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37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163</xdr:row>
      <xdr:rowOff>760942</xdr:rowOff>
    </xdr:from>
    <xdr:to>
      <xdr:col>0</xdr:col>
      <xdr:colOff>871538</xdr:colOff>
      <xdr:row>164</xdr:row>
      <xdr:rowOff>760942</xdr:rowOff>
    </xdr:to>
    <xdr:pic>
      <xdr:nvPicPr>
        <xdr:cNvPr id="584" name="Obraz 583">
          <a:extLst>
            <a:ext uri="{FF2B5EF4-FFF2-40B4-BE49-F238E27FC236}">
              <a16:creationId xmlns:a16="http://schemas.microsoft.com/office/drawing/2014/main" id="{745A3481-3DE9-E4E2-9A57-77B7022995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45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164</xdr:row>
      <xdr:rowOff>760942</xdr:rowOff>
    </xdr:from>
    <xdr:to>
      <xdr:col>0</xdr:col>
      <xdr:colOff>871538</xdr:colOff>
      <xdr:row>165</xdr:row>
      <xdr:rowOff>760942</xdr:rowOff>
    </xdr:to>
    <xdr:pic>
      <xdr:nvPicPr>
        <xdr:cNvPr id="588" name="Obraz 587">
          <a:extLst>
            <a:ext uri="{FF2B5EF4-FFF2-40B4-BE49-F238E27FC236}">
              <a16:creationId xmlns:a16="http://schemas.microsoft.com/office/drawing/2014/main" id="{B7532E5E-199C-77BF-449E-7080B54AEC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52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165</xdr:row>
      <xdr:rowOff>760942</xdr:rowOff>
    </xdr:from>
    <xdr:to>
      <xdr:col>0</xdr:col>
      <xdr:colOff>871538</xdr:colOff>
      <xdr:row>166</xdr:row>
      <xdr:rowOff>760942</xdr:rowOff>
    </xdr:to>
    <xdr:pic>
      <xdr:nvPicPr>
        <xdr:cNvPr id="591" name="Obraz 590">
          <a:extLst>
            <a:ext uri="{FF2B5EF4-FFF2-40B4-BE49-F238E27FC236}">
              <a16:creationId xmlns:a16="http://schemas.microsoft.com/office/drawing/2014/main" id="{24939425-309A-61FD-FC88-B0C750F4DB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60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166</xdr:row>
      <xdr:rowOff>760942</xdr:rowOff>
    </xdr:from>
    <xdr:to>
      <xdr:col>0</xdr:col>
      <xdr:colOff>871538</xdr:colOff>
      <xdr:row>167</xdr:row>
      <xdr:rowOff>760942</xdr:rowOff>
    </xdr:to>
    <xdr:pic>
      <xdr:nvPicPr>
        <xdr:cNvPr id="595" name="Obraz 594">
          <a:extLst>
            <a:ext uri="{FF2B5EF4-FFF2-40B4-BE49-F238E27FC236}">
              <a16:creationId xmlns:a16="http://schemas.microsoft.com/office/drawing/2014/main" id="{CF5D8126-BE51-F705-5AD2-154D1ABBCB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67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167</xdr:row>
      <xdr:rowOff>760942</xdr:rowOff>
    </xdr:from>
    <xdr:to>
      <xdr:col>0</xdr:col>
      <xdr:colOff>871538</xdr:colOff>
      <xdr:row>168</xdr:row>
      <xdr:rowOff>760942</xdr:rowOff>
    </xdr:to>
    <xdr:pic>
      <xdr:nvPicPr>
        <xdr:cNvPr id="598" name="Obraz 597">
          <a:extLst>
            <a:ext uri="{FF2B5EF4-FFF2-40B4-BE49-F238E27FC236}">
              <a16:creationId xmlns:a16="http://schemas.microsoft.com/office/drawing/2014/main" id="{6792C8D6-2E5D-4D6A-30B8-374DA5DE34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75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168</xdr:row>
      <xdr:rowOff>760942</xdr:rowOff>
    </xdr:from>
    <xdr:to>
      <xdr:col>0</xdr:col>
      <xdr:colOff>871538</xdr:colOff>
      <xdr:row>169</xdr:row>
      <xdr:rowOff>760942</xdr:rowOff>
    </xdr:to>
    <xdr:pic>
      <xdr:nvPicPr>
        <xdr:cNvPr id="602" name="Obraz 601">
          <a:extLst>
            <a:ext uri="{FF2B5EF4-FFF2-40B4-BE49-F238E27FC236}">
              <a16:creationId xmlns:a16="http://schemas.microsoft.com/office/drawing/2014/main" id="{DA011456-DDE4-7289-803F-A25C9BD63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83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169</xdr:row>
      <xdr:rowOff>760942</xdr:rowOff>
    </xdr:from>
    <xdr:to>
      <xdr:col>0</xdr:col>
      <xdr:colOff>871538</xdr:colOff>
      <xdr:row>170</xdr:row>
      <xdr:rowOff>760942</xdr:rowOff>
    </xdr:to>
    <xdr:pic>
      <xdr:nvPicPr>
        <xdr:cNvPr id="605" name="Obraz 604">
          <a:extLst>
            <a:ext uri="{FF2B5EF4-FFF2-40B4-BE49-F238E27FC236}">
              <a16:creationId xmlns:a16="http://schemas.microsoft.com/office/drawing/2014/main" id="{57B670FC-2691-9039-C640-83D1D1D6E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90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170</xdr:row>
      <xdr:rowOff>760942</xdr:rowOff>
    </xdr:from>
    <xdr:to>
      <xdr:col>0</xdr:col>
      <xdr:colOff>871538</xdr:colOff>
      <xdr:row>171</xdr:row>
      <xdr:rowOff>760942</xdr:rowOff>
    </xdr:to>
    <xdr:pic>
      <xdr:nvPicPr>
        <xdr:cNvPr id="609" name="Obraz 608">
          <a:extLst>
            <a:ext uri="{FF2B5EF4-FFF2-40B4-BE49-F238E27FC236}">
              <a16:creationId xmlns:a16="http://schemas.microsoft.com/office/drawing/2014/main" id="{4BDA9288-23ED-A646-31A1-7E9511C54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298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171</xdr:row>
      <xdr:rowOff>760942</xdr:rowOff>
    </xdr:from>
    <xdr:to>
      <xdr:col>0</xdr:col>
      <xdr:colOff>871538</xdr:colOff>
      <xdr:row>172</xdr:row>
      <xdr:rowOff>760942</xdr:rowOff>
    </xdr:to>
    <xdr:pic>
      <xdr:nvPicPr>
        <xdr:cNvPr id="613" name="Obraz 612">
          <a:extLst>
            <a:ext uri="{FF2B5EF4-FFF2-40B4-BE49-F238E27FC236}">
              <a16:creationId xmlns:a16="http://schemas.microsoft.com/office/drawing/2014/main" id="{CF4CAFDF-1740-4294-93F6-106CEAFD99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05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172</xdr:row>
      <xdr:rowOff>760942</xdr:rowOff>
    </xdr:from>
    <xdr:to>
      <xdr:col>0</xdr:col>
      <xdr:colOff>871538</xdr:colOff>
      <xdr:row>173</xdr:row>
      <xdr:rowOff>760942</xdr:rowOff>
    </xdr:to>
    <xdr:pic>
      <xdr:nvPicPr>
        <xdr:cNvPr id="616" name="Obraz 615">
          <a:extLst>
            <a:ext uri="{FF2B5EF4-FFF2-40B4-BE49-F238E27FC236}">
              <a16:creationId xmlns:a16="http://schemas.microsoft.com/office/drawing/2014/main" id="{D59DEA3C-10B6-A327-1745-6BDC9C7245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13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173</xdr:row>
      <xdr:rowOff>760942</xdr:rowOff>
    </xdr:from>
    <xdr:to>
      <xdr:col>0</xdr:col>
      <xdr:colOff>871538</xdr:colOff>
      <xdr:row>174</xdr:row>
      <xdr:rowOff>760942</xdr:rowOff>
    </xdr:to>
    <xdr:pic>
      <xdr:nvPicPr>
        <xdr:cNvPr id="620" name="Obraz 619">
          <a:extLst>
            <a:ext uri="{FF2B5EF4-FFF2-40B4-BE49-F238E27FC236}">
              <a16:creationId xmlns:a16="http://schemas.microsoft.com/office/drawing/2014/main" id="{385F025A-B30E-0AD3-18D8-765153C134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21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174</xdr:row>
      <xdr:rowOff>760942</xdr:rowOff>
    </xdr:from>
    <xdr:to>
      <xdr:col>0</xdr:col>
      <xdr:colOff>871538</xdr:colOff>
      <xdr:row>175</xdr:row>
      <xdr:rowOff>760942</xdr:rowOff>
    </xdr:to>
    <xdr:pic>
      <xdr:nvPicPr>
        <xdr:cNvPr id="623" name="Obraz 622">
          <a:extLst>
            <a:ext uri="{FF2B5EF4-FFF2-40B4-BE49-F238E27FC236}">
              <a16:creationId xmlns:a16="http://schemas.microsoft.com/office/drawing/2014/main" id="{EF139C5A-BBFF-E795-1AEB-81564E4FE3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28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175</xdr:row>
      <xdr:rowOff>760942</xdr:rowOff>
    </xdr:from>
    <xdr:to>
      <xdr:col>0</xdr:col>
      <xdr:colOff>871538</xdr:colOff>
      <xdr:row>176</xdr:row>
      <xdr:rowOff>760942</xdr:rowOff>
    </xdr:to>
    <xdr:pic>
      <xdr:nvPicPr>
        <xdr:cNvPr id="627" name="Obraz 626">
          <a:extLst>
            <a:ext uri="{FF2B5EF4-FFF2-40B4-BE49-F238E27FC236}">
              <a16:creationId xmlns:a16="http://schemas.microsoft.com/office/drawing/2014/main" id="{E2191461-56E7-30BA-1EFC-1E2EEB63B7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36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176</xdr:row>
      <xdr:rowOff>760942</xdr:rowOff>
    </xdr:from>
    <xdr:to>
      <xdr:col>0</xdr:col>
      <xdr:colOff>871538</xdr:colOff>
      <xdr:row>177</xdr:row>
      <xdr:rowOff>760942</xdr:rowOff>
    </xdr:to>
    <xdr:pic>
      <xdr:nvPicPr>
        <xdr:cNvPr id="630" name="Obraz 629">
          <a:extLst>
            <a:ext uri="{FF2B5EF4-FFF2-40B4-BE49-F238E27FC236}">
              <a16:creationId xmlns:a16="http://schemas.microsoft.com/office/drawing/2014/main" id="{CC5A7A1F-4928-9C76-60CA-2DDD9E0CD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44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177</xdr:row>
      <xdr:rowOff>760942</xdr:rowOff>
    </xdr:from>
    <xdr:to>
      <xdr:col>0</xdr:col>
      <xdr:colOff>871538</xdr:colOff>
      <xdr:row>178</xdr:row>
      <xdr:rowOff>760942</xdr:rowOff>
    </xdr:to>
    <xdr:pic>
      <xdr:nvPicPr>
        <xdr:cNvPr id="634" name="Obraz 633">
          <a:extLst>
            <a:ext uri="{FF2B5EF4-FFF2-40B4-BE49-F238E27FC236}">
              <a16:creationId xmlns:a16="http://schemas.microsoft.com/office/drawing/2014/main" id="{AF8893F9-F0AB-2F3B-3422-89E262398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51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178</xdr:row>
      <xdr:rowOff>760942</xdr:rowOff>
    </xdr:from>
    <xdr:to>
      <xdr:col>0</xdr:col>
      <xdr:colOff>871538</xdr:colOff>
      <xdr:row>179</xdr:row>
      <xdr:rowOff>760942</xdr:rowOff>
    </xdr:to>
    <xdr:pic>
      <xdr:nvPicPr>
        <xdr:cNvPr id="637" name="Obraz 636">
          <a:extLst>
            <a:ext uri="{FF2B5EF4-FFF2-40B4-BE49-F238E27FC236}">
              <a16:creationId xmlns:a16="http://schemas.microsoft.com/office/drawing/2014/main" id="{77C18739-2158-907E-5B96-2F0EAADB59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59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179</xdr:row>
      <xdr:rowOff>760942</xdr:rowOff>
    </xdr:from>
    <xdr:to>
      <xdr:col>0</xdr:col>
      <xdr:colOff>871538</xdr:colOff>
      <xdr:row>180</xdr:row>
      <xdr:rowOff>760942</xdr:rowOff>
    </xdr:to>
    <xdr:pic>
      <xdr:nvPicPr>
        <xdr:cNvPr id="641" name="Obraz 640">
          <a:extLst>
            <a:ext uri="{FF2B5EF4-FFF2-40B4-BE49-F238E27FC236}">
              <a16:creationId xmlns:a16="http://schemas.microsoft.com/office/drawing/2014/main" id="{C72E67DD-CFDC-00AD-08EF-F898A8DBD7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66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180</xdr:row>
      <xdr:rowOff>760942</xdr:rowOff>
    </xdr:from>
    <xdr:to>
      <xdr:col>0</xdr:col>
      <xdr:colOff>871538</xdr:colOff>
      <xdr:row>181</xdr:row>
      <xdr:rowOff>760942</xdr:rowOff>
    </xdr:to>
    <xdr:pic>
      <xdr:nvPicPr>
        <xdr:cNvPr id="645" name="Obraz 644">
          <a:extLst>
            <a:ext uri="{FF2B5EF4-FFF2-40B4-BE49-F238E27FC236}">
              <a16:creationId xmlns:a16="http://schemas.microsoft.com/office/drawing/2014/main" id="{5D295FAA-8F29-6101-A730-7F8D04151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74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181</xdr:row>
      <xdr:rowOff>760942</xdr:rowOff>
    </xdr:from>
    <xdr:to>
      <xdr:col>0</xdr:col>
      <xdr:colOff>871538</xdr:colOff>
      <xdr:row>182</xdr:row>
      <xdr:rowOff>760942</xdr:rowOff>
    </xdr:to>
    <xdr:pic>
      <xdr:nvPicPr>
        <xdr:cNvPr id="648" name="Obraz 647">
          <a:extLst>
            <a:ext uri="{FF2B5EF4-FFF2-40B4-BE49-F238E27FC236}">
              <a16:creationId xmlns:a16="http://schemas.microsoft.com/office/drawing/2014/main" id="{D3BEFC24-7744-D30A-36ED-99AC2355B3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82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182</xdr:row>
      <xdr:rowOff>760942</xdr:rowOff>
    </xdr:from>
    <xdr:to>
      <xdr:col>0</xdr:col>
      <xdr:colOff>871538</xdr:colOff>
      <xdr:row>183</xdr:row>
      <xdr:rowOff>760942</xdr:rowOff>
    </xdr:to>
    <xdr:pic>
      <xdr:nvPicPr>
        <xdr:cNvPr id="652" name="Obraz 651">
          <a:extLst>
            <a:ext uri="{FF2B5EF4-FFF2-40B4-BE49-F238E27FC236}">
              <a16:creationId xmlns:a16="http://schemas.microsoft.com/office/drawing/2014/main" id="{D53610AB-43F7-C354-FE5C-F1BE36471A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89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183</xdr:row>
      <xdr:rowOff>760942</xdr:rowOff>
    </xdr:from>
    <xdr:to>
      <xdr:col>0</xdr:col>
      <xdr:colOff>871538</xdr:colOff>
      <xdr:row>184</xdr:row>
      <xdr:rowOff>760942</xdr:rowOff>
    </xdr:to>
    <xdr:pic>
      <xdr:nvPicPr>
        <xdr:cNvPr id="655" name="Obraz 654">
          <a:extLst>
            <a:ext uri="{FF2B5EF4-FFF2-40B4-BE49-F238E27FC236}">
              <a16:creationId xmlns:a16="http://schemas.microsoft.com/office/drawing/2014/main" id="{671C206D-5B8C-547F-700F-752B038712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397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184</xdr:row>
      <xdr:rowOff>760942</xdr:rowOff>
    </xdr:from>
    <xdr:to>
      <xdr:col>0</xdr:col>
      <xdr:colOff>871538</xdr:colOff>
      <xdr:row>185</xdr:row>
      <xdr:rowOff>760942</xdr:rowOff>
    </xdr:to>
    <xdr:pic>
      <xdr:nvPicPr>
        <xdr:cNvPr id="659" name="Obraz 658">
          <a:extLst>
            <a:ext uri="{FF2B5EF4-FFF2-40B4-BE49-F238E27FC236}">
              <a16:creationId xmlns:a16="http://schemas.microsoft.com/office/drawing/2014/main" id="{3B735593-DA94-21B4-179C-7F03CDA25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05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185</xdr:row>
      <xdr:rowOff>760942</xdr:rowOff>
    </xdr:from>
    <xdr:to>
      <xdr:col>0</xdr:col>
      <xdr:colOff>871538</xdr:colOff>
      <xdr:row>186</xdr:row>
      <xdr:rowOff>760942</xdr:rowOff>
    </xdr:to>
    <xdr:pic>
      <xdr:nvPicPr>
        <xdr:cNvPr id="662" name="Obraz 661">
          <a:extLst>
            <a:ext uri="{FF2B5EF4-FFF2-40B4-BE49-F238E27FC236}">
              <a16:creationId xmlns:a16="http://schemas.microsoft.com/office/drawing/2014/main" id="{9F94245F-18FD-5074-7911-0D27DDDD88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12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186</xdr:row>
      <xdr:rowOff>760942</xdr:rowOff>
    </xdr:from>
    <xdr:to>
      <xdr:col>0</xdr:col>
      <xdr:colOff>871538</xdr:colOff>
      <xdr:row>187</xdr:row>
      <xdr:rowOff>760942</xdr:rowOff>
    </xdr:to>
    <xdr:pic>
      <xdr:nvPicPr>
        <xdr:cNvPr id="666" name="Obraz 665">
          <a:extLst>
            <a:ext uri="{FF2B5EF4-FFF2-40B4-BE49-F238E27FC236}">
              <a16:creationId xmlns:a16="http://schemas.microsoft.com/office/drawing/2014/main" id="{4C4210CA-827E-DA8A-6969-9795BF15BA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20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187</xdr:row>
      <xdr:rowOff>760942</xdr:rowOff>
    </xdr:from>
    <xdr:to>
      <xdr:col>0</xdr:col>
      <xdr:colOff>871538</xdr:colOff>
      <xdr:row>188</xdr:row>
      <xdr:rowOff>760942</xdr:rowOff>
    </xdr:to>
    <xdr:pic>
      <xdr:nvPicPr>
        <xdr:cNvPr id="669" name="Obraz 668">
          <a:extLst>
            <a:ext uri="{FF2B5EF4-FFF2-40B4-BE49-F238E27FC236}">
              <a16:creationId xmlns:a16="http://schemas.microsoft.com/office/drawing/2014/main" id="{D5A25D41-113F-2325-7599-A06B68DE86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27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188</xdr:row>
      <xdr:rowOff>760942</xdr:rowOff>
    </xdr:from>
    <xdr:to>
      <xdr:col>0</xdr:col>
      <xdr:colOff>871538</xdr:colOff>
      <xdr:row>189</xdr:row>
      <xdr:rowOff>760942</xdr:rowOff>
    </xdr:to>
    <xdr:pic>
      <xdr:nvPicPr>
        <xdr:cNvPr id="673" name="Obraz 672">
          <a:extLst>
            <a:ext uri="{FF2B5EF4-FFF2-40B4-BE49-F238E27FC236}">
              <a16:creationId xmlns:a16="http://schemas.microsoft.com/office/drawing/2014/main" id="{ADB21801-DFA3-2ABB-A332-9CDBF0008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35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189</xdr:row>
      <xdr:rowOff>760942</xdr:rowOff>
    </xdr:from>
    <xdr:to>
      <xdr:col>0</xdr:col>
      <xdr:colOff>871538</xdr:colOff>
      <xdr:row>190</xdr:row>
      <xdr:rowOff>760942</xdr:rowOff>
    </xdr:to>
    <xdr:pic>
      <xdr:nvPicPr>
        <xdr:cNvPr id="677" name="Obraz 676">
          <a:extLst>
            <a:ext uri="{FF2B5EF4-FFF2-40B4-BE49-F238E27FC236}">
              <a16:creationId xmlns:a16="http://schemas.microsoft.com/office/drawing/2014/main" id="{D36D5094-0A7B-BFD8-F4D3-2F48208C48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43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190</xdr:row>
      <xdr:rowOff>760942</xdr:rowOff>
    </xdr:from>
    <xdr:to>
      <xdr:col>0</xdr:col>
      <xdr:colOff>871538</xdr:colOff>
      <xdr:row>191</xdr:row>
      <xdr:rowOff>760942</xdr:rowOff>
    </xdr:to>
    <xdr:pic>
      <xdr:nvPicPr>
        <xdr:cNvPr id="680" name="Obraz 679">
          <a:extLst>
            <a:ext uri="{FF2B5EF4-FFF2-40B4-BE49-F238E27FC236}">
              <a16:creationId xmlns:a16="http://schemas.microsoft.com/office/drawing/2014/main" id="{C863DDA8-27F4-4C8D-73FD-8A4BA9E654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50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191</xdr:row>
      <xdr:rowOff>760942</xdr:rowOff>
    </xdr:from>
    <xdr:to>
      <xdr:col>0</xdr:col>
      <xdr:colOff>871538</xdr:colOff>
      <xdr:row>192</xdr:row>
      <xdr:rowOff>760942</xdr:rowOff>
    </xdr:to>
    <xdr:pic>
      <xdr:nvPicPr>
        <xdr:cNvPr id="684" name="Obraz 683">
          <a:extLst>
            <a:ext uri="{FF2B5EF4-FFF2-40B4-BE49-F238E27FC236}">
              <a16:creationId xmlns:a16="http://schemas.microsoft.com/office/drawing/2014/main" id="{BC12FA62-8906-73F6-73DF-E532602859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58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192</xdr:row>
      <xdr:rowOff>760942</xdr:rowOff>
    </xdr:from>
    <xdr:to>
      <xdr:col>0</xdr:col>
      <xdr:colOff>871538</xdr:colOff>
      <xdr:row>193</xdr:row>
      <xdr:rowOff>760942</xdr:rowOff>
    </xdr:to>
    <xdr:pic>
      <xdr:nvPicPr>
        <xdr:cNvPr id="687" name="Obraz 686">
          <a:extLst>
            <a:ext uri="{FF2B5EF4-FFF2-40B4-BE49-F238E27FC236}">
              <a16:creationId xmlns:a16="http://schemas.microsoft.com/office/drawing/2014/main" id="{D3F6572A-961F-A654-F103-B782B19751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65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193</xdr:row>
      <xdr:rowOff>760942</xdr:rowOff>
    </xdr:from>
    <xdr:to>
      <xdr:col>0</xdr:col>
      <xdr:colOff>871538</xdr:colOff>
      <xdr:row>194</xdr:row>
      <xdr:rowOff>760942</xdr:rowOff>
    </xdr:to>
    <xdr:pic>
      <xdr:nvPicPr>
        <xdr:cNvPr id="691" name="Obraz 690">
          <a:extLst>
            <a:ext uri="{FF2B5EF4-FFF2-40B4-BE49-F238E27FC236}">
              <a16:creationId xmlns:a16="http://schemas.microsoft.com/office/drawing/2014/main" id="{7EBEE82D-8C19-2477-647E-87D31E4EF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73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194</xdr:row>
      <xdr:rowOff>760942</xdr:rowOff>
    </xdr:from>
    <xdr:to>
      <xdr:col>0</xdr:col>
      <xdr:colOff>871538</xdr:colOff>
      <xdr:row>195</xdr:row>
      <xdr:rowOff>760942</xdr:rowOff>
    </xdr:to>
    <xdr:pic>
      <xdr:nvPicPr>
        <xdr:cNvPr id="694" name="Obraz 693">
          <a:extLst>
            <a:ext uri="{FF2B5EF4-FFF2-40B4-BE49-F238E27FC236}">
              <a16:creationId xmlns:a16="http://schemas.microsoft.com/office/drawing/2014/main" id="{4064B9E0-B036-2C26-4547-2F2705CE2F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81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195</xdr:row>
      <xdr:rowOff>760942</xdr:rowOff>
    </xdr:from>
    <xdr:to>
      <xdr:col>0</xdr:col>
      <xdr:colOff>871538</xdr:colOff>
      <xdr:row>196</xdr:row>
      <xdr:rowOff>760942</xdr:rowOff>
    </xdr:to>
    <xdr:pic>
      <xdr:nvPicPr>
        <xdr:cNvPr id="698" name="Obraz 697">
          <a:extLst>
            <a:ext uri="{FF2B5EF4-FFF2-40B4-BE49-F238E27FC236}">
              <a16:creationId xmlns:a16="http://schemas.microsoft.com/office/drawing/2014/main" id="{55F176BB-FC70-6226-5C2C-E4040327F2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88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196</xdr:row>
      <xdr:rowOff>760942</xdr:rowOff>
    </xdr:from>
    <xdr:to>
      <xdr:col>0</xdr:col>
      <xdr:colOff>871538</xdr:colOff>
      <xdr:row>197</xdr:row>
      <xdr:rowOff>760942</xdr:rowOff>
    </xdr:to>
    <xdr:pic>
      <xdr:nvPicPr>
        <xdr:cNvPr id="701" name="Obraz 700">
          <a:extLst>
            <a:ext uri="{FF2B5EF4-FFF2-40B4-BE49-F238E27FC236}">
              <a16:creationId xmlns:a16="http://schemas.microsoft.com/office/drawing/2014/main" id="{C222EE26-1BC6-A83A-2397-170B77BA14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496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197</xdr:row>
      <xdr:rowOff>760942</xdr:rowOff>
    </xdr:from>
    <xdr:to>
      <xdr:col>0</xdr:col>
      <xdr:colOff>871538</xdr:colOff>
      <xdr:row>198</xdr:row>
      <xdr:rowOff>760942</xdr:rowOff>
    </xdr:to>
    <xdr:pic>
      <xdr:nvPicPr>
        <xdr:cNvPr id="705" name="Obraz 704">
          <a:extLst>
            <a:ext uri="{FF2B5EF4-FFF2-40B4-BE49-F238E27FC236}">
              <a16:creationId xmlns:a16="http://schemas.microsoft.com/office/drawing/2014/main" id="{CCBF1DA8-AFCA-C8E4-70F0-88407C925C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04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198</xdr:row>
      <xdr:rowOff>760942</xdr:rowOff>
    </xdr:from>
    <xdr:to>
      <xdr:col>0</xdr:col>
      <xdr:colOff>871538</xdr:colOff>
      <xdr:row>199</xdr:row>
      <xdr:rowOff>760942</xdr:rowOff>
    </xdr:to>
    <xdr:pic>
      <xdr:nvPicPr>
        <xdr:cNvPr id="709" name="Obraz 708">
          <a:extLst>
            <a:ext uri="{FF2B5EF4-FFF2-40B4-BE49-F238E27FC236}">
              <a16:creationId xmlns:a16="http://schemas.microsoft.com/office/drawing/2014/main" id="{497E05B4-BFF9-50B4-AB2D-4CBDF10867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11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199</xdr:row>
      <xdr:rowOff>760942</xdr:rowOff>
    </xdr:from>
    <xdr:to>
      <xdr:col>0</xdr:col>
      <xdr:colOff>871538</xdr:colOff>
      <xdr:row>200</xdr:row>
      <xdr:rowOff>760942</xdr:rowOff>
    </xdr:to>
    <xdr:pic>
      <xdr:nvPicPr>
        <xdr:cNvPr id="712" name="Obraz 711">
          <a:extLst>
            <a:ext uri="{FF2B5EF4-FFF2-40B4-BE49-F238E27FC236}">
              <a16:creationId xmlns:a16="http://schemas.microsoft.com/office/drawing/2014/main" id="{4144A95E-88E2-1A8D-3C72-774C5F72C3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19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200</xdr:row>
      <xdr:rowOff>760942</xdr:rowOff>
    </xdr:from>
    <xdr:to>
      <xdr:col>0</xdr:col>
      <xdr:colOff>871538</xdr:colOff>
      <xdr:row>201</xdr:row>
      <xdr:rowOff>760942</xdr:rowOff>
    </xdr:to>
    <xdr:pic>
      <xdr:nvPicPr>
        <xdr:cNvPr id="716" name="Obraz 715">
          <a:extLst>
            <a:ext uri="{FF2B5EF4-FFF2-40B4-BE49-F238E27FC236}">
              <a16:creationId xmlns:a16="http://schemas.microsoft.com/office/drawing/2014/main" id="{FCC028A5-7667-C0CC-1C76-5F6B9DA011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26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201</xdr:row>
      <xdr:rowOff>760942</xdr:rowOff>
    </xdr:from>
    <xdr:to>
      <xdr:col>0</xdr:col>
      <xdr:colOff>871538</xdr:colOff>
      <xdr:row>202</xdr:row>
      <xdr:rowOff>760942</xdr:rowOff>
    </xdr:to>
    <xdr:pic>
      <xdr:nvPicPr>
        <xdr:cNvPr id="719" name="Obraz 718">
          <a:extLst>
            <a:ext uri="{FF2B5EF4-FFF2-40B4-BE49-F238E27FC236}">
              <a16:creationId xmlns:a16="http://schemas.microsoft.com/office/drawing/2014/main" id="{384343E9-4938-80CA-DD8B-5454EA8F53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34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202</xdr:row>
      <xdr:rowOff>760942</xdr:rowOff>
    </xdr:from>
    <xdr:to>
      <xdr:col>0</xdr:col>
      <xdr:colOff>871538</xdr:colOff>
      <xdr:row>203</xdr:row>
      <xdr:rowOff>760942</xdr:rowOff>
    </xdr:to>
    <xdr:pic>
      <xdr:nvPicPr>
        <xdr:cNvPr id="723" name="Obraz 722">
          <a:extLst>
            <a:ext uri="{FF2B5EF4-FFF2-40B4-BE49-F238E27FC236}">
              <a16:creationId xmlns:a16="http://schemas.microsoft.com/office/drawing/2014/main" id="{26439956-19CD-E8A7-E0F8-2AD29A1753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42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203</xdr:row>
      <xdr:rowOff>760942</xdr:rowOff>
    </xdr:from>
    <xdr:to>
      <xdr:col>0</xdr:col>
      <xdr:colOff>871538</xdr:colOff>
      <xdr:row>204</xdr:row>
      <xdr:rowOff>760942</xdr:rowOff>
    </xdr:to>
    <xdr:pic>
      <xdr:nvPicPr>
        <xdr:cNvPr id="726" name="Obraz 725">
          <a:extLst>
            <a:ext uri="{FF2B5EF4-FFF2-40B4-BE49-F238E27FC236}">
              <a16:creationId xmlns:a16="http://schemas.microsoft.com/office/drawing/2014/main" id="{E3C37343-5B20-AEC5-7AA2-6CBE976EA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49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204</xdr:row>
      <xdr:rowOff>760942</xdr:rowOff>
    </xdr:from>
    <xdr:to>
      <xdr:col>0</xdr:col>
      <xdr:colOff>871538</xdr:colOff>
      <xdr:row>205</xdr:row>
      <xdr:rowOff>760942</xdr:rowOff>
    </xdr:to>
    <xdr:pic>
      <xdr:nvPicPr>
        <xdr:cNvPr id="730" name="Obraz 729">
          <a:extLst>
            <a:ext uri="{FF2B5EF4-FFF2-40B4-BE49-F238E27FC236}">
              <a16:creationId xmlns:a16="http://schemas.microsoft.com/office/drawing/2014/main" id="{88BAB65F-F15D-6E4E-711F-AF1FFF5AE4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57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205</xdr:row>
      <xdr:rowOff>760942</xdr:rowOff>
    </xdr:from>
    <xdr:to>
      <xdr:col>0</xdr:col>
      <xdr:colOff>871538</xdr:colOff>
      <xdr:row>206</xdr:row>
      <xdr:rowOff>760942</xdr:rowOff>
    </xdr:to>
    <xdr:pic>
      <xdr:nvPicPr>
        <xdr:cNvPr id="733" name="Obraz 732">
          <a:extLst>
            <a:ext uri="{FF2B5EF4-FFF2-40B4-BE49-F238E27FC236}">
              <a16:creationId xmlns:a16="http://schemas.microsoft.com/office/drawing/2014/main" id="{95917F8D-6153-1D4B-F5BD-93B187A667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65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206</xdr:row>
      <xdr:rowOff>760942</xdr:rowOff>
    </xdr:from>
    <xdr:to>
      <xdr:col>0</xdr:col>
      <xdr:colOff>871538</xdr:colOff>
      <xdr:row>207</xdr:row>
      <xdr:rowOff>760942</xdr:rowOff>
    </xdr:to>
    <xdr:pic>
      <xdr:nvPicPr>
        <xdr:cNvPr id="737" name="Obraz 736">
          <a:extLst>
            <a:ext uri="{FF2B5EF4-FFF2-40B4-BE49-F238E27FC236}">
              <a16:creationId xmlns:a16="http://schemas.microsoft.com/office/drawing/2014/main" id="{7278A771-4791-5AE4-8A4F-F614D7E4DA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72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207</xdr:row>
      <xdr:rowOff>760942</xdr:rowOff>
    </xdr:from>
    <xdr:to>
      <xdr:col>0</xdr:col>
      <xdr:colOff>871538</xdr:colOff>
      <xdr:row>208</xdr:row>
      <xdr:rowOff>760942</xdr:rowOff>
    </xdr:to>
    <xdr:pic>
      <xdr:nvPicPr>
        <xdr:cNvPr id="741" name="Obraz 740">
          <a:extLst>
            <a:ext uri="{FF2B5EF4-FFF2-40B4-BE49-F238E27FC236}">
              <a16:creationId xmlns:a16="http://schemas.microsoft.com/office/drawing/2014/main" id="{5BB3B3B5-12D4-2497-BF4A-6E51B20E01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80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208</xdr:row>
      <xdr:rowOff>760942</xdr:rowOff>
    </xdr:from>
    <xdr:to>
      <xdr:col>0</xdr:col>
      <xdr:colOff>871538</xdr:colOff>
      <xdr:row>209</xdr:row>
      <xdr:rowOff>760942</xdr:rowOff>
    </xdr:to>
    <xdr:pic>
      <xdr:nvPicPr>
        <xdr:cNvPr id="744" name="Obraz 743">
          <a:extLst>
            <a:ext uri="{FF2B5EF4-FFF2-40B4-BE49-F238E27FC236}">
              <a16:creationId xmlns:a16="http://schemas.microsoft.com/office/drawing/2014/main" id="{094E7147-9B64-2691-0D4E-0993BA4961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87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209</xdr:row>
      <xdr:rowOff>760942</xdr:rowOff>
    </xdr:from>
    <xdr:to>
      <xdr:col>0</xdr:col>
      <xdr:colOff>871538</xdr:colOff>
      <xdr:row>210</xdr:row>
      <xdr:rowOff>760942</xdr:rowOff>
    </xdr:to>
    <xdr:pic>
      <xdr:nvPicPr>
        <xdr:cNvPr id="748" name="Obraz 747">
          <a:extLst>
            <a:ext uri="{FF2B5EF4-FFF2-40B4-BE49-F238E27FC236}">
              <a16:creationId xmlns:a16="http://schemas.microsoft.com/office/drawing/2014/main" id="{D4C9EDBD-EA3A-B3F3-6A92-B2F0C5EDF7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595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210</xdr:row>
      <xdr:rowOff>760942</xdr:rowOff>
    </xdr:from>
    <xdr:to>
      <xdr:col>0</xdr:col>
      <xdr:colOff>871538</xdr:colOff>
      <xdr:row>211</xdr:row>
      <xdr:rowOff>760942</xdr:rowOff>
    </xdr:to>
    <xdr:pic>
      <xdr:nvPicPr>
        <xdr:cNvPr id="751" name="Obraz 750">
          <a:extLst>
            <a:ext uri="{FF2B5EF4-FFF2-40B4-BE49-F238E27FC236}">
              <a16:creationId xmlns:a16="http://schemas.microsoft.com/office/drawing/2014/main" id="{05C6B4AF-F36E-A418-BE87-CC446E7552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03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211</xdr:row>
      <xdr:rowOff>760942</xdr:rowOff>
    </xdr:from>
    <xdr:to>
      <xdr:col>0</xdr:col>
      <xdr:colOff>871538</xdr:colOff>
      <xdr:row>212</xdr:row>
      <xdr:rowOff>760942</xdr:rowOff>
    </xdr:to>
    <xdr:pic>
      <xdr:nvPicPr>
        <xdr:cNvPr id="755" name="Obraz 754">
          <a:extLst>
            <a:ext uri="{FF2B5EF4-FFF2-40B4-BE49-F238E27FC236}">
              <a16:creationId xmlns:a16="http://schemas.microsoft.com/office/drawing/2014/main" id="{91C5A73B-A31A-BC93-D789-92B8C37746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10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212</xdr:row>
      <xdr:rowOff>760942</xdr:rowOff>
    </xdr:from>
    <xdr:to>
      <xdr:col>0</xdr:col>
      <xdr:colOff>871538</xdr:colOff>
      <xdr:row>213</xdr:row>
      <xdr:rowOff>760942</xdr:rowOff>
    </xdr:to>
    <xdr:pic>
      <xdr:nvPicPr>
        <xdr:cNvPr id="758" name="Obraz 757">
          <a:extLst>
            <a:ext uri="{FF2B5EF4-FFF2-40B4-BE49-F238E27FC236}">
              <a16:creationId xmlns:a16="http://schemas.microsoft.com/office/drawing/2014/main" id="{97EF0668-F186-42DF-E0BC-3E8A08451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18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213</xdr:row>
      <xdr:rowOff>760942</xdr:rowOff>
    </xdr:from>
    <xdr:to>
      <xdr:col>0</xdr:col>
      <xdr:colOff>871538</xdr:colOff>
      <xdr:row>214</xdr:row>
      <xdr:rowOff>760942</xdr:rowOff>
    </xdr:to>
    <xdr:pic>
      <xdr:nvPicPr>
        <xdr:cNvPr id="762" name="Obraz 761">
          <a:extLst>
            <a:ext uri="{FF2B5EF4-FFF2-40B4-BE49-F238E27FC236}">
              <a16:creationId xmlns:a16="http://schemas.microsoft.com/office/drawing/2014/main" id="{AE3FB4A7-003A-CD26-5508-2BC402BFC6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26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214</xdr:row>
      <xdr:rowOff>760942</xdr:rowOff>
    </xdr:from>
    <xdr:to>
      <xdr:col>0</xdr:col>
      <xdr:colOff>871538</xdr:colOff>
      <xdr:row>215</xdr:row>
      <xdr:rowOff>760942</xdr:rowOff>
    </xdr:to>
    <xdr:pic>
      <xdr:nvPicPr>
        <xdr:cNvPr id="765" name="Obraz 764">
          <a:extLst>
            <a:ext uri="{FF2B5EF4-FFF2-40B4-BE49-F238E27FC236}">
              <a16:creationId xmlns:a16="http://schemas.microsoft.com/office/drawing/2014/main" id="{0C75AA2D-CCF7-8DCA-7FC4-9144044FA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33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215</xdr:row>
      <xdr:rowOff>760942</xdr:rowOff>
    </xdr:from>
    <xdr:to>
      <xdr:col>0</xdr:col>
      <xdr:colOff>871538</xdr:colOff>
      <xdr:row>216</xdr:row>
      <xdr:rowOff>760942</xdr:rowOff>
    </xdr:to>
    <xdr:pic>
      <xdr:nvPicPr>
        <xdr:cNvPr id="769" name="Obraz 768">
          <a:extLst>
            <a:ext uri="{FF2B5EF4-FFF2-40B4-BE49-F238E27FC236}">
              <a16:creationId xmlns:a16="http://schemas.microsoft.com/office/drawing/2014/main" id="{03415736-39BF-7883-0AE3-302C2B3741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41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216</xdr:row>
      <xdr:rowOff>760942</xdr:rowOff>
    </xdr:from>
    <xdr:to>
      <xdr:col>0</xdr:col>
      <xdr:colOff>871538</xdr:colOff>
      <xdr:row>217</xdr:row>
      <xdr:rowOff>760942</xdr:rowOff>
    </xdr:to>
    <xdr:pic>
      <xdr:nvPicPr>
        <xdr:cNvPr id="773" name="Obraz 772">
          <a:extLst>
            <a:ext uri="{FF2B5EF4-FFF2-40B4-BE49-F238E27FC236}">
              <a16:creationId xmlns:a16="http://schemas.microsoft.com/office/drawing/2014/main" id="{9EB8815A-2217-5A07-CE00-515E116817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48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217</xdr:row>
      <xdr:rowOff>760942</xdr:rowOff>
    </xdr:from>
    <xdr:to>
      <xdr:col>0</xdr:col>
      <xdr:colOff>871538</xdr:colOff>
      <xdr:row>218</xdr:row>
      <xdr:rowOff>760942</xdr:rowOff>
    </xdr:to>
    <xdr:pic>
      <xdr:nvPicPr>
        <xdr:cNvPr id="776" name="Obraz 775">
          <a:extLst>
            <a:ext uri="{FF2B5EF4-FFF2-40B4-BE49-F238E27FC236}">
              <a16:creationId xmlns:a16="http://schemas.microsoft.com/office/drawing/2014/main" id="{CB777B61-04A7-7986-304D-C409547BE4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56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218</xdr:row>
      <xdr:rowOff>760942</xdr:rowOff>
    </xdr:from>
    <xdr:to>
      <xdr:col>0</xdr:col>
      <xdr:colOff>871538</xdr:colOff>
      <xdr:row>219</xdr:row>
      <xdr:rowOff>760942</xdr:rowOff>
    </xdr:to>
    <xdr:pic>
      <xdr:nvPicPr>
        <xdr:cNvPr id="780" name="Obraz 779">
          <a:extLst>
            <a:ext uri="{FF2B5EF4-FFF2-40B4-BE49-F238E27FC236}">
              <a16:creationId xmlns:a16="http://schemas.microsoft.com/office/drawing/2014/main" id="{4B4847A4-790A-73D7-9AA7-3F5ECD66F9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64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219</xdr:row>
      <xdr:rowOff>760942</xdr:rowOff>
    </xdr:from>
    <xdr:to>
      <xdr:col>0</xdr:col>
      <xdr:colOff>871538</xdr:colOff>
      <xdr:row>220</xdr:row>
      <xdr:rowOff>760942</xdr:rowOff>
    </xdr:to>
    <xdr:pic>
      <xdr:nvPicPr>
        <xdr:cNvPr id="783" name="Obraz 782">
          <a:extLst>
            <a:ext uri="{FF2B5EF4-FFF2-40B4-BE49-F238E27FC236}">
              <a16:creationId xmlns:a16="http://schemas.microsoft.com/office/drawing/2014/main" id="{B809C52A-4929-3794-4F9A-40D813009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71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220</xdr:row>
      <xdr:rowOff>760942</xdr:rowOff>
    </xdr:from>
    <xdr:to>
      <xdr:col>0</xdr:col>
      <xdr:colOff>871538</xdr:colOff>
      <xdr:row>221</xdr:row>
      <xdr:rowOff>760942</xdr:rowOff>
    </xdr:to>
    <xdr:pic>
      <xdr:nvPicPr>
        <xdr:cNvPr id="787" name="Obraz 786">
          <a:extLst>
            <a:ext uri="{FF2B5EF4-FFF2-40B4-BE49-F238E27FC236}">
              <a16:creationId xmlns:a16="http://schemas.microsoft.com/office/drawing/2014/main" id="{B6BE8D51-7366-FD3A-856D-BC07212612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79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221</xdr:row>
      <xdr:rowOff>760942</xdr:rowOff>
    </xdr:from>
    <xdr:to>
      <xdr:col>0</xdr:col>
      <xdr:colOff>871538</xdr:colOff>
      <xdr:row>222</xdr:row>
      <xdr:rowOff>760942</xdr:rowOff>
    </xdr:to>
    <xdr:pic>
      <xdr:nvPicPr>
        <xdr:cNvPr id="790" name="Obraz 789">
          <a:extLst>
            <a:ext uri="{FF2B5EF4-FFF2-40B4-BE49-F238E27FC236}">
              <a16:creationId xmlns:a16="http://schemas.microsoft.com/office/drawing/2014/main" id="{98245AF7-037F-AB54-2B6E-C6D01B9B96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86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222</xdr:row>
      <xdr:rowOff>760942</xdr:rowOff>
    </xdr:from>
    <xdr:to>
      <xdr:col>0</xdr:col>
      <xdr:colOff>871538</xdr:colOff>
      <xdr:row>223</xdr:row>
      <xdr:rowOff>760942</xdr:rowOff>
    </xdr:to>
    <xdr:pic>
      <xdr:nvPicPr>
        <xdr:cNvPr id="794" name="Obraz 793">
          <a:extLst>
            <a:ext uri="{FF2B5EF4-FFF2-40B4-BE49-F238E27FC236}">
              <a16:creationId xmlns:a16="http://schemas.microsoft.com/office/drawing/2014/main" id="{327C42A8-0890-7FEF-1D76-3B2960C3C5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694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223</xdr:row>
      <xdr:rowOff>760942</xdr:rowOff>
    </xdr:from>
    <xdr:to>
      <xdr:col>0</xdr:col>
      <xdr:colOff>871538</xdr:colOff>
      <xdr:row>224</xdr:row>
      <xdr:rowOff>760942</xdr:rowOff>
    </xdr:to>
    <xdr:pic>
      <xdr:nvPicPr>
        <xdr:cNvPr id="797" name="Obraz 796">
          <a:extLst>
            <a:ext uri="{FF2B5EF4-FFF2-40B4-BE49-F238E27FC236}">
              <a16:creationId xmlns:a16="http://schemas.microsoft.com/office/drawing/2014/main" id="{7171F6EB-7987-576C-189D-D8BACEDB78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702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224</xdr:row>
      <xdr:rowOff>760942</xdr:rowOff>
    </xdr:from>
    <xdr:to>
      <xdr:col>0</xdr:col>
      <xdr:colOff>871538</xdr:colOff>
      <xdr:row>225</xdr:row>
      <xdr:rowOff>760942</xdr:rowOff>
    </xdr:to>
    <xdr:pic>
      <xdr:nvPicPr>
        <xdr:cNvPr id="801" name="Obraz 800">
          <a:extLst>
            <a:ext uri="{FF2B5EF4-FFF2-40B4-BE49-F238E27FC236}">
              <a16:creationId xmlns:a16="http://schemas.microsoft.com/office/drawing/2014/main" id="{B3046D93-7317-FD0D-04F2-84D5C20532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709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225</xdr:row>
      <xdr:rowOff>760942</xdr:rowOff>
    </xdr:from>
    <xdr:to>
      <xdr:col>0</xdr:col>
      <xdr:colOff>871538</xdr:colOff>
      <xdr:row>226</xdr:row>
      <xdr:rowOff>760942</xdr:rowOff>
    </xdr:to>
    <xdr:pic>
      <xdr:nvPicPr>
        <xdr:cNvPr id="805" name="Obraz 804">
          <a:extLst>
            <a:ext uri="{FF2B5EF4-FFF2-40B4-BE49-F238E27FC236}">
              <a16:creationId xmlns:a16="http://schemas.microsoft.com/office/drawing/2014/main" id="{47A68F51-8435-91F1-99BC-993ED42939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717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226</xdr:row>
      <xdr:rowOff>760942</xdr:rowOff>
    </xdr:from>
    <xdr:to>
      <xdr:col>0</xdr:col>
      <xdr:colOff>871538</xdr:colOff>
      <xdr:row>227</xdr:row>
      <xdr:rowOff>760942</xdr:rowOff>
    </xdr:to>
    <xdr:pic>
      <xdr:nvPicPr>
        <xdr:cNvPr id="808" name="Obraz 807">
          <a:extLst>
            <a:ext uri="{FF2B5EF4-FFF2-40B4-BE49-F238E27FC236}">
              <a16:creationId xmlns:a16="http://schemas.microsoft.com/office/drawing/2014/main" id="{4EC69158-18D7-C9D1-9753-70E5A60C92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725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233</xdr:row>
      <xdr:rowOff>760942</xdr:rowOff>
    </xdr:from>
    <xdr:to>
      <xdr:col>0</xdr:col>
      <xdr:colOff>871538</xdr:colOff>
      <xdr:row>234</xdr:row>
      <xdr:rowOff>760942</xdr:rowOff>
    </xdr:to>
    <xdr:pic>
      <xdr:nvPicPr>
        <xdr:cNvPr id="812" name="Obraz 811">
          <a:extLst>
            <a:ext uri="{FF2B5EF4-FFF2-40B4-BE49-F238E27FC236}">
              <a16:creationId xmlns:a16="http://schemas.microsoft.com/office/drawing/2014/main" id="{DDAC6EC6-33A5-B477-F259-2249298CA7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778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234</xdr:row>
      <xdr:rowOff>760942</xdr:rowOff>
    </xdr:from>
    <xdr:to>
      <xdr:col>0</xdr:col>
      <xdr:colOff>871538</xdr:colOff>
      <xdr:row>235</xdr:row>
      <xdr:rowOff>760942</xdr:rowOff>
    </xdr:to>
    <xdr:pic>
      <xdr:nvPicPr>
        <xdr:cNvPr id="815" name="Obraz 814">
          <a:extLst>
            <a:ext uri="{FF2B5EF4-FFF2-40B4-BE49-F238E27FC236}">
              <a16:creationId xmlns:a16="http://schemas.microsoft.com/office/drawing/2014/main" id="{A15F5B2D-5B4E-A2CF-6E44-E7D87D3245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786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235</xdr:row>
      <xdr:rowOff>760942</xdr:rowOff>
    </xdr:from>
    <xdr:to>
      <xdr:col>0</xdr:col>
      <xdr:colOff>871538</xdr:colOff>
      <xdr:row>236</xdr:row>
      <xdr:rowOff>760942</xdr:rowOff>
    </xdr:to>
    <xdr:pic>
      <xdr:nvPicPr>
        <xdr:cNvPr id="819" name="Obraz 818">
          <a:extLst>
            <a:ext uri="{FF2B5EF4-FFF2-40B4-BE49-F238E27FC236}">
              <a16:creationId xmlns:a16="http://schemas.microsoft.com/office/drawing/2014/main" id="{741C62CE-D072-82A7-77AC-BF63AFD340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793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236</xdr:row>
      <xdr:rowOff>760942</xdr:rowOff>
    </xdr:from>
    <xdr:to>
      <xdr:col>0</xdr:col>
      <xdr:colOff>871538</xdr:colOff>
      <xdr:row>237</xdr:row>
      <xdr:rowOff>760942</xdr:rowOff>
    </xdr:to>
    <xdr:pic>
      <xdr:nvPicPr>
        <xdr:cNvPr id="822" name="Obraz 821">
          <a:extLst>
            <a:ext uri="{FF2B5EF4-FFF2-40B4-BE49-F238E27FC236}">
              <a16:creationId xmlns:a16="http://schemas.microsoft.com/office/drawing/2014/main" id="{79A5E5D6-4FAA-8F8F-9CAE-516DB2A3B6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01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237</xdr:row>
      <xdr:rowOff>760942</xdr:rowOff>
    </xdr:from>
    <xdr:to>
      <xdr:col>0</xdr:col>
      <xdr:colOff>871538</xdr:colOff>
      <xdr:row>238</xdr:row>
      <xdr:rowOff>760942</xdr:rowOff>
    </xdr:to>
    <xdr:pic>
      <xdr:nvPicPr>
        <xdr:cNvPr id="826" name="Obraz 825">
          <a:extLst>
            <a:ext uri="{FF2B5EF4-FFF2-40B4-BE49-F238E27FC236}">
              <a16:creationId xmlns:a16="http://schemas.microsoft.com/office/drawing/2014/main" id="{083FA587-8BD0-3227-6ABE-A889FAD88E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08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238</xdr:row>
      <xdr:rowOff>760942</xdr:rowOff>
    </xdr:from>
    <xdr:to>
      <xdr:col>0</xdr:col>
      <xdr:colOff>871538</xdr:colOff>
      <xdr:row>239</xdr:row>
      <xdr:rowOff>760942</xdr:rowOff>
    </xdr:to>
    <xdr:pic>
      <xdr:nvPicPr>
        <xdr:cNvPr id="829" name="Obraz 828">
          <a:extLst>
            <a:ext uri="{FF2B5EF4-FFF2-40B4-BE49-F238E27FC236}">
              <a16:creationId xmlns:a16="http://schemas.microsoft.com/office/drawing/2014/main" id="{74C0E8CB-BED3-6206-21C3-06BC570EC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16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239</xdr:row>
      <xdr:rowOff>760942</xdr:rowOff>
    </xdr:from>
    <xdr:to>
      <xdr:col>0</xdr:col>
      <xdr:colOff>871538</xdr:colOff>
      <xdr:row>240</xdr:row>
      <xdr:rowOff>760942</xdr:rowOff>
    </xdr:to>
    <xdr:pic>
      <xdr:nvPicPr>
        <xdr:cNvPr id="833" name="Obraz 832">
          <a:extLst>
            <a:ext uri="{FF2B5EF4-FFF2-40B4-BE49-F238E27FC236}">
              <a16:creationId xmlns:a16="http://schemas.microsoft.com/office/drawing/2014/main" id="{F8BD8E78-01D6-0AB5-5831-B00F4CFEDE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24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240</xdr:row>
      <xdr:rowOff>760942</xdr:rowOff>
    </xdr:from>
    <xdr:to>
      <xdr:col>0</xdr:col>
      <xdr:colOff>871538</xdr:colOff>
      <xdr:row>241</xdr:row>
      <xdr:rowOff>760942</xdr:rowOff>
    </xdr:to>
    <xdr:pic>
      <xdr:nvPicPr>
        <xdr:cNvPr id="837" name="Obraz 836">
          <a:extLst>
            <a:ext uri="{FF2B5EF4-FFF2-40B4-BE49-F238E27FC236}">
              <a16:creationId xmlns:a16="http://schemas.microsoft.com/office/drawing/2014/main" id="{1C3C900C-AAC5-1BF0-E6D1-0FADBCC45D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31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241</xdr:row>
      <xdr:rowOff>760942</xdr:rowOff>
    </xdr:from>
    <xdr:to>
      <xdr:col>0</xdr:col>
      <xdr:colOff>871538</xdr:colOff>
      <xdr:row>242</xdr:row>
      <xdr:rowOff>760942</xdr:rowOff>
    </xdr:to>
    <xdr:pic>
      <xdr:nvPicPr>
        <xdr:cNvPr id="840" name="Obraz 839">
          <a:extLst>
            <a:ext uri="{FF2B5EF4-FFF2-40B4-BE49-F238E27FC236}">
              <a16:creationId xmlns:a16="http://schemas.microsoft.com/office/drawing/2014/main" id="{9101369A-03A8-315D-F614-F5ED6D7DC2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39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242</xdr:row>
      <xdr:rowOff>760942</xdr:rowOff>
    </xdr:from>
    <xdr:to>
      <xdr:col>0</xdr:col>
      <xdr:colOff>871538</xdr:colOff>
      <xdr:row>243</xdr:row>
      <xdr:rowOff>760942</xdr:rowOff>
    </xdr:to>
    <xdr:pic>
      <xdr:nvPicPr>
        <xdr:cNvPr id="844" name="Obraz 843">
          <a:extLst>
            <a:ext uri="{FF2B5EF4-FFF2-40B4-BE49-F238E27FC236}">
              <a16:creationId xmlns:a16="http://schemas.microsoft.com/office/drawing/2014/main" id="{AF5479D5-B1DC-6DF3-D6B4-E8C3148CD3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46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243</xdr:row>
      <xdr:rowOff>760942</xdr:rowOff>
    </xdr:from>
    <xdr:to>
      <xdr:col>0</xdr:col>
      <xdr:colOff>871538</xdr:colOff>
      <xdr:row>244</xdr:row>
      <xdr:rowOff>760942</xdr:rowOff>
    </xdr:to>
    <xdr:pic>
      <xdr:nvPicPr>
        <xdr:cNvPr id="847" name="Obraz 846">
          <a:extLst>
            <a:ext uri="{FF2B5EF4-FFF2-40B4-BE49-F238E27FC236}">
              <a16:creationId xmlns:a16="http://schemas.microsoft.com/office/drawing/2014/main" id="{1E8381EC-B588-C085-39BE-532A4F777A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54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244</xdr:row>
      <xdr:rowOff>760942</xdr:rowOff>
    </xdr:from>
    <xdr:to>
      <xdr:col>0</xdr:col>
      <xdr:colOff>871538</xdr:colOff>
      <xdr:row>245</xdr:row>
      <xdr:rowOff>760942</xdr:rowOff>
    </xdr:to>
    <xdr:pic>
      <xdr:nvPicPr>
        <xdr:cNvPr id="851" name="Obraz 850">
          <a:extLst>
            <a:ext uri="{FF2B5EF4-FFF2-40B4-BE49-F238E27FC236}">
              <a16:creationId xmlns:a16="http://schemas.microsoft.com/office/drawing/2014/main" id="{5B2A1E13-EF11-7634-AF2C-2624949BCE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62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245</xdr:row>
      <xdr:rowOff>760942</xdr:rowOff>
    </xdr:from>
    <xdr:to>
      <xdr:col>0</xdr:col>
      <xdr:colOff>871538</xdr:colOff>
      <xdr:row>246</xdr:row>
      <xdr:rowOff>760942</xdr:rowOff>
    </xdr:to>
    <xdr:pic>
      <xdr:nvPicPr>
        <xdr:cNvPr id="854" name="Obraz 853">
          <a:extLst>
            <a:ext uri="{FF2B5EF4-FFF2-40B4-BE49-F238E27FC236}">
              <a16:creationId xmlns:a16="http://schemas.microsoft.com/office/drawing/2014/main" id="{8F74FFC5-95CA-E5A9-3DC2-1535EC984B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69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246</xdr:row>
      <xdr:rowOff>760942</xdr:rowOff>
    </xdr:from>
    <xdr:to>
      <xdr:col>0</xdr:col>
      <xdr:colOff>871538</xdr:colOff>
      <xdr:row>247</xdr:row>
      <xdr:rowOff>760942</xdr:rowOff>
    </xdr:to>
    <xdr:pic>
      <xdr:nvPicPr>
        <xdr:cNvPr id="858" name="Obraz 857">
          <a:extLst>
            <a:ext uri="{FF2B5EF4-FFF2-40B4-BE49-F238E27FC236}">
              <a16:creationId xmlns:a16="http://schemas.microsoft.com/office/drawing/2014/main" id="{83ADE70C-535F-B4B5-2E4C-A2E98E1EA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77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247</xdr:row>
      <xdr:rowOff>760942</xdr:rowOff>
    </xdr:from>
    <xdr:to>
      <xdr:col>0</xdr:col>
      <xdr:colOff>871538</xdr:colOff>
      <xdr:row>248</xdr:row>
      <xdr:rowOff>760942</xdr:rowOff>
    </xdr:to>
    <xdr:pic>
      <xdr:nvPicPr>
        <xdr:cNvPr id="861" name="Obraz 860">
          <a:extLst>
            <a:ext uri="{FF2B5EF4-FFF2-40B4-BE49-F238E27FC236}">
              <a16:creationId xmlns:a16="http://schemas.microsoft.com/office/drawing/2014/main" id="{424AA2D1-DCE0-4146-F026-DC083662B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85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248</xdr:row>
      <xdr:rowOff>760942</xdr:rowOff>
    </xdr:from>
    <xdr:to>
      <xdr:col>0</xdr:col>
      <xdr:colOff>871538</xdr:colOff>
      <xdr:row>249</xdr:row>
      <xdr:rowOff>760942</xdr:rowOff>
    </xdr:to>
    <xdr:pic>
      <xdr:nvPicPr>
        <xdr:cNvPr id="865" name="Obraz 864">
          <a:extLst>
            <a:ext uri="{FF2B5EF4-FFF2-40B4-BE49-F238E27FC236}">
              <a16:creationId xmlns:a16="http://schemas.microsoft.com/office/drawing/2014/main" id="{E986F11C-A9D6-C378-81E2-2C78944FDC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892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249</xdr:row>
      <xdr:rowOff>760942</xdr:rowOff>
    </xdr:from>
    <xdr:to>
      <xdr:col>0</xdr:col>
      <xdr:colOff>871538</xdr:colOff>
      <xdr:row>250</xdr:row>
      <xdr:rowOff>760942</xdr:rowOff>
    </xdr:to>
    <xdr:pic>
      <xdr:nvPicPr>
        <xdr:cNvPr id="869" name="Obraz 868">
          <a:extLst>
            <a:ext uri="{FF2B5EF4-FFF2-40B4-BE49-F238E27FC236}">
              <a16:creationId xmlns:a16="http://schemas.microsoft.com/office/drawing/2014/main" id="{DF7E7380-250B-A803-BB90-5C17F90AB1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00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250</xdr:row>
      <xdr:rowOff>760942</xdr:rowOff>
    </xdr:from>
    <xdr:to>
      <xdr:col>0</xdr:col>
      <xdr:colOff>871538</xdr:colOff>
      <xdr:row>251</xdr:row>
      <xdr:rowOff>760942</xdr:rowOff>
    </xdr:to>
    <xdr:pic>
      <xdr:nvPicPr>
        <xdr:cNvPr id="872" name="Obraz 871">
          <a:extLst>
            <a:ext uri="{FF2B5EF4-FFF2-40B4-BE49-F238E27FC236}">
              <a16:creationId xmlns:a16="http://schemas.microsoft.com/office/drawing/2014/main" id="{B914AAB9-46C0-EE9F-A08C-3F98E8C76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07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251</xdr:row>
      <xdr:rowOff>760942</xdr:rowOff>
    </xdr:from>
    <xdr:to>
      <xdr:col>0</xdr:col>
      <xdr:colOff>871538</xdr:colOff>
      <xdr:row>252</xdr:row>
      <xdr:rowOff>760942</xdr:rowOff>
    </xdr:to>
    <xdr:pic>
      <xdr:nvPicPr>
        <xdr:cNvPr id="876" name="Obraz 875">
          <a:extLst>
            <a:ext uri="{FF2B5EF4-FFF2-40B4-BE49-F238E27FC236}">
              <a16:creationId xmlns:a16="http://schemas.microsoft.com/office/drawing/2014/main" id="{97980CE7-9EAB-EAF6-44EF-0A78C475F7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15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252</xdr:row>
      <xdr:rowOff>760942</xdr:rowOff>
    </xdr:from>
    <xdr:to>
      <xdr:col>0</xdr:col>
      <xdr:colOff>871538</xdr:colOff>
      <xdr:row>253</xdr:row>
      <xdr:rowOff>760942</xdr:rowOff>
    </xdr:to>
    <xdr:pic>
      <xdr:nvPicPr>
        <xdr:cNvPr id="879" name="Obraz 878">
          <a:extLst>
            <a:ext uri="{FF2B5EF4-FFF2-40B4-BE49-F238E27FC236}">
              <a16:creationId xmlns:a16="http://schemas.microsoft.com/office/drawing/2014/main" id="{9850412A-C01C-E907-F052-8A9BC45161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23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253</xdr:row>
      <xdr:rowOff>760942</xdr:rowOff>
    </xdr:from>
    <xdr:to>
      <xdr:col>0</xdr:col>
      <xdr:colOff>871538</xdr:colOff>
      <xdr:row>254</xdr:row>
      <xdr:rowOff>760942</xdr:rowOff>
    </xdr:to>
    <xdr:pic>
      <xdr:nvPicPr>
        <xdr:cNvPr id="883" name="Obraz 882">
          <a:extLst>
            <a:ext uri="{FF2B5EF4-FFF2-40B4-BE49-F238E27FC236}">
              <a16:creationId xmlns:a16="http://schemas.microsoft.com/office/drawing/2014/main" id="{40567C21-AFF3-2B2C-0137-7545B04AC9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30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254</xdr:row>
      <xdr:rowOff>760942</xdr:rowOff>
    </xdr:from>
    <xdr:to>
      <xdr:col>0</xdr:col>
      <xdr:colOff>871538</xdr:colOff>
      <xdr:row>255</xdr:row>
      <xdr:rowOff>760942</xdr:rowOff>
    </xdr:to>
    <xdr:pic>
      <xdr:nvPicPr>
        <xdr:cNvPr id="886" name="Obraz 885">
          <a:extLst>
            <a:ext uri="{FF2B5EF4-FFF2-40B4-BE49-F238E27FC236}">
              <a16:creationId xmlns:a16="http://schemas.microsoft.com/office/drawing/2014/main" id="{E8759AC0-3714-235B-858C-B154246DFA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38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255</xdr:row>
      <xdr:rowOff>760942</xdr:rowOff>
    </xdr:from>
    <xdr:to>
      <xdr:col>0</xdr:col>
      <xdr:colOff>871538</xdr:colOff>
      <xdr:row>256</xdr:row>
      <xdr:rowOff>760942</xdr:rowOff>
    </xdr:to>
    <xdr:pic>
      <xdr:nvPicPr>
        <xdr:cNvPr id="890" name="Obraz 889">
          <a:extLst>
            <a:ext uri="{FF2B5EF4-FFF2-40B4-BE49-F238E27FC236}">
              <a16:creationId xmlns:a16="http://schemas.microsoft.com/office/drawing/2014/main" id="{86FF8429-7AF3-3011-B707-BEF002705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46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256</xdr:row>
      <xdr:rowOff>760942</xdr:rowOff>
    </xdr:from>
    <xdr:to>
      <xdr:col>0</xdr:col>
      <xdr:colOff>871538</xdr:colOff>
      <xdr:row>257</xdr:row>
      <xdr:rowOff>760942</xdr:rowOff>
    </xdr:to>
    <xdr:pic>
      <xdr:nvPicPr>
        <xdr:cNvPr id="893" name="Obraz 892">
          <a:extLst>
            <a:ext uri="{FF2B5EF4-FFF2-40B4-BE49-F238E27FC236}">
              <a16:creationId xmlns:a16="http://schemas.microsoft.com/office/drawing/2014/main" id="{ACCFFC0D-5BC1-520F-672F-CF61DC697C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53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257</xdr:row>
      <xdr:rowOff>760942</xdr:rowOff>
    </xdr:from>
    <xdr:to>
      <xdr:col>0</xdr:col>
      <xdr:colOff>871538</xdr:colOff>
      <xdr:row>258</xdr:row>
      <xdr:rowOff>760942</xdr:rowOff>
    </xdr:to>
    <xdr:pic>
      <xdr:nvPicPr>
        <xdr:cNvPr id="897" name="Obraz 896">
          <a:extLst>
            <a:ext uri="{FF2B5EF4-FFF2-40B4-BE49-F238E27FC236}">
              <a16:creationId xmlns:a16="http://schemas.microsoft.com/office/drawing/2014/main" id="{59320E6C-9367-C091-593C-A378D5A79B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61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258</xdr:row>
      <xdr:rowOff>760942</xdr:rowOff>
    </xdr:from>
    <xdr:to>
      <xdr:col>0</xdr:col>
      <xdr:colOff>871538</xdr:colOff>
      <xdr:row>259</xdr:row>
      <xdr:rowOff>760942</xdr:rowOff>
    </xdr:to>
    <xdr:pic>
      <xdr:nvPicPr>
        <xdr:cNvPr id="901" name="Obraz 900">
          <a:extLst>
            <a:ext uri="{FF2B5EF4-FFF2-40B4-BE49-F238E27FC236}">
              <a16:creationId xmlns:a16="http://schemas.microsoft.com/office/drawing/2014/main" id="{DBB2FB27-6654-5FD7-1FAC-E916DA73F8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68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259</xdr:row>
      <xdr:rowOff>760942</xdr:rowOff>
    </xdr:from>
    <xdr:to>
      <xdr:col>0</xdr:col>
      <xdr:colOff>871538</xdr:colOff>
      <xdr:row>260</xdr:row>
      <xdr:rowOff>760942</xdr:rowOff>
    </xdr:to>
    <xdr:pic>
      <xdr:nvPicPr>
        <xdr:cNvPr id="904" name="Obraz 903">
          <a:extLst>
            <a:ext uri="{FF2B5EF4-FFF2-40B4-BE49-F238E27FC236}">
              <a16:creationId xmlns:a16="http://schemas.microsoft.com/office/drawing/2014/main" id="{9166C577-4A44-3F86-8A6F-CC8BFC453A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76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260</xdr:row>
      <xdr:rowOff>760942</xdr:rowOff>
    </xdr:from>
    <xdr:to>
      <xdr:col>0</xdr:col>
      <xdr:colOff>871538</xdr:colOff>
      <xdr:row>261</xdr:row>
      <xdr:rowOff>760942</xdr:rowOff>
    </xdr:to>
    <xdr:pic>
      <xdr:nvPicPr>
        <xdr:cNvPr id="908" name="Obraz 907">
          <a:extLst>
            <a:ext uri="{FF2B5EF4-FFF2-40B4-BE49-F238E27FC236}">
              <a16:creationId xmlns:a16="http://schemas.microsoft.com/office/drawing/2014/main" id="{3FFCCBA5-D14F-3E1B-36AE-F071122F9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84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261</xdr:row>
      <xdr:rowOff>760942</xdr:rowOff>
    </xdr:from>
    <xdr:to>
      <xdr:col>0</xdr:col>
      <xdr:colOff>871538</xdr:colOff>
      <xdr:row>262</xdr:row>
      <xdr:rowOff>760942</xdr:rowOff>
    </xdr:to>
    <xdr:pic>
      <xdr:nvPicPr>
        <xdr:cNvPr id="911" name="Obraz 910">
          <a:extLst>
            <a:ext uri="{FF2B5EF4-FFF2-40B4-BE49-F238E27FC236}">
              <a16:creationId xmlns:a16="http://schemas.microsoft.com/office/drawing/2014/main" id="{A9D76908-22ED-0CFB-A3A8-D556E6530A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91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262</xdr:row>
      <xdr:rowOff>760942</xdr:rowOff>
    </xdr:from>
    <xdr:to>
      <xdr:col>0</xdr:col>
      <xdr:colOff>871538</xdr:colOff>
      <xdr:row>263</xdr:row>
      <xdr:rowOff>760942</xdr:rowOff>
    </xdr:to>
    <xdr:pic>
      <xdr:nvPicPr>
        <xdr:cNvPr id="915" name="Obraz 914">
          <a:extLst>
            <a:ext uri="{FF2B5EF4-FFF2-40B4-BE49-F238E27FC236}">
              <a16:creationId xmlns:a16="http://schemas.microsoft.com/office/drawing/2014/main" id="{C8682AF5-4F8E-6135-ED17-43C868867C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1999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263</xdr:row>
      <xdr:rowOff>760942</xdr:rowOff>
    </xdr:from>
    <xdr:to>
      <xdr:col>0</xdr:col>
      <xdr:colOff>871538</xdr:colOff>
      <xdr:row>264</xdr:row>
      <xdr:rowOff>760942</xdr:rowOff>
    </xdr:to>
    <xdr:pic>
      <xdr:nvPicPr>
        <xdr:cNvPr id="918" name="Obraz 917">
          <a:extLst>
            <a:ext uri="{FF2B5EF4-FFF2-40B4-BE49-F238E27FC236}">
              <a16:creationId xmlns:a16="http://schemas.microsoft.com/office/drawing/2014/main" id="{39BD6461-BC7B-C1AB-0E47-CB21F46F6A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07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264</xdr:row>
      <xdr:rowOff>760942</xdr:rowOff>
    </xdr:from>
    <xdr:to>
      <xdr:col>0</xdr:col>
      <xdr:colOff>871538</xdr:colOff>
      <xdr:row>265</xdr:row>
      <xdr:rowOff>760942</xdr:rowOff>
    </xdr:to>
    <xdr:pic>
      <xdr:nvPicPr>
        <xdr:cNvPr id="922" name="Obraz 921">
          <a:extLst>
            <a:ext uri="{FF2B5EF4-FFF2-40B4-BE49-F238E27FC236}">
              <a16:creationId xmlns:a16="http://schemas.microsoft.com/office/drawing/2014/main" id="{0887E420-C37F-F7DC-CC70-FE3AA08C1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14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265</xdr:row>
      <xdr:rowOff>760942</xdr:rowOff>
    </xdr:from>
    <xdr:to>
      <xdr:col>0</xdr:col>
      <xdr:colOff>871538</xdr:colOff>
      <xdr:row>266</xdr:row>
      <xdr:rowOff>760942</xdr:rowOff>
    </xdr:to>
    <xdr:pic>
      <xdr:nvPicPr>
        <xdr:cNvPr id="925" name="Obraz 924">
          <a:extLst>
            <a:ext uri="{FF2B5EF4-FFF2-40B4-BE49-F238E27FC236}">
              <a16:creationId xmlns:a16="http://schemas.microsoft.com/office/drawing/2014/main" id="{A20E619A-7EC6-53F1-29B0-F4249F1DBD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22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266</xdr:row>
      <xdr:rowOff>760942</xdr:rowOff>
    </xdr:from>
    <xdr:to>
      <xdr:col>0</xdr:col>
      <xdr:colOff>871538</xdr:colOff>
      <xdr:row>267</xdr:row>
      <xdr:rowOff>760942</xdr:rowOff>
    </xdr:to>
    <xdr:pic>
      <xdr:nvPicPr>
        <xdr:cNvPr id="929" name="Obraz 928">
          <a:extLst>
            <a:ext uri="{FF2B5EF4-FFF2-40B4-BE49-F238E27FC236}">
              <a16:creationId xmlns:a16="http://schemas.microsoft.com/office/drawing/2014/main" id="{045011D9-CE97-1183-C6C9-A2E1887A40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29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267</xdr:row>
      <xdr:rowOff>760942</xdr:rowOff>
    </xdr:from>
    <xdr:to>
      <xdr:col>0</xdr:col>
      <xdr:colOff>871538</xdr:colOff>
      <xdr:row>268</xdr:row>
      <xdr:rowOff>760942</xdr:rowOff>
    </xdr:to>
    <xdr:pic>
      <xdr:nvPicPr>
        <xdr:cNvPr id="933" name="Obraz 932">
          <a:extLst>
            <a:ext uri="{FF2B5EF4-FFF2-40B4-BE49-F238E27FC236}">
              <a16:creationId xmlns:a16="http://schemas.microsoft.com/office/drawing/2014/main" id="{227113EC-FD2F-C061-FC91-D9EC99B55C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37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268</xdr:row>
      <xdr:rowOff>760942</xdr:rowOff>
    </xdr:from>
    <xdr:to>
      <xdr:col>0</xdr:col>
      <xdr:colOff>871538</xdr:colOff>
      <xdr:row>269</xdr:row>
      <xdr:rowOff>760942</xdr:rowOff>
    </xdr:to>
    <xdr:pic>
      <xdr:nvPicPr>
        <xdr:cNvPr id="936" name="Obraz 935">
          <a:extLst>
            <a:ext uri="{FF2B5EF4-FFF2-40B4-BE49-F238E27FC236}">
              <a16:creationId xmlns:a16="http://schemas.microsoft.com/office/drawing/2014/main" id="{B91D8DF7-B90A-C3A0-8DBB-48E6857D46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45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269</xdr:row>
      <xdr:rowOff>760942</xdr:rowOff>
    </xdr:from>
    <xdr:to>
      <xdr:col>0</xdr:col>
      <xdr:colOff>871538</xdr:colOff>
      <xdr:row>270</xdr:row>
      <xdr:rowOff>760942</xdr:rowOff>
    </xdr:to>
    <xdr:pic>
      <xdr:nvPicPr>
        <xdr:cNvPr id="940" name="Obraz 939">
          <a:extLst>
            <a:ext uri="{FF2B5EF4-FFF2-40B4-BE49-F238E27FC236}">
              <a16:creationId xmlns:a16="http://schemas.microsoft.com/office/drawing/2014/main" id="{F2FA1D74-A2FE-3B73-EB34-CF1EA6A693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52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270</xdr:row>
      <xdr:rowOff>760942</xdr:rowOff>
    </xdr:from>
    <xdr:to>
      <xdr:col>0</xdr:col>
      <xdr:colOff>871538</xdr:colOff>
      <xdr:row>271</xdr:row>
      <xdr:rowOff>760942</xdr:rowOff>
    </xdr:to>
    <xdr:pic>
      <xdr:nvPicPr>
        <xdr:cNvPr id="943" name="Obraz 942">
          <a:extLst>
            <a:ext uri="{FF2B5EF4-FFF2-40B4-BE49-F238E27FC236}">
              <a16:creationId xmlns:a16="http://schemas.microsoft.com/office/drawing/2014/main" id="{DFCE01B7-F1C7-ABB1-2927-B63A5C5F2F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60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271</xdr:row>
      <xdr:rowOff>760942</xdr:rowOff>
    </xdr:from>
    <xdr:to>
      <xdr:col>0</xdr:col>
      <xdr:colOff>871538</xdr:colOff>
      <xdr:row>272</xdr:row>
      <xdr:rowOff>760942</xdr:rowOff>
    </xdr:to>
    <xdr:pic>
      <xdr:nvPicPr>
        <xdr:cNvPr id="947" name="Obraz 946">
          <a:extLst>
            <a:ext uri="{FF2B5EF4-FFF2-40B4-BE49-F238E27FC236}">
              <a16:creationId xmlns:a16="http://schemas.microsoft.com/office/drawing/2014/main" id="{1C593345-25D7-09F0-3E10-4D67BD9638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67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272</xdr:row>
      <xdr:rowOff>760942</xdr:rowOff>
    </xdr:from>
    <xdr:to>
      <xdr:col>0</xdr:col>
      <xdr:colOff>871538</xdr:colOff>
      <xdr:row>273</xdr:row>
      <xdr:rowOff>760942</xdr:rowOff>
    </xdr:to>
    <xdr:pic>
      <xdr:nvPicPr>
        <xdr:cNvPr id="950" name="Obraz 949">
          <a:extLst>
            <a:ext uri="{FF2B5EF4-FFF2-40B4-BE49-F238E27FC236}">
              <a16:creationId xmlns:a16="http://schemas.microsoft.com/office/drawing/2014/main" id="{FE361383-97B8-01D4-7F9E-DCD1A80CE0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75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273</xdr:row>
      <xdr:rowOff>760942</xdr:rowOff>
    </xdr:from>
    <xdr:to>
      <xdr:col>0</xdr:col>
      <xdr:colOff>871538</xdr:colOff>
      <xdr:row>274</xdr:row>
      <xdr:rowOff>760942</xdr:rowOff>
    </xdr:to>
    <xdr:pic>
      <xdr:nvPicPr>
        <xdr:cNvPr id="954" name="Obraz 953">
          <a:extLst>
            <a:ext uri="{FF2B5EF4-FFF2-40B4-BE49-F238E27FC236}">
              <a16:creationId xmlns:a16="http://schemas.microsoft.com/office/drawing/2014/main" id="{8EB8BBA1-11BB-2DB9-2AEF-F5EEA7766B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83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274</xdr:row>
      <xdr:rowOff>760942</xdr:rowOff>
    </xdr:from>
    <xdr:to>
      <xdr:col>0</xdr:col>
      <xdr:colOff>871538</xdr:colOff>
      <xdr:row>275</xdr:row>
      <xdr:rowOff>760942</xdr:rowOff>
    </xdr:to>
    <xdr:pic>
      <xdr:nvPicPr>
        <xdr:cNvPr id="957" name="Obraz 956">
          <a:extLst>
            <a:ext uri="{FF2B5EF4-FFF2-40B4-BE49-F238E27FC236}">
              <a16:creationId xmlns:a16="http://schemas.microsoft.com/office/drawing/2014/main" id="{9B6CBF8B-FA25-F5DA-5632-FF09444FB3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90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275</xdr:row>
      <xdr:rowOff>760942</xdr:rowOff>
    </xdr:from>
    <xdr:to>
      <xdr:col>0</xdr:col>
      <xdr:colOff>871538</xdr:colOff>
      <xdr:row>276</xdr:row>
      <xdr:rowOff>760942</xdr:rowOff>
    </xdr:to>
    <xdr:pic>
      <xdr:nvPicPr>
        <xdr:cNvPr id="961" name="Obraz 960">
          <a:extLst>
            <a:ext uri="{FF2B5EF4-FFF2-40B4-BE49-F238E27FC236}">
              <a16:creationId xmlns:a16="http://schemas.microsoft.com/office/drawing/2014/main" id="{62AAE330-3614-344D-767E-477F60BB7A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098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276</xdr:row>
      <xdr:rowOff>760942</xdr:rowOff>
    </xdr:from>
    <xdr:to>
      <xdr:col>0</xdr:col>
      <xdr:colOff>871538</xdr:colOff>
      <xdr:row>277</xdr:row>
      <xdr:rowOff>760942</xdr:rowOff>
    </xdr:to>
    <xdr:pic>
      <xdr:nvPicPr>
        <xdr:cNvPr id="965" name="Obraz 964">
          <a:extLst>
            <a:ext uri="{FF2B5EF4-FFF2-40B4-BE49-F238E27FC236}">
              <a16:creationId xmlns:a16="http://schemas.microsoft.com/office/drawing/2014/main" id="{7115D474-EE06-6A33-5CA9-113B0F26B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06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277</xdr:row>
      <xdr:rowOff>760942</xdr:rowOff>
    </xdr:from>
    <xdr:to>
      <xdr:col>0</xdr:col>
      <xdr:colOff>871538</xdr:colOff>
      <xdr:row>278</xdr:row>
      <xdr:rowOff>760942</xdr:rowOff>
    </xdr:to>
    <xdr:pic>
      <xdr:nvPicPr>
        <xdr:cNvPr id="968" name="Obraz 967">
          <a:extLst>
            <a:ext uri="{FF2B5EF4-FFF2-40B4-BE49-F238E27FC236}">
              <a16:creationId xmlns:a16="http://schemas.microsoft.com/office/drawing/2014/main" id="{74915E40-8D8C-75B5-7956-C4FDE04FEA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13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278</xdr:row>
      <xdr:rowOff>760942</xdr:rowOff>
    </xdr:from>
    <xdr:to>
      <xdr:col>0</xdr:col>
      <xdr:colOff>871538</xdr:colOff>
      <xdr:row>279</xdr:row>
      <xdr:rowOff>760942</xdr:rowOff>
    </xdr:to>
    <xdr:pic>
      <xdr:nvPicPr>
        <xdr:cNvPr id="972" name="Obraz 971">
          <a:extLst>
            <a:ext uri="{FF2B5EF4-FFF2-40B4-BE49-F238E27FC236}">
              <a16:creationId xmlns:a16="http://schemas.microsoft.com/office/drawing/2014/main" id="{111A2FB2-6AB3-54C7-9E27-2CAA26FF90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21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279</xdr:row>
      <xdr:rowOff>760942</xdr:rowOff>
    </xdr:from>
    <xdr:to>
      <xdr:col>0</xdr:col>
      <xdr:colOff>871538</xdr:colOff>
      <xdr:row>280</xdr:row>
      <xdr:rowOff>760942</xdr:rowOff>
    </xdr:to>
    <xdr:pic>
      <xdr:nvPicPr>
        <xdr:cNvPr id="975" name="Obraz 974">
          <a:extLst>
            <a:ext uri="{FF2B5EF4-FFF2-40B4-BE49-F238E27FC236}">
              <a16:creationId xmlns:a16="http://schemas.microsoft.com/office/drawing/2014/main" id="{1717B71F-699B-AA5A-5421-563E4A00A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28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280</xdr:row>
      <xdr:rowOff>760942</xdr:rowOff>
    </xdr:from>
    <xdr:to>
      <xdr:col>0</xdr:col>
      <xdr:colOff>871538</xdr:colOff>
      <xdr:row>281</xdr:row>
      <xdr:rowOff>760942</xdr:rowOff>
    </xdr:to>
    <xdr:pic>
      <xdr:nvPicPr>
        <xdr:cNvPr id="979" name="Obraz 978">
          <a:extLst>
            <a:ext uri="{FF2B5EF4-FFF2-40B4-BE49-F238E27FC236}">
              <a16:creationId xmlns:a16="http://schemas.microsoft.com/office/drawing/2014/main" id="{7B0A76A5-FEA4-B1F5-7E0A-547684263B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36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281</xdr:row>
      <xdr:rowOff>760942</xdr:rowOff>
    </xdr:from>
    <xdr:to>
      <xdr:col>0</xdr:col>
      <xdr:colOff>871538</xdr:colOff>
      <xdr:row>282</xdr:row>
      <xdr:rowOff>760942</xdr:rowOff>
    </xdr:to>
    <xdr:pic>
      <xdr:nvPicPr>
        <xdr:cNvPr id="982" name="Obraz 981">
          <a:extLst>
            <a:ext uri="{FF2B5EF4-FFF2-40B4-BE49-F238E27FC236}">
              <a16:creationId xmlns:a16="http://schemas.microsoft.com/office/drawing/2014/main" id="{EFB2166F-FE08-FF7E-F970-E1C0CA79F4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44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282</xdr:row>
      <xdr:rowOff>760942</xdr:rowOff>
    </xdr:from>
    <xdr:to>
      <xdr:col>0</xdr:col>
      <xdr:colOff>871538</xdr:colOff>
      <xdr:row>283</xdr:row>
      <xdr:rowOff>760942</xdr:rowOff>
    </xdr:to>
    <xdr:pic>
      <xdr:nvPicPr>
        <xdr:cNvPr id="986" name="Obraz 985">
          <a:extLst>
            <a:ext uri="{FF2B5EF4-FFF2-40B4-BE49-F238E27FC236}">
              <a16:creationId xmlns:a16="http://schemas.microsoft.com/office/drawing/2014/main" id="{D3310EF2-0BD5-D460-10AD-946B2E4C5E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51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283</xdr:row>
      <xdr:rowOff>760942</xdr:rowOff>
    </xdr:from>
    <xdr:to>
      <xdr:col>0</xdr:col>
      <xdr:colOff>871538</xdr:colOff>
      <xdr:row>284</xdr:row>
      <xdr:rowOff>760942</xdr:rowOff>
    </xdr:to>
    <xdr:pic>
      <xdr:nvPicPr>
        <xdr:cNvPr id="989" name="Obraz 988">
          <a:extLst>
            <a:ext uri="{FF2B5EF4-FFF2-40B4-BE49-F238E27FC236}">
              <a16:creationId xmlns:a16="http://schemas.microsoft.com/office/drawing/2014/main" id="{0C3D4363-D440-1250-DF56-D7854CF52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59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284</xdr:row>
      <xdr:rowOff>760942</xdr:rowOff>
    </xdr:from>
    <xdr:to>
      <xdr:col>0</xdr:col>
      <xdr:colOff>871538</xdr:colOff>
      <xdr:row>285</xdr:row>
      <xdr:rowOff>760942</xdr:rowOff>
    </xdr:to>
    <xdr:pic>
      <xdr:nvPicPr>
        <xdr:cNvPr id="993" name="Obraz 992">
          <a:extLst>
            <a:ext uri="{FF2B5EF4-FFF2-40B4-BE49-F238E27FC236}">
              <a16:creationId xmlns:a16="http://schemas.microsoft.com/office/drawing/2014/main" id="{324EAB77-899A-F5CC-945B-0983A05FBD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67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285</xdr:row>
      <xdr:rowOff>760942</xdr:rowOff>
    </xdr:from>
    <xdr:to>
      <xdr:col>0</xdr:col>
      <xdr:colOff>871538</xdr:colOff>
      <xdr:row>286</xdr:row>
      <xdr:rowOff>760942</xdr:rowOff>
    </xdr:to>
    <xdr:pic>
      <xdr:nvPicPr>
        <xdr:cNvPr id="997" name="Obraz 996">
          <a:extLst>
            <a:ext uri="{FF2B5EF4-FFF2-40B4-BE49-F238E27FC236}">
              <a16:creationId xmlns:a16="http://schemas.microsoft.com/office/drawing/2014/main" id="{CCC6FF01-611B-CDEA-297A-4C21E5C1ED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74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286</xdr:row>
      <xdr:rowOff>760942</xdr:rowOff>
    </xdr:from>
    <xdr:to>
      <xdr:col>0</xdr:col>
      <xdr:colOff>871538</xdr:colOff>
      <xdr:row>287</xdr:row>
      <xdr:rowOff>760942</xdr:rowOff>
    </xdr:to>
    <xdr:pic>
      <xdr:nvPicPr>
        <xdr:cNvPr id="1000" name="Obraz 999">
          <a:extLst>
            <a:ext uri="{FF2B5EF4-FFF2-40B4-BE49-F238E27FC236}">
              <a16:creationId xmlns:a16="http://schemas.microsoft.com/office/drawing/2014/main" id="{2DF170E9-E432-F574-00E2-AB8F0D4C66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82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287</xdr:row>
      <xdr:rowOff>760942</xdr:rowOff>
    </xdr:from>
    <xdr:to>
      <xdr:col>0</xdr:col>
      <xdr:colOff>871538</xdr:colOff>
      <xdr:row>288</xdr:row>
      <xdr:rowOff>760942</xdr:rowOff>
    </xdr:to>
    <xdr:pic>
      <xdr:nvPicPr>
        <xdr:cNvPr id="1004" name="Obraz 1003">
          <a:extLst>
            <a:ext uri="{FF2B5EF4-FFF2-40B4-BE49-F238E27FC236}">
              <a16:creationId xmlns:a16="http://schemas.microsoft.com/office/drawing/2014/main" id="{ED3FD2BF-5A4F-72CF-19F9-C9BE98BAFF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89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288</xdr:row>
      <xdr:rowOff>760942</xdr:rowOff>
    </xdr:from>
    <xdr:to>
      <xdr:col>0</xdr:col>
      <xdr:colOff>871538</xdr:colOff>
      <xdr:row>289</xdr:row>
      <xdr:rowOff>760942</xdr:rowOff>
    </xdr:to>
    <xdr:pic>
      <xdr:nvPicPr>
        <xdr:cNvPr id="1007" name="Obraz 1006">
          <a:extLst>
            <a:ext uri="{FF2B5EF4-FFF2-40B4-BE49-F238E27FC236}">
              <a16:creationId xmlns:a16="http://schemas.microsoft.com/office/drawing/2014/main" id="{990809F4-17D3-1762-0121-D466A22B72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197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289</xdr:row>
      <xdr:rowOff>760942</xdr:rowOff>
    </xdr:from>
    <xdr:to>
      <xdr:col>0</xdr:col>
      <xdr:colOff>871538</xdr:colOff>
      <xdr:row>290</xdr:row>
      <xdr:rowOff>760942</xdr:rowOff>
    </xdr:to>
    <xdr:pic>
      <xdr:nvPicPr>
        <xdr:cNvPr id="1011" name="Obraz 1010">
          <a:extLst>
            <a:ext uri="{FF2B5EF4-FFF2-40B4-BE49-F238E27FC236}">
              <a16:creationId xmlns:a16="http://schemas.microsoft.com/office/drawing/2014/main" id="{C9AFEF51-4C56-5FBB-A2CC-6214BBBA4A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05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290</xdr:row>
      <xdr:rowOff>760942</xdr:rowOff>
    </xdr:from>
    <xdr:to>
      <xdr:col>0</xdr:col>
      <xdr:colOff>871538</xdr:colOff>
      <xdr:row>291</xdr:row>
      <xdr:rowOff>760942</xdr:rowOff>
    </xdr:to>
    <xdr:pic>
      <xdr:nvPicPr>
        <xdr:cNvPr id="1014" name="Obraz 1013">
          <a:extLst>
            <a:ext uri="{FF2B5EF4-FFF2-40B4-BE49-F238E27FC236}">
              <a16:creationId xmlns:a16="http://schemas.microsoft.com/office/drawing/2014/main" id="{9734DF6C-700C-68E1-2DF6-838735F99A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12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291</xdr:row>
      <xdr:rowOff>760942</xdr:rowOff>
    </xdr:from>
    <xdr:to>
      <xdr:col>0</xdr:col>
      <xdr:colOff>871538</xdr:colOff>
      <xdr:row>292</xdr:row>
      <xdr:rowOff>760942</xdr:rowOff>
    </xdr:to>
    <xdr:pic>
      <xdr:nvPicPr>
        <xdr:cNvPr id="1018" name="Obraz 1017">
          <a:extLst>
            <a:ext uri="{FF2B5EF4-FFF2-40B4-BE49-F238E27FC236}">
              <a16:creationId xmlns:a16="http://schemas.microsoft.com/office/drawing/2014/main" id="{D873198F-EECD-7698-78DB-D346EA577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20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292</xdr:row>
      <xdr:rowOff>760942</xdr:rowOff>
    </xdr:from>
    <xdr:to>
      <xdr:col>0</xdr:col>
      <xdr:colOff>871538</xdr:colOff>
      <xdr:row>293</xdr:row>
      <xdr:rowOff>760942</xdr:rowOff>
    </xdr:to>
    <xdr:pic>
      <xdr:nvPicPr>
        <xdr:cNvPr id="1021" name="Obraz 1020">
          <a:extLst>
            <a:ext uri="{FF2B5EF4-FFF2-40B4-BE49-F238E27FC236}">
              <a16:creationId xmlns:a16="http://schemas.microsoft.com/office/drawing/2014/main" id="{8A133672-35C4-BEC4-4621-37FAFC78AA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27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293</xdr:row>
      <xdr:rowOff>760942</xdr:rowOff>
    </xdr:from>
    <xdr:to>
      <xdr:col>0</xdr:col>
      <xdr:colOff>871538</xdr:colOff>
      <xdr:row>294</xdr:row>
      <xdr:rowOff>760942</xdr:rowOff>
    </xdr:to>
    <xdr:pic>
      <xdr:nvPicPr>
        <xdr:cNvPr id="1025" name="Obraz 1024">
          <a:extLst>
            <a:ext uri="{FF2B5EF4-FFF2-40B4-BE49-F238E27FC236}">
              <a16:creationId xmlns:a16="http://schemas.microsoft.com/office/drawing/2014/main" id="{7BD4C2BF-2E6F-CE1F-16C6-C736C34AE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35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294</xdr:row>
      <xdr:rowOff>760942</xdr:rowOff>
    </xdr:from>
    <xdr:to>
      <xdr:col>0</xdr:col>
      <xdr:colOff>871538</xdr:colOff>
      <xdr:row>295</xdr:row>
      <xdr:rowOff>760942</xdr:rowOff>
    </xdr:to>
    <xdr:pic>
      <xdr:nvPicPr>
        <xdr:cNvPr id="1029" name="Obraz 1028">
          <a:extLst>
            <a:ext uri="{FF2B5EF4-FFF2-40B4-BE49-F238E27FC236}">
              <a16:creationId xmlns:a16="http://schemas.microsoft.com/office/drawing/2014/main" id="{D6B70875-B5F9-3161-FC88-52FB90E5B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43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295</xdr:row>
      <xdr:rowOff>760942</xdr:rowOff>
    </xdr:from>
    <xdr:to>
      <xdr:col>0</xdr:col>
      <xdr:colOff>871538</xdr:colOff>
      <xdr:row>296</xdr:row>
      <xdr:rowOff>760942</xdr:rowOff>
    </xdr:to>
    <xdr:pic>
      <xdr:nvPicPr>
        <xdr:cNvPr id="1032" name="Obraz 1031">
          <a:extLst>
            <a:ext uri="{FF2B5EF4-FFF2-40B4-BE49-F238E27FC236}">
              <a16:creationId xmlns:a16="http://schemas.microsoft.com/office/drawing/2014/main" id="{AEC328D1-D03D-ADFC-C961-10AE98CB76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50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296</xdr:row>
      <xdr:rowOff>760942</xdr:rowOff>
    </xdr:from>
    <xdr:to>
      <xdr:col>0</xdr:col>
      <xdr:colOff>871538</xdr:colOff>
      <xdr:row>297</xdr:row>
      <xdr:rowOff>760942</xdr:rowOff>
    </xdr:to>
    <xdr:pic>
      <xdr:nvPicPr>
        <xdr:cNvPr id="1036" name="Obraz 1035">
          <a:extLst>
            <a:ext uri="{FF2B5EF4-FFF2-40B4-BE49-F238E27FC236}">
              <a16:creationId xmlns:a16="http://schemas.microsoft.com/office/drawing/2014/main" id="{C81AF695-5EA3-E500-2C54-C70C75F565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58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297</xdr:row>
      <xdr:rowOff>760942</xdr:rowOff>
    </xdr:from>
    <xdr:to>
      <xdr:col>0</xdr:col>
      <xdr:colOff>871538</xdr:colOff>
      <xdr:row>298</xdr:row>
      <xdr:rowOff>760942</xdr:rowOff>
    </xdr:to>
    <xdr:pic>
      <xdr:nvPicPr>
        <xdr:cNvPr id="1039" name="Obraz 1038">
          <a:extLst>
            <a:ext uri="{FF2B5EF4-FFF2-40B4-BE49-F238E27FC236}">
              <a16:creationId xmlns:a16="http://schemas.microsoft.com/office/drawing/2014/main" id="{2930077E-93AD-D621-B2A2-F7E7207C01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66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298</xdr:row>
      <xdr:rowOff>760942</xdr:rowOff>
    </xdr:from>
    <xdr:to>
      <xdr:col>0</xdr:col>
      <xdr:colOff>871538</xdr:colOff>
      <xdr:row>299</xdr:row>
      <xdr:rowOff>760942</xdr:rowOff>
    </xdr:to>
    <xdr:pic>
      <xdr:nvPicPr>
        <xdr:cNvPr id="1043" name="Obraz 1042">
          <a:extLst>
            <a:ext uri="{FF2B5EF4-FFF2-40B4-BE49-F238E27FC236}">
              <a16:creationId xmlns:a16="http://schemas.microsoft.com/office/drawing/2014/main" id="{970C9981-E72C-D8B7-A9A1-8845B3606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73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299</xdr:row>
      <xdr:rowOff>760942</xdr:rowOff>
    </xdr:from>
    <xdr:to>
      <xdr:col>0</xdr:col>
      <xdr:colOff>871538</xdr:colOff>
      <xdr:row>300</xdr:row>
      <xdr:rowOff>760942</xdr:rowOff>
    </xdr:to>
    <xdr:pic>
      <xdr:nvPicPr>
        <xdr:cNvPr id="1046" name="Obraz 1045">
          <a:extLst>
            <a:ext uri="{FF2B5EF4-FFF2-40B4-BE49-F238E27FC236}">
              <a16:creationId xmlns:a16="http://schemas.microsoft.com/office/drawing/2014/main" id="{0ED8BCB0-ED4E-D061-6713-45281DA2CA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81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300</xdr:row>
      <xdr:rowOff>760942</xdr:rowOff>
    </xdr:from>
    <xdr:to>
      <xdr:col>0</xdr:col>
      <xdr:colOff>871538</xdr:colOff>
      <xdr:row>301</xdr:row>
      <xdr:rowOff>760942</xdr:rowOff>
    </xdr:to>
    <xdr:pic>
      <xdr:nvPicPr>
        <xdr:cNvPr id="1050" name="Obraz 1049">
          <a:extLst>
            <a:ext uri="{FF2B5EF4-FFF2-40B4-BE49-F238E27FC236}">
              <a16:creationId xmlns:a16="http://schemas.microsoft.com/office/drawing/2014/main" id="{211FAC8C-4C6B-C019-D120-8730705FD2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88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301</xdr:row>
      <xdr:rowOff>760942</xdr:rowOff>
    </xdr:from>
    <xdr:to>
      <xdr:col>0</xdr:col>
      <xdr:colOff>871538</xdr:colOff>
      <xdr:row>302</xdr:row>
      <xdr:rowOff>760942</xdr:rowOff>
    </xdr:to>
    <xdr:pic>
      <xdr:nvPicPr>
        <xdr:cNvPr id="1053" name="Obraz 1052">
          <a:extLst>
            <a:ext uri="{FF2B5EF4-FFF2-40B4-BE49-F238E27FC236}">
              <a16:creationId xmlns:a16="http://schemas.microsoft.com/office/drawing/2014/main" id="{83018E00-924F-3A88-BC31-5E767B0312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296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302</xdr:row>
      <xdr:rowOff>760942</xdr:rowOff>
    </xdr:from>
    <xdr:to>
      <xdr:col>0</xdr:col>
      <xdr:colOff>871538</xdr:colOff>
      <xdr:row>303</xdr:row>
      <xdr:rowOff>760942</xdr:rowOff>
    </xdr:to>
    <xdr:pic>
      <xdr:nvPicPr>
        <xdr:cNvPr id="1057" name="Obraz 1056">
          <a:extLst>
            <a:ext uri="{FF2B5EF4-FFF2-40B4-BE49-F238E27FC236}">
              <a16:creationId xmlns:a16="http://schemas.microsoft.com/office/drawing/2014/main" id="{96A99ED5-34F3-F3E4-BC3F-D5C2AE7C8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04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303</xdr:row>
      <xdr:rowOff>760942</xdr:rowOff>
    </xdr:from>
    <xdr:to>
      <xdr:col>0</xdr:col>
      <xdr:colOff>871538</xdr:colOff>
      <xdr:row>304</xdr:row>
      <xdr:rowOff>760942</xdr:rowOff>
    </xdr:to>
    <xdr:pic>
      <xdr:nvPicPr>
        <xdr:cNvPr id="1061" name="Obraz 1060">
          <a:extLst>
            <a:ext uri="{FF2B5EF4-FFF2-40B4-BE49-F238E27FC236}">
              <a16:creationId xmlns:a16="http://schemas.microsoft.com/office/drawing/2014/main" id="{744F03F9-169D-7A86-104B-B5F8CE1E5A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11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304</xdr:row>
      <xdr:rowOff>760942</xdr:rowOff>
    </xdr:from>
    <xdr:to>
      <xdr:col>0</xdr:col>
      <xdr:colOff>871538</xdr:colOff>
      <xdr:row>305</xdr:row>
      <xdr:rowOff>760942</xdr:rowOff>
    </xdr:to>
    <xdr:pic>
      <xdr:nvPicPr>
        <xdr:cNvPr id="1064" name="Obraz 1063">
          <a:extLst>
            <a:ext uri="{FF2B5EF4-FFF2-40B4-BE49-F238E27FC236}">
              <a16:creationId xmlns:a16="http://schemas.microsoft.com/office/drawing/2014/main" id="{796E7DD0-D912-7CE9-F16A-C573B74D42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19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305</xdr:row>
      <xdr:rowOff>760942</xdr:rowOff>
    </xdr:from>
    <xdr:to>
      <xdr:col>0</xdr:col>
      <xdr:colOff>871538</xdr:colOff>
      <xdr:row>306</xdr:row>
      <xdr:rowOff>760942</xdr:rowOff>
    </xdr:to>
    <xdr:pic>
      <xdr:nvPicPr>
        <xdr:cNvPr id="1068" name="Obraz 1067">
          <a:extLst>
            <a:ext uri="{FF2B5EF4-FFF2-40B4-BE49-F238E27FC236}">
              <a16:creationId xmlns:a16="http://schemas.microsoft.com/office/drawing/2014/main" id="{C8EE761D-0973-5771-AD5F-F3D4D795AB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27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306</xdr:row>
      <xdr:rowOff>760942</xdr:rowOff>
    </xdr:from>
    <xdr:to>
      <xdr:col>0</xdr:col>
      <xdr:colOff>871538</xdr:colOff>
      <xdr:row>307</xdr:row>
      <xdr:rowOff>760942</xdr:rowOff>
    </xdr:to>
    <xdr:pic>
      <xdr:nvPicPr>
        <xdr:cNvPr id="1071" name="Obraz 1070">
          <a:extLst>
            <a:ext uri="{FF2B5EF4-FFF2-40B4-BE49-F238E27FC236}">
              <a16:creationId xmlns:a16="http://schemas.microsoft.com/office/drawing/2014/main" id="{4A18A08D-6CE1-A0BE-7F81-5C229FACE5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34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307</xdr:row>
      <xdr:rowOff>760942</xdr:rowOff>
    </xdr:from>
    <xdr:to>
      <xdr:col>0</xdr:col>
      <xdr:colOff>871538</xdr:colOff>
      <xdr:row>308</xdr:row>
      <xdr:rowOff>760942</xdr:rowOff>
    </xdr:to>
    <xdr:pic>
      <xdr:nvPicPr>
        <xdr:cNvPr id="1075" name="Obraz 1074">
          <a:extLst>
            <a:ext uri="{FF2B5EF4-FFF2-40B4-BE49-F238E27FC236}">
              <a16:creationId xmlns:a16="http://schemas.microsoft.com/office/drawing/2014/main" id="{9391582A-472C-C6CA-51AE-E4C46931C5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42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308</xdr:row>
      <xdr:rowOff>760942</xdr:rowOff>
    </xdr:from>
    <xdr:to>
      <xdr:col>0</xdr:col>
      <xdr:colOff>871538</xdr:colOff>
      <xdr:row>309</xdr:row>
      <xdr:rowOff>760942</xdr:rowOff>
    </xdr:to>
    <xdr:pic>
      <xdr:nvPicPr>
        <xdr:cNvPr id="1078" name="Obraz 1077">
          <a:extLst>
            <a:ext uri="{FF2B5EF4-FFF2-40B4-BE49-F238E27FC236}">
              <a16:creationId xmlns:a16="http://schemas.microsoft.com/office/drawing/2014/main" id="{4811EABC-D846-AE79-7223-023D27ADB9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49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309</xdr:row>
      <xdr:rowOff>760942</xdr:rowOff>
    </xdr:from>
    <xdr:to>
      <xdr:col>0</xdr:col>
      <xdr:colOff>871538</xdr:colOff>
      <xdr:row>310</xdr:row>
      <xdr:rowOff>760942</xdr:rowOff>
    </xdr:to>
    <xdr:pic>
      <xdr:nvPicPr>
        <xdr:cNvPr id="1082" name="Obraz 1081">
          <a:extLst>
            <a:ext uri="{FF2B5EF4-FFF2-40B4-BE49-F238E27FC236}">
              <a16:creationId xmlns:a16="http://schemas.microsoft.com/office/drawing/2014/main" id="{33931845-3BC4-C36E-1EE3-87294A234D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57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310</xdr:row>
      <xdr:rowOff>760942</xdr:rowOff>
    </xdr:from>
    <xdr:to>
      <xdr:col>0</xdr:col>
      <xdr:colOff>871538</xdr:colOff>
      <xdr:row>311</xdr:row>
      <xdr:rowOff>760942</xdr:rowOff>
    </xdr:to>
    <xdr:pic>
      <xdr:nvPicPr>
        <xdr:cNvPr id="1085" name="Obraz 1084">
          <a:extLst>
            <a:ext uri="{FF2B5EF4-FFF2-40B4-BE49-F238E27FC236}">
              <a16:creationId xmlns:a16="http://schemas.microsoft.com/office/drawing/2014/main" id="{4A8CF835-D5D5-0683-BCD1-93D6FDBCFA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65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311</xdr:row>
      <xdr:rowOff>760942</xdr:rowOff>
    </xdr:from>
    <xdr:to>
      <xdr:col>0</xdr:col>
      <xdr:colOff>871538</xdr:colOff>
      <xdr:row>312</xdr:row>
      <xdr:rowOff>760942</xdr:rowOff>
    </xdr:to>
    <xdr:pic>
      <xdr:nvPicPr>
        <xdr:cNvPr id="1089" name="Obraz 1088">
          <a:extLst>
            <a:ext uri="{FF2B5EF4-FFF2-40B4-BE49-F238E27FC236}">
              <a16:creationId xmlns:a16="http://schemas.microsoft.com/office/drawing/2014/main" id="{209B438E-551D-A126-66A0-E2830E5326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72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312</xdr:row>
      <xdr:rowOff>760942</xdr:rowOff>
    </xdr:from>
    <xdr:to>
      <xdr:col>0</xdr:col>
      <xdr:colOff>871538</xdr:colOff>
      <xdr:row>313</xdr:row>
      <xdr:rowOff>760942</xdr:rowOff>
    </xdr:to>
    <xdr:pic>
      <xdr:nvPicPr>
        <xdr:cNvPr id="1093" name="Obraz 1092">
          <a:extLst>
            <a:ext uri="{FF2B5EF4-FFF2-40B4-BE49-F238E27FC236}">
              <a16:creationId xmlns:a16="http://schemas.microsoft.com/office/drawing/2014/main" id="{02CECF2E-0477-BE72-E561-9654BC95C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80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313</xdr:row>
      <xdr:rowOff>760942</xdr:rowOff>
    </xdr:from>
    <xdr:to>
      <xdr:col>0</xdr:col>
      <xdr:colOff>871538</xdr:colOff>
      <xdr:row>314</xdr:row>
      <xdr:rowOff>760942</xdr:rowOff>
    </xdr:to>
    <xdr:pic>
      <xdr:nvPicPr>
        <xdr:cNvPr id="1096" name="Obraz 1095">
          <a:extLst>
            <a:ext uri="{FF2B5EF4-FFF2-40B4-BE49-F238E27FC236}">
              <a16:creationId xmlns:a16="http://schemas.microsoft.com/office/drawing/2014/main" id="{D493B675-4AF2-B2EF-C195-7789B04580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88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314</xdr:row>
      <xdr:rowOff>760942</xdr:rowOff>
    </xdr:from>
    <xdr:to>
      <xdr:col>0</xdr:col>
      <xdr:colOff>871538</xdr:colOff>
      <xdr:row>315</xdr:row>
      <xdr:rowOff>760942</xdr:rowOff>
    </xdr:to>
    <xdr:pic>
      <xdr:nvPicPr>
        <xdr:cNvPr id="1100" name="Obraz 1099">
          <a:extLst>
            <a:ext uri="{FF2B5EF4-FFF2-40B4-BE49-F238E27FC236}">
              <a16:creationId xmlns:a16="http://schemas.microsoft.com/office/drawing/2014/main" id="{435DFCD6-85F6-76FA-3D64-7C45B10A6E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395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315</xdr:row>
      <xdr:rowOff>760942</xdr:rowOff>
    </xdr:from>
    <xdr:to>
      <xdr:col>0</xdr:col>
      <xdr:colOff>871538</xdr:colOff>
      <xdr:row>316</xdr:row>
      <xdr:rowOff>760942</xdr:rowOff>
    </xdr:to>
    <xdr:pic>
      <xdr:nvPicPr>
        <xdr:cNvPr id="1103" name="Obraz 1102">
          <a:extLst>
            <a:ext uri="{FF2B5EF4-FFF2-40B4-BE49-F238E27FC236}">
              <a16:creationId xmlns:a16="http://schemas.microsoft.com/office/drawing/2014/main" id="{FEEA408F-345D-F3C5-641B-6BF1EF7674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03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316</xdr:row>
      <xdr:rowOff>760942</xdr:rowOff>
    </xdr:from>
    <xdr:to>
      <xdr:col>0</xdr:col>
      <xdr:colOff>871538</xdr:colOff>
      <xdr:row>317</xdr:row>
      <xdr:rowOff>760942</xdr:rowOff>
    </xdr:to>
    <xdr:pic>
      <xdr:nvPicPr>
        <xdr:cNvPr id="1107" name="Obraz 1106">
          <a:extLst>
            <a:ext uri="{FF2B5EF4-FFF2-40B4-BE49-F238E27FC236}">
              <a16:creationId xmlns:a16="http://schemas.microsoft.com/office/drawing/2014/main" id="{D1CBC1C2-E7F5-440C-1C50-9C7702D2D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10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317</xdr:row>
      <xdr:rowOff>760942</xdr:rowOff>
    </xdr:from>
    <xdr:to>
      <xdr:col>0</xdr:col>
      <xdr:colOff>871538</xdr:colOff>
      <xdr:row>318</xdr:row>
      <xdr:rowOff>760942</xdr:rowOff>
    </xdr:to>
    <xdr:pic>
      <xdr:nvPicPr>
        <xdr:cNvPr id="1110" name="Obraz 1109">
          <a:extLst>
            <a:ext uri="{FF2B5EF4-FFF2-40B4-BE49-F238E27FC236}">
              <a16:creationId xmlns:a16="http://schemas.microsoft.com/office/drawing/2014/main" id="{8AA577AF-B436-D61E-9E9F-94FD7AFBC6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18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318</xdr:row>
      <xdr:rowOff>760942</xdr:rowOff>
    </xdr:from>
    <xdr:to>
      <xdr:col>0</xdr:col>
      <xdr:colOff>871538</xdr:colOff>
      <xdr:row>319</xdr:row>
      <xdr:rowOff>760942</xdr:rowOff>
    </xdr:to>
    <xdr:pic>
      <xdr:nvPicPr>
        <xdr:cNvPr id="1114" name="Obraz 1113">
          <a:extLst>
            <a:ext uri="{FF2B5EF4-FFF2-40B4-BE49-F238E27FC236}">
              <a16:creationId xmlns:a16="http://schemas.microsoft.com/office/drawing/2014/main" id="{D7510831-6C37-991F-4E76-CD6707F3C3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26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319</xdr:row>
      <xdr:rowOff>760942</xdr:rowOff>
    </xdr:from>
    <xdr:to>
      <xdr:col>0</xdr:col>
      <xdr:colOff>871538</xdr:colOff>
      <xdr:row>320</xdr:row>
      <xdr:rowOff>760942</xdr:rowOff>
    </xdr:to>
    <xdr:pic>
      <xdr:nvPicPr>
        <xdr:cNvPr id="1117" name="Obraz 1116">
          <a:extLst>
            <a:ext uri="{FF2B5EF4-FFF2-40B4-BE49-F238E27FC236}">
              <a16:creationId xmlns:a16="http://schemas.microsoft.com/office/drawing/2014/main" id="{99157C9B-93C5-6776-7AF4-D90B4AA70C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33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320</xdr:row>
      <xdr:rowOff>760942</xdr:rowOff>
    </xdr:from>
    <xdr:to>
      <xdr:col>0</xdr:col>
      <xdr:colOff>871538</xdr:colOff>
      <xdr:row>321</xdr:row>
      <xdr:rowOff>760942</xdr:rowOff>
    </xdr:to>
    <xdr:pic>
      <xdr:nvPicPr>
        <xdr:cNvPr id="1121" name="Obraz 1120">
          <a:extLst>
            <a:ext uri="{FF2B5EF4-FFF2-40B4-BE49-F238E27FC236}">
              <a16:creationId xmlns:a16="http://schemas.microsoft.com/office/drawing/2014/main" id="{30166ED1-C466-DD2C-0CCC-60566A9265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41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321</xdr:row>
      <xdr:rowOff>760942</xdr:rowOff>
    </xdr:from>
    <xdr:to>
      <xdr:col>0</xdr:col>
      <xdr:colOff>871538</xdr:colOff>
      <xdr:row>322</xdr:row>
      <xdr:rowOff>760942</xdr:rowOff>
    </xdr:to>
    <xdr:pic>
      <xdr:nvPicPr>
        <xdr:cNvPr id="1125" name="Obraz 1124">
          <a:extLst>
            <a:ext uri="{FF2B5EF4-FFF2-40B4-BE49-F238E27FC236}">
              <a16:creationId xmlns:a16="http://schemas.microsoft.com/office/drawing/2014/main" id="{251DDCCC-92D4-840A-1CF7-5282E7D704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48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322</xdr:row>
      <xdr:rowOff>760942</xdr:rowOff>
    </xdr:from>
    <xdr:to>
      <xdr:col>0</xdr:col>
      <xdr:colOff>871538</xdr:colOff>
      <xdr:row>323</xdr:row>
      <xdr:rowOff>760942</xdr:rowOff>
    </xdr:to>
    <xdr:pic>
      <xdr:nvPicPr>
        <xdr:cNvPr id="1128" name="Obraz 1127">
          <a:extLst>
            <a:ext uri="{FF2B5EF4-FFF2-40B4-BE49-F238E27FC236}">
              <a16:creationId xmlns:a16="http://schemas.microsoft.com/office/drawing/2014/main" id="{E046B02C-F58F-116C-58ED-70FE075FB3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56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323</xdr:row>
      <xdr:rowOff>760942</xdr:rowOff>
    </xdr:from>
    <xdr:to>
      <xdr:col>0</xdr:col>
      <xdr:colOff>871538</xdr:colOff>
      <xdr:row>324</xdr:row>
      <xdr:rowOff>760942</xdr:rowOff>
    </xdr:to>
    <xdr:pic>
      <xdr:nvPicPr>
        <xdr:cNvPr id="1132" name="Obraz 1131">
          <a:extLst>
            <a:ext uri="{FF2B5EF4-FFF2-40B4-BE49-F238E27FC236}">
              <a16:creationId xmlns:a16="http://schemas.microsoft.com/office/drawing/2014/main" id="{70A9468F-5A69-C3E5-AF7B-5A74E9DA5B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64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324</xdr:row>
      <xdr:rowOff>760942</xdr:rowOff>
    </xdr:from>
    <xdr:to>
      <xdr:col>0</xdr:col>
      <xdr:colOff>871538</xdr:colOff>
      <xdr:row>325</xdr:row>
      <xdr:rowOff>760942</xdr:rowOff>
    </xdr:to>
    <xdr:pic>
      <xdr:nvPicPr>
        <xdr:cNvPr id="1135" name="Obraz 1134">
          <a:extLst>
            <a:ext uri="{FF2B5EF4-FFF2-40B4-BE49-F238E27FC236}">
              <a16:creationId xmlns:a16="http://schemas.microsoft.com/office/drawing/2014/main" id="{0E330D46-DEDF-C1D3-FE7E-9BB9197C0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71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325</xdr:row>
      <xdr:rowOff>760942</xdr:rowOff>
    </xdr:from>
    <xdr:to>
      <xdr:col>0</xdr:col>
      <xdr:colOff>871538</xdr:colOff>
      <xdr:row>326</xdr:row>
      <xdr:rowOff>760942</xdr:rowOff>
    </xdr:to>
    <xdr:pic>
      <xdr:nvPicPr>
        <xdr:cNvPr id="1139" name="Obraz 1138">
          <a:extLst>
            <a:ext uri="{FF2B5EF4-FFF2-40B4-BE49-F238E27FC236}">
              <a16:creationId xmlns:a16="http://schemas.microsoft.com/office/drawing/2014/main" id="{0B664D87-1B5F-B019-F0E9-CB76EDDE9F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79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326</xdr:row>
      <xdr:rowOff>760942</xdr:rowOff>
    </xdr:from>
    <xdr:to>
      <xdr:col>0</xdr:col>
      <xdr:colOff>871538</xdr:colOff>
      <xdr:row>327</xdr:row>
      <xdr:rowOff>760942</xdr:rowOff>
    </xdr:to>
    <xdr:pic>
      <xdr:nvPicPr>
        <xdr:cNvPr id="1142" name="Obraz 1141">
          <a:extLst>
            <a:ext uri="{FF2B5EF4-FFF2-40B4-BE49-F238E27FC236}">
              <a16:creationId xmlns:a16="http://schemas.microsoft.com/office/drawing/2014/main" id="{503497E6-BF39-BB57-C2E2-40F4B18144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87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327</xdr:row>
      <xdr:rowOff>760942</xdr:rowOff>
    </xdr:from>
    <xdr:to>
      <xdr:col>0</xdr:col>
      <xdr:colOff>871538</xdr:colOff>
      <xdr:row>328</xdr:row>
      <xdr:rowOff>760942</xdr:rowOff>
    </xdr:to>
    <xdr:pic>
      <xdr:nvPicPr>
        <xdr:cNvPr id="1146" name="Obraz 1145">
          <a:extLst>
            <a:ext uri="{FF2B5EF4-FFF2-40B4-BE49-F238E27FC236}">
              <a16:creationId xmlns:a16="http://schemas.microsoft.com/office/drawing/2014/main" id="{BCAF0EB7-CE9E-1B12-57CE-3054BAF745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494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328</xdr:row>
      <xdr:rowOff>760942</xdr:rowOff>
    </xdr:from>
    <xdr:to>
      <xdr:col>0</xdr:col>
      <xdr:colOff>871538</xdr:colOff>
      <xdr:row>329</xdr:row>
      <xdr:rowOff>760942</xdr:rowOff>
    </xdr:to>
    <xdr:pic>
      <xdr:nvPicPr>
        <xdr:cNvPr id="1149" name="Obraz 1148">
          <a:extLst>
            <a:ext uri="{FF2B5EF4-FFF2-40B4-BE49-F238E27FC236}">
              <a16:creationId xmlns:a16="http://schemas.microsoft.com/office/drawing/2014/main" id="{0A115770-38E6-09B5-A921-C43ADD1C9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02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329</xdr:row>
      <xdr:rowOff>760942</xdr:rowOff>
    </xdr:from>
    <xdr:to>
      <xdr:col>0</xdr:col>
      <xdr:colOff>871538</xdr:colOff>
      <xdr:row>330</xdr:row>
      <xdr:rowOff>760942</xdr:rowOff>
    </xdr:to>
    <xdr:pic>
      <xdr:nvPicPr>
        <xdr:cNvPr id="1153" name="Obraz 1152">
          <a:extLst>
            <a:ext uri="{FF2B5EF4-FFF2-40B4-BE49-F238E27FC236}">
              <a16:creationId xmlns:a16="http://schemas.microsoft.com/office/drawing/2014/main" id="{51092B8C-651E-09CB-5976-695AF115C7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09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330</xdr:row>
      <xdr:rowOff>760942</xdr:rowOff>
    </xdr:from>
    <xdr:to>
      <xdr:col>0</xdr:col>
      <xdr:colOff>871538</xdr:colOff>
      <xdr:row>331</xdr:row>
      <xdr:rowOff>760942</xdr:rowOff>
    </xdr:to>
    <xdr:pic>
      <xdr:nvPicPr>
        <xdr:cNvPr id="1157" name="Obraz 1156">
          <a:extLst>
            <a:ext uri="{FF2B5EF4-FFF2-40B4-BE49-F238E27FC236}">
              <a16:creationId xmlns:a16="http://schemas.microsoft.com/office/drawing/2014/main" id="{A68FFB28-65C8-8BE6-B18C-E8F2AD77F6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17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331</xdr:row>
      <xdr:rowOff>760942</xdr:rowOff>
    </xdr:from>
    <xdr:to>
      <xdr:col>0</xdr:col>
      <xdr:colOff>871538</xdr:colOff>
      <xdr:row>332</xdr:row>
      <xdr:rowOff>760942</xdr:rowOff>
    </xdr:to>
    <xdr:pic>
      <xdr:nvPicPr>
        <xdr:cNvPr id="1160" name="Obraz 1159">
          <a:extLst>
            <a:ext uri="{FF2B5EF4-FFF2-40B4-BE49-F238E27FC236}">
              <a16:creationId xmlns:a16="http://schemas.microsoft.com/office/drawing/2014/main" id="{85D132BB-FFC5-F769-DFD1-5A5367665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25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332</xdr:row>
      <xdr:rowOff>760942</xdr:rowOff>
    </xdr:from>
    <xdr:to>
      <xdr:col>0</xdr:col>
      <xdr:colOff>871538</xdr:colOff>
      <xdr:row>333</xdr:row>
      <xdr:rowOff>760942</xdr:rowOff>
    </xdr:to>
    <xdr:pic>
      <xdr:nvPicPr>
        <xdr:cNvPr id="1164" name="Obraz 1163">
          <a:extLst>
            <a:ext uri="{FF2B5EF4-FFF2-40B4-BE49-F238E27FC236}">
              <a16:creationId xmlns:a16="http://schemas.microsoft.com/office/drawing/2014/main" id="{818F9F65-5EA8-F816-B9DC-9CB94675F4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32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333</xdr:row>
      <xdr:rowOff>760942</xdr:rowOff>
    </xdr:from>
    <xdr:to>
      <xdr:col>0</xdr:col>
      <xdr:colOff>871538</xdr:colOff>
      <xdr:row>334</xdr:row>
      <xdr:rowOff>760942</xdr:rowOff>
    </xdr:to>
    <xdr:pic>
      <xdr:nvPicPr>
        <xdr:cNvPr id="1167" name="Obraz 1166">
          <a:extLst>
            <a:ext uri="{FF2B5EF4-FFF2-40B4-BE49-F238E27FC236}">
              <a16:creationId xmlns:a16="http://schemas.microsoft.com/office/drawing/2014/main" id="{B8D5F65E-5AE1-A1FE-FC62-5530C72843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40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334</xdr:row>
      <xdr:rowOff>760942</xdr:rowOff>
    </xdr:from>
    <xdr:to>
      <xdr:col>0</xdr:col>
      <xdr:colOff>871538</xdr:colOff>
      <xdr:row>335</xdr:row>
      <xdr:rowOff>760942</xdr:rowOff>
    </xdr:to>
    <xdr:pic>
      <xdr:nvPicPr>
        <xdr:cNvPr id="1171" name="Obraz 1170">
          <a:extLst>
            <a:ext uri="{FF2B5EF4-FFF2-40B4-BE49-F238E27FC236}">
              <a16:creationId xmlns:a16="http://schemas.microsoft.com/office/drawing/2014/main" id="{18AE1B93-2579-237D-1F98-A3D13A2607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48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335</xdr:row>
      <xdr:rowOff>760942</xdr:rowOff>
    </xdr:from>
    <xdr:to>
      <xdr:col>0</xdr:col>
      <xdr:colOff>871538</xdr:colOff>
      <xdr:row>336</xdr:row>
      <xdr:rowOff>760942</xdr:rowOff>
    </xdr:to>
    <xdr:pic>
      <xdr:nvPicPr>
        <xdr:cNvPr id="1174" name="Obraz 1173">
          <a:extLst>
            <a:ext uri="{FF2B5EF4-FFF2-40B4-BE49-F238E27FC236}">
              <a16:creationId xmlns:a16="http://schemas.microsoft.com/office/drawing/2014/main" id="{728EA16D-A5B3-CB1C-C25C-A310E8F8AC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55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336</xdr:row>
      <xdr:rowOff>760942</xdr:rowOff>
    </xdr:from>
    <xdr:to>
      <xdr:col>0</xdr:col>
      <xdr:colOff>871538</xdr:colOff>
      <xdr:row>337</xdr:row>
      <xdr:rowOff>760942</xdr:rowOff>
    </xdr:to>
    <xdr:pic>
      <xdr:nvPicPr>
        <xdr:cNvPr id="1178" name="Obraz 1177">
          <a:extLst>
            <a:ext uri="{FF2B5EF4-FFF2-40B4-BE49-F238E27FC236}">
              <a16:creationId xmlns:a16="http://schemas.microsoft.com/office/drawing/2014/main" id="{FEAE724C-4EF1-CCD8-47D4-DEC3864E35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63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337</xdr:row>
      <xdr:rowOff>760942</xdr:rowOff>
    </xdr:from>
    <xdr:to>
      <xdr:col>0</xdr:col>
      <xdr:colOff>871538</xdr:colOff>
      <xdr:row>338</xdr:row>
      <xdr:rowOff>760942</xdr:rowOff>
    </xdr:to>
    <xdr:pic>
      <xdr:nvPicPr>
        <xdr:cNvPr id="1181" name="Obraz 1180">
          <a:extLst>
            <a:ext uri="{FF2B5EF4-FFF2-40B4-BE49-F238E27FC236}">
              <a16:creationId xmlns:a16="http://schemas.microsoft.com/office/drawing/2014/main" id="{4DC32F57-3933-B70F-D746-D0230EB69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70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338</xdr:row>
      <xdr:rowOff>760942</xdr:rowOff>
    </xdr:from>
    <xdr:to>
      <xdr:col>0</xdr:col>
      <xdr:colOff>871538</xdr:colOff>
      <xdr:row>339</xdr:row>
      <xdr:rowOff>760942</xdr:rowOff>
    </xdr:to>
    <xdr:pic>
      <xdr:nvPicPr>
        <xdr:cNvPr id="1185" name="Obraz 1184">
          <a:extLst>
            <a:ext uri="{FF2B5EF4-FFF2-40B4-BE49-F238E27FC236}">
              <a16:creationId xmlns:a16="http://schemas.microsoft.com/office/drawing/2014/main" id="{F08DC42C-6E64-B1E3-6A70-58013BB096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78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339</xdr:row>
      <xdr:rowOff>760942</xdr:rowOff>
    </xdr:from>
    <xdr:to>
      <xdr:col>0</xdr:col>
      <xdr:colOff>871538</xdr:colOff>
      <xdr:row>340</xdr:row>
      <xdr:rowOff>760942</xdr:rowOff>
    </xdr:to>
    <xdr:pic>
      <xdr:nvPicPr>
        <xdr:cNvPr id="1189" name="Obraz 1188">
          <a:extLst>
            <a:ext uri="{FF2B5EF4-FFF2-40B4-BE49-F238E27FC236}">
              <a16:creationId xmlns:a16="http://schemas.microsoft.com/office/drawing/2014/main" id="{EC9C62B7-F85B-D014-680E-B9802878F3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86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340</xdr:row>
      <xdr:rowOff>760942</xdr:rowOff>
    </xdr:from>
    <xdr:to>
      <xdr:col>0</xdr:col>
      <xdr:colOff>871538</xdr:colOff>
      <xdr:row>341</xdr:row>
      <xdr:rowOff>760942</xdr:rowOff>
    </xdr:to>
    <xdr:pic>
      <xdr:nvPicPr>
        <xdr:cNvPr id="1192" name="Obraz 1191">
          <a:extLst>
            <a:ext uri="{FF2B5EF4-FFF2-40B4-BE49-F238E27FC236}">
              <a16:creationId xmlns:a16="http://schemas.microsoft.com/office/drawing/2014/main" id="{14EE2F48-3ACE-0AC6-91EB-6F0B944670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593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341</xdr:row>
      <xdr:rowOff>760942</xdr:rowOff>
    </xdr:from>
    <xdr:to>
      <xdr:col>0</xdr:col>
      <xdr:colOff>871538</xdr:colOff>
      <xdr:row>342</xdr:row>
      <xdr:rowOff>760942</xdr:rowOff>
    </xdr:to>
    <xdr:pic>
      <xdr:nvPicPr>
        <xdr:cNvPr id="1196" name="Obraz 1195">
          <a:extLst>
            <a:ext uri="{FF2B5EF4-FFF2-40B4-BE49-F238E27FC236}">
              <a16:creationId xmlns:a16="http://schemas.microsoft.com/office/drawing/2014/main" id="{E739F9A3-1B56-0C3A-1C85-A916B2040C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01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342</xdr:row>
      <xdr:rowOff>760942</xdr:rowOff>
    </xdr:from>
    <xdr:to>
      <xdr:col>0</xdr:col>
      <xdr:colOff>871538</xdr:colOff>
      <xdr:row>343</xdr:row>
      <xdr:rowOff>760942</xdr:rowOff>
    </xdr:to>
    <xdr:pic>
      <xdr:nvPicPr>
        <xdr:cNvPr id="1199" name="Obraz 1198">
          <a:extLst>
            <a:ext uri="{FF2B5EF4-FFF2-40B4-BE49-F238E27FC236}">
              <a16:creationId xmlns:a16="http://schemas.microsoft.com/office/drawing/2014/main" id="{2C15046F-63FD-5F46-F187-EA2F6A9AB5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08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343</xdr:row>
      <xdr:rowOff>760942</xdr:rowOff>
    </xdr:from>
    <xdr:to>
      <xdr:col>0</xdr:col>
      <xdr:colOff>871538</xdr:colOff>
      <xdr:row>344</xdr:row>
      <xdr:rowOff>760942</xdr:rowOff>
    </xdr:to>
    <xdr:pic>
      <xdr:nvPicPr>
        <xdr:cNvPr id="1203" name="Obraz 1202">
          <a:extLst>
            <a:ext uri="{FF2B5EF4-FFF2-40B4-BE49-F238E27FC236}">
              <a16:creationId xmlns:a16="http://schemas.microsoft.com/office/drawing/2014/main" id="{D9635566-CCF8-A087-289B-EED1D9399A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16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344</xdr:row>
      <xdr:rowOff>760942</xdr:rowOff>
    </xdr:from>
    <xdr:to>
      <xdr:col>0</xdr:col>
      <xdr:colOff>871538</xdr:colOff>
      <xdr:row>345</xdr:row>
      <xdr:rowOff>760942</xdr:rowOff>
    </xdr:to>
    <xdr:pic>
      <xdr:nvPicPr>
        <xdr:cNvPr id="1206" name="Obraz 1205">
          <a:extLst>
            <a:ext uri="{FF2B5EF4-FFF2-40B4-BE49-F238E27FC236}">
              <a16:creationId xmlns:a16="http://schemas.microsoft.com/office/drawing/2014/main" id="{5694675B-AB43-C7B0-EF10-03E446BABF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24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345</xdr:row>
      <xdr:rowOff>760942</xdr:rowOff>
    </xdr:from>
    <xdr:to>
      <xdr:col>0</xdr:col>
      <xdr:colOff>871538</xdr:colOff>
      <xdr:row>346</xdr:row>
      <xdr:rowOff>760942</xdr:rowOff>
    </xdr:to>
    <xdr:pic>
      <xdr:nvPicPr>
        <xdr:cNvPr id="1210" name="Obraz 1209">
          <a:extLst>
            <a:ext uri="{FF2B5EF4-FFF2-40B4-BE49-F238E27FC236}">
              <a16:creationId xmlns:a16="http://schemas.microsoft.com/office/drawing/2014/main" id="{BDECFA03-3F6E-78C5-C43E-733EF9E659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31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346</xdr:row>
      <xdr:rowOff>760942</xdr:rowOff>
    </xdr:from>
    <xdr:to>
      <xdr:col>0</xdr:col>
      <xdr:colOff>871538</xdr:colOff>
      <xdr:row>347</xdr:row>
      <xdr:rowOff>760942</xdr:rowOff>
    </xdr:to>
    <xdr:pic>
      <xdr:nvPicPr>
        <xdr:cNvPr id="1213" name="Obraz 1212">
          <a:extLst>
            <a:ext uri="{FF2B5EF4-FFF2-40B4-BE49-F238E27FC236}">
              <a16:creationId xmlns:a16="http://schemas.microsoft.com/office/drawing/2014/main" id="{9FEAF7EE-E371-82C6-B934-ABB8395BBA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39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347</xdr:row>
      <xdr:rowOff>760942</xdr:rowOff>
    </xdr:from>
    <xdr:to>
      <xdr:col>0</xdr:col>
      <xdr:colOff>871538</xdr:colOff>
      <xdr:row>348</xdr:row>
      <xdr:rowOff>760942</xdr:rowOff>
    </xdr:to>
    <xdr:pic>
      <xdr:nvPicPr>
        <xdr:cNvPr id="1217" name="Obraz 1216">
          <a:extLst>
            <a:ext uri="{FF2B5EF4-FFF2-40B4-BE49-F238E27FC236}">
              <a16:creationId xmlns:a16="http://schemas.microsoft.com/office/drawing/2014/main" id="{E600D3E0-5721-1D73-4DDA-E72C1A6431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47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348</xdr:row>
      <xdr:rowOff>760942</xdr:rowOff>
    </xdr:from>
    <xdr:to>
      <xdr:col>0</xdr:col>
      <xdr:colOff>871538</xdr:colOff>
      <xdr:row>349</xdr:row>
      <xdr:rowOff>760942</xdr:rowOff>
    </xdr:to>
    <xdr:pic>
      <xdr:nvPicPr>
        <xdr:cNvPr id="1221" name="Obraz 1220">
          <a:extLst>
            <a:ext uri="{FF2B5EF4-FFF2-40B4-BE49-F238E27FC236}">
              <a16:creationId xmlns:a16="http://schemas.microsoft.com/office/drawing/2014/main" id="{8B75D9B6-35AD-E867-FB7B-30AF9EB67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54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349</xdr:row>
      <xdr:rowOff>760942</xdr:rowOff>
    </xdr:from>
    <xdr:to>
      <xdr:col>0</xdr:col>
      <xdr:colOff>871538</xdr:colOff>
      <xdr:row>350</xdr:row>
      <xdr:rowOff>760942</xdr:rowOff>
    </xdr:to>
    <xdr:pic>
      <xdr:nvPicPr>
        <xdr:cNvPr id="1224" name="Obraz 1223">
          <a:extLst>
            <a:ext uri="{FF2B5EF4-FFF2-40B4-BE49-F238E27FC236}">
              <a16:creationId xmlns:a16="http://schemas.microsoft.com/office/drawing/2014/main" id="{D1218921-9DB8-073B-2E15-5F51ED0A3F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62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350</xdr:row>
      <xdr:rowOff>760942</xdr:rowOff>
    </xdr:from>
    <xdr:to>
      <xdr:col>0</xdr:col>
      <xdr:colOff>871538</xdr:colOff>
      <xdr:row>351</xdr:row>
      <xdr:rowOff>760942</xdr:rowOff>
    </xdr:to>
    <xdr:pic>
      <xdr:nvPicPr>
        <xdr:cNvPr id="1228" name="Obraz 1227">
          <a:extLst>
            <a:ext uri="{FF2B5EF4-FFF2-40B4-BE49-F238E27FC236}">
              <a16:creationId xmlns:a16="http://schemas.microsoft.com/office/drawing/2014/main" id="{A0D2E79C-DC45-8B12-583A-C96483CB6B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69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351</xdr:row>
      <xdr:rowOff>760942</xdr:rowOff>
    </xdr:from>
    <xdr:to>
      <xdr:col>0</xdr:col>
      <xdr:colOff>871538</xdr:colOff>
      <xdr:row>352</xdr:row>
      <xdr:rowOff>760942</xdr:rowOff>
    </xdr:to>
    <xdr:pic>
      <xdr:nvPicPr>
        <xdr:cNvPr id="1231" name="Obraz 1230">
          <a:extLst>
            <a:ext uri="{FF2B5EF4-FFF2-40B4-BE49-F238E27FC236}">
              <a16:creationId xmlns:a16="http://schemas.microsoft.com/office/drawing/2014/main" id="{C4B14929-A2FB-48B4-8C9D-E87578156A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77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352</xdr:row>
      <xdr:rowOff>760942</xdr:rowOff>
    </xdr:from>
    <xdr:to>
      <xdr:col>0</xdr:col>
      <xdr:colOff>871538</xdr:colOff>
      <xdr:row>353</xdr:row>
      <xdr:rowOff>760942</xdr:rowOff>
    </xdr:to>
    <xdr:pic>
      <xdr:nvPicPr>
        <xdr:cNvPr id="1235" name="Obraz 1234">
          <a:extLst>
            <a:ext uri="{FF2B5EF4-FFF2-40B4-BE49-F238E27FC236}">
              <a16:creationId xmlns:a16="http://schemas.microsoft.com/office/drawing/2014/main" id="{458346E8-994B-F36C-A8E9-D39CFE5128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85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353</xdr:row>
      <xdr:rowOff>760942</xdr:rowOff>
    </xdr:from>
    <xdr:to>
      <xdr:col>0</xdr:col>
      <xdr:colOff>871538</xdr:colOff>
      <xdr:row>354</xdr:row>
      <xdr:rowOff>760942</xdr:rowOff>
    </xdr:to>
    <xdr:pic>
      <xdr:nvPicPr>
        <xdr:cNvPr id="1238" name="Obraz 1237">
          <a:extLst>
            <a:ext uri="{FF2B5EF4-FFF2-40B4-BE49-F238E27FC236}">
              <a16:creationId xmlns:a16="http://schemas.microsoft.com/office/drawing/2014/main" id="{427CBF4C-4B41-B2F6-80FF-0DA555BB8D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692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354</xdr:row>
      <xdr:rowOff>760942</xdr:rowOff>
    </xdr:from>
    <xdr:to>
      <xdr:col>0</xdr:col>
      <xdr:colOff>871538</xdr:colOff>
      <xdr:row>355</xdr:row>
      <xdr:rowOff>760942</xdr:rowOff>
    </xdr:to>
    <xdr:pic>
      <xdr:nvPicPr>
        <xdr:cNvPr id="1242" name="Obraz 1241">
          <a:extLst>
            <a:ext uri="{FF2B5EF4-FFF2-40B4-BE49-F238E27FC236}">
              <a16:creationId xmlns:a16="http://schemas.microsoft.com/office/drawing/2014/main" id="{53F42B07-2D36-F52B-4C75-F5902E0A74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00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355</xdr:row>
      <xdr:rowOff>760942</xdr:rowOff>
    </xdr:from>
    <xdr:to>
      <xdr:col>0</xdr:col>
      <xdr:colOff>871538</xdr:colOff>
      <xdr:row>356</xdr:row>
      <xdr:rowOff>760942</xdr:rowOff>
    </xdr:to>
    <xdr:pic>
      <xdr:nvPicPr>
        <xdr:cNvPr id="1245" name="Obraz 1244">
          <a:extLst>
            <a:ext uri="{FF2B5EF4-FFF2-40B4-BE49-F238E27FC236}">
              <a16:creationId xmlns:a16="http://schemas.microsoft.com/office/drawing/2014/main" id="{A95C4BAD-E8DC-C726-857C-F7B49E55CF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08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356</xdr:row>
      <xdr:rowOff>760942</xdr:rowOff>
    </xdr:from>
    <xdr:to>
      <xdr:col>0</xdr:col>
      <xdr:colOff>871538</xdr:colOff>
      <xdr:row>357</xdr:row>
      <xdr:rowOff>760942</xdr:rowOff>
    </xdr:to>
    <xdr:pic>
      <xdr:nvPicPr>
        <xdr:cNvPr id="1249" name="Obraz 1248">
          <a:extLst>
            <a:ext uri="{FF2B5EF4-FFF2-40B4-BE49-F238E27FC236}">
              <a16:creationId xmlns:a16="http://schemas.microsoft.com/office/drawing/2014/main" id="{8FFF74A4-94A1-6FDD-45FD-710AC37332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15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357</xdr:row>
      <xdr:rowOff>760942</xdr:rowOff>
    </xdr:from>
    <xdr:to>
      <xdr:col>0</xdr:col>
      <xdr:colOff>871538</xdr:colOff>
      <xdr:row>358</xdr:row>
      <xdr:rowOff>760942</xdr:rowOff>
    </xdr:to>
    <xdr:pic>
      <xdr:nvPicPr>
        <xdr:cNvPr id="1253" name="Obraz 1252">
          <a:extLst>
            <a:ext uri="{FF2B5EF4-FFF2-40B4-BE49-F238E27FC236}">
              <a16:creationId xmlns:a16="http://schemas.microsoft.com/office/drawing/2014/main" id="{8C3B6C80-507E-8334-7574-5946CC529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23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358</xdr:row>
      <xdr:rowOff>760942</xdr:rowOff>
    </xdr:from>
    <xdr:to>
      <xdr:col>0</xdr:col>
      <xdr:colOff>871538</xdr:colOff>
      <xdr:row>359</xdr:row>
      <xdr:rowOff>760942</xdr:rowOff>
    </xdr:to>
    <xdr:pic>
      <xdr:nvPicPr>
        <xdr:cNvPr id="1256" name="Obraz 1255">
          <a:extLst>
            <a:ext uri="{FF2B5EF4-FFF2-40B4-BE49-F238E27FC236}">
              <a16:creationId xmlns:a16="http://schemas.microsoft.com/office/drawing/2014/main" id="{2104BD76-9DCE-654D-F2F3-F4CD6CEFE0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30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359</xdr:row>
      <xdr:rowOff>760942</xdr:rowOff>
    </xdr:from>
    <xdr:to>
      <xdr:col>0</xdr:col>
      <xdr:colOff>871538</xdr:colOff>
      <xdr:row>360</xdr:row>
      <xdr:rowOff>760942</xdr:rowOff>
    </xdr:to>
    <xdr:pic>
      <xdr:nvPicPr>
        <xdr:cNvPr id="1260" name="Obraz 1259">
          <a:extLst>
            <a:ext uri="{FF2B5EF4-FFF2-40B4-BE49-F238E27FC236}">
              <a16:creationId xmlns:a16="http://schemas.microsoft.com/office/drawing/2014/main" id="{BE4BAC62-1CAD-D395-D2B8-5717406D53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38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360</xdr:row>
      <xdr:rowOff>760942</xdr:rowOff>
    </xdr:from>
    <xdr:to>
      <xdr:col>0</xdr:col>
      <xdr:colOff>871538</xdr:colOff>
      <xdr:row>361</xdr:row>
      <xdr:rowOff>760942</xdr:rowOff>
    </xdr:to>
    <xdr:pic>
      <xdr:nvPicPr>
        <xdr:cNvPr id="1263" name="Obraz 1262">
          <a:extLst>
            <a:ext uri="{FF2B5EF4-FFF2-40B4-BE49-F238E27FC236}">
              <a16:creationId xmlns:a16="http://schemas.microsoft.com/office/drawing/2014/main" id="{72B5FA72-9B64-182E-0C60-09C1898E38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46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361</xdr:row>
      <xdr:rowOff>760942</xdr:rowOff>
    </xdr:from>
    <xdr:to>
      <xdr:col>0</xdr:col>
      <xdr:colOff>871538</xdr:colOff>
      <xdr:row>362</xdr:row>
      <xdr:rowOff>760942</xdr:rowOff>
    </xdr:to>
    <xdr:pic>
      <xdr:nvPicPr>
        <xdr:cNvPr id="1267" name="Obraz 1266">
          <a:extLst>
            <a:ext uri="{FF2B5EF4-FFF2-40B4-BE49-F238E27FC236}">
              <a16:creationId xmlns:a16="http://schemas.microsoft.com/office/drawing/2014/main" id="{15B1E29B-8A8E-4162-AA7F-9446E6CD59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53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362</xdr:row>
      <xdr:rowOff>760942</xdr:rowOff>
    </xdr:from>
    <xdr:to>
      <xdr:col>0</xdr:col>
      <xdr:colOff>871538</xdr:colOff>
      <xdr:row>363</xdr:row>
      <xdr:rowOff>760942</xdr:rowOff>
    </xdr:to>
    <xdr:pic>
      <xdr:nvPicPr>
        <xdr:cNvPr id="1270" name="Obraz 1269">
          <a:extLst>
            <a:ext uri="{FF2B5EF4-FFF2-40B4-BE49-F238E27FC236}">
              <a16:creationId xmlns:a16="http://schemas.microsoft.com/office/drawing/2014/main" id="{11A5BFB1-5AA4-9D41-5B4E-E79E6003A4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61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363</xdr:row>
      <xdr:rowOff>760942</xdr:rowOff>
    </xdr:from>
    <xdr:to>
      <xdr:col>0</xdr:col>
      <xdr:colOff>871538</xdr:colOff>
      <xdr:row>364</xdr:row>
      <xdr:rowOff>760942</xdr:rowOff>
    </xdr:to>
    <xdr:pic>
      <xdr:nvPicPr>
        <xdr:cNvPr id="1274" name="Obraz 1273">
          <a:extLst>
            <a:ext uri="{FF2B5EF4-FFF2-40B4-BE49-F238E27FC236}">
              <a16:creationId xmlns:a16="http://schemas.microsoft.com/office/drawing/2014/main" id="{5F6A0A90-ECDE-DB70-4D17-4F900E506C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69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364</xdr:row>
      <xdr:rowOff>760942</xdr:rowOff>
    </xdr:from>
    <xdr:to>
      <xdr:col>0</xdr:col>
      <xdr:colOff>871538</xdr:colOff>
      <xdr:row>365</xdr:row>
      <xdr:rowOff>760942</xdr:rowOff>
    </xdr:to>
    <xdr:pic>
      <xdr:nvPicPr>
        <xdr:cNvPr id="1277" name="Obraz 1276">
          <a:extLst>
            <a:ext uri="{FF2B5EF4-FFF2-40B4-BE49-F238E27FC236}">
              <a16:creationId xmlns:a16="http://schemas.microsoft.com/office/drawing/2014/main" id="{8E2B4E32-7148-6F12-F796-4AC0497B4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76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365</xdr:row>
      <xdr:rowOff>760942</xdr:rowOff>
    </xdr:from>
    <xdr:to>
      <xdr:col>0</xdr:col>
      <xdr:colOff>871538</xdr:colOff>
      <xdr:row>366</xdr:row>
      <xdr:rowOff>760942</xdr:rowOff>
    </xdr:to>
    <xdr:pic>
      <xdr:nvPicPr>
        <xdr:cNvPr id="1281" name="Obraz 1280">
          <a:extLst>
            <a:ext uri="{FF2B5EF4-FFF2-40B4-BE49-F238E27FC236}">
              <a16:creationId xmlns:a16="http://schemas.microsoft.com/office/drawing/2014/main" id="{2DE7CD20-232E-C858-BB01-C27EC244A1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84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366</xdr:row>
      <xdr:rowOff>760942</xdr:rowOff>
    </xdr:from>
    <xdr:to>
      <xdr:col>0</xdr:col>
      <xdr:colOff>871538</xdr:colOff>
      <xdr:row>367</xdr:row>
      <xdr:rowOff>760942</xdr:rowOff>
    </xdr:to>
    <xdr:pic>
      <xdr:nvPicPr>
        <xdr:cNvPr id="1285" name="Obraz 1284">
          <a:extLst>
            <a:ext uri="{FF2B5EF4-FFF2-40B4-BE49-F238E27FC236}">
              <a16:creationId xmlns:a16="http://schemas.microsoft.com/office/drawing/2014/main" id="{FACA9E31-0147-5298-5412-1B308E79CD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91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367</xdr:row>
      <xdr:rowOff>760942</xdr:rowOff>
    </xdr:from>
    <xdr:to>
      <xdr:col>0</xdr:col>
      <xdr:colOff>871538</xdr:colOff>
      <xdr:row>368</xdr:row>
      <xdr:rowOff>760942</xdr:rowOff>
    </xdr:to>
    <xdr:pic>
      <xdr:nvPicPr>
        <xdr:cNvPr id="1288" name="Obraz 1287">
          <a:extLst>
            <a:ext uri="{FF2B5EF4-FFF2-40B4-BE49-F238E27FC236}">
              <a16:creationId xmlns:a16="http://schemas.microsoft.com/office/drawing/2014/main" id="{3F69BC0C-3F41-D3C9-608E-639E54261D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799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368</xdr:row>
      <xdr:rowOff>760942</xdr:rowOff>
    </xdr:from>
    <xdr:to>
      <xdr:col>0</xdr:col>
      <xdr:colOff>871538</xdr:colOff>
      <xdr:row>369</xdr:row>
      <xdr:rowOff>760942</xdr:rowOff>
    </xdr:to>
    <xdr:pic>
      <xdr:nvPicPr>
        <xdr:cNvPr id="1292" name="Obraz 1291">
          <a:extLst>
            <a:ext uri="{FF2B5EF4-FFF2-40B4-BE49-F238E27FC236}">
              <a16:creationId xmlns:a16="http://schemas.microsoft.com/office/drawing/2014/main" id="{7EB96EB6-161F-F76C-FEBB-720EEABF3A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07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369</xdr:row>
      <xdr:rowOff>760942</xdr:rowOff>
    </xdr:from>
    <xdr:to>
      <xdr:col>0</xdr:col>
      <xdr:colOff>871538</xdr:colOff>
      <xdr:row>370</xdr:row>
      <xdr:rowOff>760942</xdr:rowOff>
    </xdr:to>
    <xdr:pic>
      <xdr:nvPicPr>
        <xdr:cNvPr id="1295" name="Obraz 1294">
          <a:extLst>
            <a:ext uri="{FF2B5EF4-FFF2-40B4-BE49-F238E27FC236}">
              <a16:creationId xmlns:a16="http://schemas.microsoft.com/office/drawing/2014/main" id="{1D230A7A-6050-7882-6FD6-77F74506A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14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370</xdr:row>
      <xdr:rowOff>760942</xdr:rowOff>
    </xdr:from>
    <xdr:to>
      <xdr:col>0</xdr:col>
      <xdr:colOff>871538</xdr:colOff>
      <xdr:row>371</xdr:row>
      <xdr:rowOff>760942</xdr:rowOff>
    </xdr:to>
    <xdr:pic>
      <xdr:nvPicPr>
        <xdr:cNvPr id="1299" name="Obraz 1298">
          <a:extLst>
            <a:ext uri="{FF2B5EF4-FFF2-40B4-BE49-F238E27FC236}">
              <a16:creationId xmlns:a16="http://schemas.microsoft.com/office/drawing/2014/main" id="{60B43F8D-F0DE-9F5C-A693-FA4042D086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22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371</xdr:row>
      <xdr:rowOff>760942</xdr:rowOff>
    </xdr:from>
    <xdr:to>
      <xdr:col>0</xdr:col>
      <xdr:colOff>871538</xdr:colOff>
      <xdr:row>372</xdr:row>
      <xdr:rowOff>760942</xdr:rowOff>
    </xdr:to>
    <xdr:pic>
      <xdr:nvPicPr>
        <xdr:cNvPr id="1302" name="Obraz 1301">
          <a:extLst>
            <a:ext uri="{FF2B5EF4-FFF2-40B4-BE49-F238E27FC236}">
              <a16:creationId xmlns:a16="http://schemas.microsoft.com/office/drawing/2014/main" id="{772EC5E7-7B01-B9FA-84FF-81D3FC5F17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29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372</xdr:row>
      <xdr:rowOff>760942</xdr:rowOff>
    </xdr:from>
    <xdr:to>
      <xdr:col>0</xdr:col>
      <xdr:colOff>871538</xdr:colOff>
      <xdr:row>373</xdr:row>
      <xdr:rowOff>760942</xdr:rowOff>
    </xdr:to>
    <xdr:pic>
      <xdr:nvPicPr>
        <xdr:cNvPr id="1306" name="Obraz 1305">
          <a:extLst>
            <a:ext uri="{FF2B5EF4-FFF2-40B4-BE49-F238E27FC236}">
              <a16:creationId xmlns:a16="http://schemas.microsoft.com/office/drawing/2014/main" id="{27875247-DA6A-D93B-5838-D3C303FBC0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37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373</xdr:row>
      <xdr:rowOff>760942</xdr:rowOff>
    </xdr:from>
    <xdr:to>
      <xdr:col>0</xdr:col>
      <xdr:colOff>871538</xdr:colOff>
      <xdr:row>374</xdr:row>
      <xdr:rowOff>760942</xdr:rowOff>
    </xdr:to>
    <xdr:pic>
      <xdr:nvPicPr>
        <xdr:cNvPr id="1309" name="Obraz 1308">
          <a:extLst>
            <a:ext uri="{FF2B5EF4-FFF2-40B4-BE49-F238E27FC236}">
              <a16:creationId xmlns:a16="http://schemas.microsoft.com/office/drawing/2014/main" id="{19578A84-FA54-3D73-CCAB-26C9A30079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45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374</xdr:row>
      <xdr:rowOff>760942</xdr:rowOff>
    </xdr:from>
    <xdr:to>
      <xdr:col>0</xdr:col>
      <xdr:colOff>871538</xdr:colOff>
      <xdr:row>375</xdr:row>
      <xdr:rowOff>760942</xdr:rowOff>
    </xdr:to>
    <xdr:pic>
      <xdr:nvPicPr>
        <xdr:cNvPr id="1313" name="Obraz 1312">
          <a:extLst>
            <a:ext uri="{FF2B5EF4-FFF2-40B4-BE49-F238E27FC236}">
              <a16:creationId xmlns:a16="http://schemas.microsoft.com/office/drawing/2014/main" id="{0FCCD10F-114E-443C-28D8-718E21380C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52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375</xdr:row>
      <xdr:rowOff>760942</xdr:rowOff>
    </xdr:from>
    <xdr:to>
      <xdr:col>0</xdr:col>
      <xdr:colOff>871538</xdr:colOff>
      <xdr:row>376</xdr:row>
      <xdr:rowOff>760942</xdr:rowOff>
    </xdr:to>
    <xdr:pic>
      <xdr:nvPicPr>
        <xdr:cNvPr id="1317" name="Obraz 1316">
          <a:extLst>
            <a:ext uri="{FF2B5EF4-FFF2-40B4-BE49-F238E27FC236}">
              <a16:creationId xmlns:a16="http://schemas.microsoft.com/office/drawing/2014/main" id="{16E12F54-CAE6-A29B-C6B9-A7337C954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60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376</xdr:row>
      <xdr:rowOff>760942</xdr:rowOff>
    </xdr:from>
    <xdr:to>
      <xdr:col>0</xdr:col>
      <xdr:colOff>871538</xdr:colOff>
      <xdr:row>377</xdr:row>
      <xdr:rowOff>760942</xdr:rowOff>
    </xdr:to>
    <xdr:pic>
      <xdr:nvPicPr>
        <xdr:cNvPr id="1320" name="Obraz 1319">
          <a:extLst>
            <a:ext uri="{FF2B5EF4-FFF2-40B4-BE49-F238E27FC236}">
              <a16:creationId xmlns:a16="http://schemas.microsoft.com/office/drawing/2014/main" id="{FE8033DF-F80A-7019-1AFE-9A93086FD4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68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377</xdr:row>
      <xdr:rowOff>760942</xdr:rowOff>
    </xdr:from>
    <xdr:to>
      <xdr:col>0</xdr:col>
      <xdr:colOff>871538</xdr:colOff>
      <xdr:row>378</xdr:row>
      <xdr:rowOff>760942</xdr:rowOff>
    </xdr:to>
    <xdr:pic>
      <xdr:nvPicPr>
        <xdr:cNvPr id="1324" name="Obraz 1323">
          <a:extLst>
            <a:ext uri="{FF2B5EF4-FFF2-40B4-BE49-F238E27FC236}">
              <a16:creationId xmlns:a16="http://schemas.microsoft.com/office/drawing/2014/main" id="{226DCAF0-CC5E-6B8C-A328-54FEE73015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75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378</xdr:row>
      <xdr:rowOff>760942</xdr:rowOff>
    </xdr:from>
    <xdr:to>
      <xdr:col>0</xdr:col>
      <xdr:colOff>871538</xdr:colOff>
      <xdr:row>379</xdr:row>
      <xdr:rowOff>760942</xdr:rowOff>
    </xdr:to>
    <xdr:pic>
      <xdr:nvPicPr>
        <xdr:cNvPr id="1327" name="Obraz 1326">
          <a:extLst>
            <a:ext uri="{FF2B5EF4-FFF2-40B4-BE49-F238E27FC236}">
              <a16:creationId xmlns:a16="http://schemas.microsoft.com/office/drawing/2014/main" id="{78B226FF-8FBA-E4F0-1771-854807FC9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83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379</xdr:row>
      <xdr:rowOff>760942</xdr:rowOff>
    </xdr:from>
    <xdr:to>
      <xdr:col>0</xdr:col>
      <xdr:colOff>871538</xdr:colOff>
      <xdr:row>380</xdr:row>
      <xdr:rowOff>760942</xdr:rowOff>
    </xdr:to>
    <xdr:pic>
      <xdr:nvPicPr>
        <xdr:cNvPr id="1331" name="Obraz 1330">
          <a:extLst>
            <a:ext uri="{FF2B5EF4-FFF2-40B4-BE49-F238E27FC236}">
              <a16:creationId xmlns:a16="http://schemas.microsoft.com/office/drawing/2014/main" id="{6C41643B-5175-0684-D813-87961B3E5A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90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380</xdr:row>
      <xdr:rowOff>760942</xdr:rowOff>
    </xdr:from>
    <xdr:to>
      <xdr:col>0</xdr:col>
      <xdr:colOff>871538</xdr:colOff>
      <xdr:row>381</xdr:row>
      <xdr:rowOff>760942</xdr:rowOff>
    </xdr:to>
    <xdr:pic>
      <xdr:nvPicPr>
        <xdr:cNvPr id="1334" name="Obraz 1333">
          <a:extLst>
            <a:ext uri="{FF2B5EF4-FFF2-40B4-BE49-F238E27FC236}">
              <a16:creationId xmlns:a16="http://schemas.microsoft.com/office/drawing/2014/main" id="{2EDECD4A-DD6C-C5F4-5E77-4136C18A45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898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381</xdr:row>
      <xdr:rowOff>760942</xdr:rowOff>
    </xdr:from>
    <xdr:to>
      <xdr:col>0</xdr:col>
      <xdr:colOff>871538</xdr:colOff>
      <xdr:row>382</xdr:row>
      <xdr:rowOff>760942</xdr:rowOff>
    </xdr:to>
    <xdr:pic>
      <xdr:nvPicPr>
        <xdr:cNvPr id="1338" name="Obraz 1337">
          <a:extLst>
            <a:ext uri="{FF2B5EF4-FFF2-40B4-BE49-F238E27FC236}">
              <a16:creationId xmlns:a16="http://schemas.microsoft.com/office/drawing/2014/main" id="{6A3CA232-1D3F-F8A5-9114-D574855034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06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382</xdr:row>
      <xdr:rowOff>760942</xdr:rowOff>
    </xdr:from>
    <xdr:to>
      <xdr:col>0</xdr:col>
      <xdr:colOff>871538</xdr:colOff>
      <xdr:row>383</xdr:row>
      <xdr:rowOff>760942</xdr:rowOff>
    </xdr:to>
    <xdr:pic>
      <xdr:nvPicPr>
        <xdr:cNvPr id="1341" name="Obraz 1340">
          <a:extLst>
            <a:ext uri="{FF2B5EF4-FFF2-40B4-BE49-F238E27FC236}">
              <a16:creationId xmlns:a16="http://schemas.microsoft.com/office/drawing/2014/main" id="{9E70E177-6847-A274-B673-EB54A9F9DF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13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383</xdr:row>
      <xdr:rowOff>760942</xdr:rowOff>
    </xdr:from>
    <xdr:to>
      <xdr:col>0</xdr:col>
      <xdr:colOff>871538</xdr:colOff>
      <xdr:row>384</xdr:row>
      <xdr:rowOff>760942</xdr:rowOff>
    </xdr:to>
    <xdr:pic>
      <xdr:nvPicPr>
        <xdr:cNvPr id="1345" name="Obraz 1344">
          <a:extLst>
            <a:ext uri="{FF2B5EF4-FFF2-40B4-BE49-F238E27FC236}">
              <a16:creationId xmlns:a16="http://schemas.microsoft.com/office/drawing/2014/main" id="{55B93A7D-4A94-4A35-D44C-44A0B34C9A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21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384</xdr:row>
      <xdr:rowOff>760942</xdr:rowOff>
    </xdr:from>
    <xdr:to>
      <xdr:col>0</xdr:col>
      <xdr:colOff>871538</xdr:colOff>
      <xdr:row>385</xdr:row>
      <xdr:rowOff>760942</xdr:rowOff>
    </xdr:to>
    <xdr:pic>
      <xdr:nvPicPr>
        <xdr:cNvPr id="1349" name="Obraz 1348">
          <a:extLst>
            <a:ext uri="{FF2B5EF4-FFF2-40B4-BE49-F238E27FC236}">
              <a16:creationId xmlns:a16="http://schemas.microsoft.com/office/drawing/2014/main" id="{89C454C2-6495-3C46-EAB7-8A9DF3B4F6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29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385</xdr:row>
      <xdr:rowOff>760942</xdr:rowOff>
    </xdr:from>
    <xdr:to>
      <xdr:col>0</xdr:col>
      <xdr:colOff>871538</xdr:colOff>
      <xdr:row>386</xdr:row>
      <xdr:rowOff>760942</xdr:rowOff>
    </xdr:to>
    <xdr:pic>
      <xdr:nvPicPr>
        <xdr:cNvPr id="1352" name="Obraz 1351">
          <a:extLst>
            <a:ext uri="{FF2B5EF4-FFF2-40B4-BE49-F238E27FC236}">
              <a16:creationId xmlns:a16="http://schemas.microsoft.com/office/drawing/2014/main" id="{D267B036-AA64-DE64-F5C2-0BBD064ED0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36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386</xdr:row>
      <xdr:rowOff>760942</xdr:rowOff>
    </xdr:from>
    <xdr:to>
      <xdr:col>0</xdr:col>
      <xdr:colOff>871538</xdr:colOff>
      <xdr:row>387</xdr:row>
      <xdr:rowOff>760942</xdr:rowOff>
    </xdr:to>
    <xdr:pic>
      <xdr:nvPicPr>
        <xdr:cNvPr id="1356" name="Obraz 1355">
          <a:extLst>
            <a:ext uri="{FF2B5EF4-FFF2-40B4-BE49-F238E27FC236}">
              <a16:creationId xmlns:a16="http://schemas.microsoft.com/office/drawing/2014/main" id="{1B86DB63-614A-5AE4-5EBE-E6FC4FD07A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44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387</xdr:row>
      <xdr:rowOff>760942</xdr:rowOff>
    </xdr:from>
    <xdr:to>
      <xdr:col>0</xdr:col>
      <xdr:colOff>871538</xdr:colOff>
      <xdr:row>388</xdr:row>
      <xdr:rowOff>760942</xdr:rowOff>
    </xdr:to>
    <xdr:pic>
      <xdr:nvPicPr>
        <xdr:cNvPr id="1359" name="Obraz 1358">
          <a:extLst>
            <a:ext uri="{FF2B5EF4-FFF2-40B4-BE49-F238E27FC236}">
              <a16:creationId xmlns:a16="http://schemas.microsoft.com/office/drawing/2014/main" id="{43C3AACB-CA26-CA6E-EA8C-35232EDC7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51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388</xdr:row>
      <xdr:rowOff>760942</xdr:rowOff>
    </xdr:from>
    <xdr:to>
      <xdr:col>0</xdr:col>
      <xdr:colOff>871538</xdr:colOff>
      <xdr:row>389</xdr:row>
      <xdr:rowOff>760942</xdr:rowOff>
    </xdr:to>
    <xdr:pic>
      <xdr:nvPicPr>
        <xdr:cNvPr id="1363" name="Obraz 1362">
          <a:extLst>
            <a:ext uri="{FF2B5EF4-FFF2-40B4-BE49-F238E27FC236}">
              <a16:creationId xmlns:a16="http://schemas.microsoft.com/office/drawing/2014/main" id="{A9EA59CC-2BAE-CA6C-C6B6-49ABEE5CEB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59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389</xdr:row>
      <xdr:rowOff>760942</xdr:rowOff>
    </xdr:from>
    <xdr:to>
      <xdr:col>0</xdr:col>
      <xdr:colOff>871538</xdr:colOff>
      <xdr:row>390</xdr:row>
      <xdr:rowOff>760942</xdr:rowOff>
    </xdr:to>
    <xdr:pic>
      <xdr:nvPicPr>
        <xdr:cNvPr id="1366" name="Obraz 1365">
          <a:extLst>
            <a:ext uri="{FF2B5EF4-FFF2-40B4-BE49-F238E27FC236}">
              <a16:creationId xmlns:a16="http://schemas.microsoft.com/office/drawing/2014/main" id="{A5A24F51-E109-032B-B48D-2C29EFE4A6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67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390</xdr:row>
      <xdr:rowOff>760942</xdr:rowOff>
    </xdr:from>
    <xdr:to>
      <xdr:col>0</xdr:col>
      <xdr:colOff>871538</xdr:colOff>
      <xdr:row>391</xdr:row>
      <xdr:rowOff>760942</xdr:rowOff>
    </xdr:to>
    <xdr:pic>
      <xdr:nvPicPr>
        <xdr:cNvPr id="1370" name="Obraz 1369">
          <a:extLst>
            <a:ext uri="{FF2B5EF4-FFF2-40B4-BE49-F238E27FC236}">
              <a16:creationId xmlns:a16="http://schemas.microsoft.com/office/drawing/2014/main" id="{337BBC36-BDAC-2E25-67A8-3059052A63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74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391</xdr:row>
      <xdr:rowOff>760942</xdr:rowOff>
    </xdr:from>
    <xdr:to>
      <xdr:col>0</xdr:col>
      <xdr:colOff>871538</xdr:colOff>
      <xdr:row>392</xdr:row>
      <xdr:rowOff>760942</xdr:rowOff>
    </xdr:to>
    <xdr:pic>
      <xdr:nvPicPr>
        <xdr:cNvPr id="1373" name="Obraz 1372">
          <a:extLst>
            <a:ext uri="{FF2B5EF4-FFF2-40B4-BE49-F238E27FC236}">
              <a16:creationId xmlns:a16="http://schemas.microsoft.com/office/drawing/2014/main" id="{67FC1DE4-D2B9-A6FC-17FC-BB671C87B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82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392</xdr:row>
      <xdr:rowOff>760942</xdr:rowOff>
    </xdr:from>
    <xdr:to>
      <xdr:col>0</xdr:col>
      <xdr:colOff>871538</xdr:colOff>
      <xdr:row>393</xdr:row>
      <xdr:rowOff>760942</xdr:rowOff>
    </xdr:to>
    <xdr:pic>
      <xdr:nvPicPr>
        <xdr:cNvPr id="1377" name="Obraz 1376">
          <a:extLst>
            <a:ext uri="{FF2B5EF4-FFF2-40B4-BE49-F238E27FC236}">
              <a16:creationId xmlns:a16="http://schemas.microsoft.com/office/drawing/2014/main" id="{D6C9FC81-471F-5343-282D-2FF04E4245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89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393</xdr:row>
      <xdr:rowOff>760942</xdr:rowOff>
    </xdr:from>
    <xdr:to>
      <xdr:col>0</xdr:col>
      <xdr:colOff>871538</xdr:colOff>
      <xdr:row>394</xdr:row>
      <xdr:rowOff>760942</xdr:rowOff>
    </xdr:to>
    <xdr:pic>
      <xdr:nvPicPr>
        <xdr:cNvPr id="1381" name="Obraz 1380">
          <a:extLst>
            <a:ext uri="{FF2B5EF4-FFF2-40B4-BE49-F238E27FC236}">
              <a16:creationId xmlns:a16="http://schemas.microsoft.com/office/drawing/2014/main" id="{44A64F1E-CCB5-BC69-C0F6-FF9315A816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2997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394</xdr:row>
      <xdr:rowOff>760942</xdr:rowOff>
    </xdr:from>
    <xdr:to>
      <xdr:col>0</xdr:col>
      <xdr:colOff>871538</xdr:colOff>
      <xdr:row>395</xdr:row>
      <xdr:rowOff>760942</xdr:rowOff>
    </xdr:to>
    <xdr:pic>
      <xdr:nvPicPr>
        <xdr:cNvPr id="1384" name="Obraz 1383">
          <a:extLst>
            <a:ext uri="{FF2B5EF4-FFF2-40B4-BE49-F238E27FC236}">
              <a16:creationId xmlns:a16="http://schemas.microsoft.com/office/drawing/2014/main" id="{B319B092-32BE-AE17-F7AE-0D10A47DE1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05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395</xdr:row>
      <xdr:rowOff>760942</xdr:rowOff>
    </xdr:from>
    <xdr:to>
      <xdr:col>0</xdr:col>
      <xdr:colOff>871538</xdr:colOff>
      <xdr:row>396</xdr:row>
      <xdr:rowOff>760942</xdr:rowOff>
    </xdr:to>
    <xdr:pic>
      <xdr:nvPicPr>
        <xdr:cNvPr id="1388" name="Obraz 1387">
          <a:extLst>
            <a:ext uri="{FF2B5EF4-FFF2-40B4-BE49-F238E27FC236}">
              <a16:creationId xmlns:a16="http://schemas.microsoft.com/office/drawing/2014/main" id="{CD2D9EB5-992B-88DA-B5D1-13D3F4C437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12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396</xdr:row>
      <xdr:rowOff>760942</xdr:rowOff>
    </xdr:from>
    <xdr:to>
      <xdr:col>0</xdr:col>
      <xdr:colOff>871538</xdr:colOff>
      <xdr:row>397</xdr:row>
      <xdr:rowOff>760942</xdr:rowOff>
    </xdr:to>
    <xdr:pic>
      <xdr:nvPicPr>
        <xdr:cNvPr id="1391" name="Obraz 1390">
          <a:extLst>
            <a:ext uri="{FF2B5EF4-FFF2-40B4-BE49-F238E27FC236}">
              <a16:creationId xmlns:a16="http://schemas.microsoft.com/office/drawing/2014/main" id="{F72D6427-02F0-5EBF-5744-C074D4BFA8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20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397</xdr:row>
      <xdr:rowOff>760942</xdr:rowOff>
    </xdr:from>
    <xdr:to>
      <xdr:col>0</xdr:col>
      <xdr:colOff>871538</xdr:colOff>
      <xdr:row>398</xdr:row>
      <xdr:rowOff>760942</xdr:rowOff>
    </xdr:to>
    <xdr:pic>
      <xdr:nvPicPr>
        <xdr:cNvPr id="1395" name="Obraz 1394">
          <a:extLst>
            <a:ext uri="{FF2B5EF4-FFF2-40B4-BE49-F238E27FC236}">
              <a16:creationId xmlns:a16="http://schemas.microsoft.com/office/drawing/2014/main" id="{555B8B80-B80E-BE81-D8BC-158C6CE28A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28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398</xdr:row>
      <xdr:rowOff>760942</xdr:rowOff>
    </xdr:from>
    <xdr:to>
      <xdr:col>0</xdr:col>
      <xdr:colOff>871538</xdr:colOff>
      <xdr:row>399</xdr:row>
      <xdr:rowOff>760942</xdr:rowOff>
    </xdr:to>
    <xdr:pic>
      <xdr:nvPicPr>
        <xdr:cNvPr id="1398" name="Obraz 1397">
          <a:extLst>
            <a:ext uri="{FF2B5EF4-FFF2-40B4-BE49-F238E27FC236}">
              <a16:creationId xmlns:a16="http://schemas.microsoft.com/office/drawing/2014/main" id="{8BEC775E-446E-675B-4AF4-862458DF8D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35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399</xdr:row>
      <xdr:rowOff>760942</xdr:rowOff>
    </xdr:from>
    <xdr:to>
      <xdr:col>0</xdr:col>
      <xdr:colOff>871538</xdr:colOff>
      <xdr:row>400</xdr:row>
      <xdr:rowOff>760942</xdr:rowOff>
    </xdr:to>
    <xdr:pic>
      <xdr:nvPicPr>
        <xdr:cNvPr id="1402" name="Obraz 1401">
          <a:extLst>
            <a:ext uri="{FF2B5EF4-FFF2-40B4-BE49-F238E27FC236}">
              <a16:creationId xmlns:a16="http://schemas.microsoft.com/office/drawing/2014/main" id="{A0B7BEE2-FA0D-B9C7-AAC7-6468107F44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43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400</xdr:row>
      <xdr:rowOff>760942</xdr:rowOff>
    </xdr:from>
    <xdr:to>
      <xdr:col>0</xdr:col>
      <xdr:colOff>871538</xdr:colOff>
      <xdr:row>401</xdr:row>
      <xdr:rowOff>760942</xdr:rowOff>
    </xdr:to>
    <xdr:pic>
      <xdr:nvPicPr>
        <xdr:cNvPr id="1405" name="Obraz 1404">
          <a:extLst>
            <a:ext uri="{FF2B5EF4-FFF2-40B4-BE49-F238E27FC236}">
              <a16:creationId xmlns:a16="http://schemas.microsoft.com/office/drawing/2014/main" id="{34119043-7105-4798-0327-2651CA01D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50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401</xdr:row>
      <xdr:rowOff>760942</xdr:rowOff>
    </xdr:from>
    <xdr:to>
      <xdr:col>0</xdr:col>
      <xdr:colOff>871538</xdr:colOff>
      <xdr:row>402</xdr:row>
      <xdr:rowOff>760942</xdr:rowOff>
    </xdr:to>
    <xdr:pic>
      <xdr:nvPicPr>
        <xdr:cNvPr id="1409" name="Obraz 1408">
          <a:extLst>
            <a:ext uri="{FF2B5EF4-FFF2-40B4-BE49-F238E27FC236}">
              <a16:creationId xmlns:a16="http://schemas.microsoft.com/office/drawing/2014/main" id="{301F997C-2A87-ABCA-3B09-A2655FD5DB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58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402</xdr:row>
      <xdr:rowOff>760942</xdr:rowOff>
    </xdr:from>
    <xdr:to>
      <xdr:col>0</xdr:col>
      <xdr:colOff>871538</xdr:colOff>
      <xdr:row>403</xdr:row>
      <xdr:rowOff>760942</xdr:rowOff>
    </xdr:to>
    <xdr:pic>
      <xdr:nvPicPr>
        <xdr:cNvPr id="1413" name="Obraz 1412">
          <a:extLst>
            <a:ext uri="{FF2B5EF4-FFF2-40B4-BE49-F238E27FC236}">
              <a16:creationId xmlns:a16="http://schemas.microsoft.com/office/drawing/2014/main" id="{A8545F52-307C-C7E7-07D3-DD18BF2F97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66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403</xdr:row>
      <xdr:rowOff>760942</xdr:rowOff>
    </xdr:from>
    <xdr:to>
      <xdr:col>0</xdr:col>
      <xdr:colOff>871538</xdr:colOff>
      <xdr:row>404</xdr:row>
      <xdr:rowOff>760942</xdr:rowOff>
    </xdr:to>
    <xdr:pic>
      <xdr:nvPicPr>
        <xdr:cNvPr id="1416" name="Obraz 1415">
          <a:extLst>
            <a:ext uri="{FF2B5EF4-FFF2-40B4-BE49-F238E27FC236}">
              <a16:creationId xmlns:a16="http://schemas.microsoft.com/office/drawing/2014/main" id="{7A38B588-D032-3A20-3450-87975E4894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73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404</xdr:row>
      <xdr:rowOff>760942</xdr:rowOff>
    </xdr:from>
    <xdr:to>
      <xdr:col>0</xdr:col>
      <xdr:colOff>871538</xdr:colOff>
      <xdr:row>405</xdr:row>
      <xdr:rowOff>760942</xdr:rowOff>
    </xdr:to>
    <xdr:pic>
      <xdr:nvPicPr>
        <xdr:cNvPr id="1420" name="Obraz 1419">
          <a:extLst>
            <a:ext uri="{FF2B5EF4-FFF2-40B4-BE49-F238E27FC236}">
              <a16:creationId xmlns:a16="http://schemas.microsoft.com/office/drawing/2014/main" id="{65509688-0CBD-0302-FA56-69EF12F0E8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81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405</xdr:row>
      <xdr:rowOff>760942</xdr:rowOff>
    </xdr:from>
    <xdr:to>
      <xdr:col>0</xdr:col>
      <xdr:colOff>871538</xdr:colOff>
      <xdr:row>406</xdr:row>
      <xdr:rowOff>760942</xdr:rowOff>
    </xdr:to>
    <xdr:pic>
      <xdr:nvPicPr>
        <xdr:cNvPr id="1423" name="Obraz 1422">
          <a:extLst>
            <a:ext uri="{FF2B5EF4-FFF2-40B4-BE49-F238E27FC236}">
              <a16:creationId xmlns:a16="http://schemas.microsoft.com/office/drawing/2014/main" id="{DC6AE324-997C-46B8-687D-EDE5784F6B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89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406</xdr:row>
      <xdr:rowOff>760942</xdr:rowOff>
    </xdr:from>
    <xdr:to>
      <xdr:col>0</xdr:col>
      <xdr:colOff>871538</xdr:colOff>
      <xdr:row>407</xdr:row>
      <xdr:rowOff>760942</xdr:rowOff>
    </xdr:to>
    <xdr:pic>
      <xdr:nvPicPr>
        <xdr:cNvPr id="1427" name="Obraz 1426">
          <a:extLst>
            <a:ext uri="{FF2B5EF4-FFF2-40B4-BE49-F238E27FC236}">
              <a16:creationId xmlns:a16="http://schemas.microsoft.com/office/drawing/2014/main" id="{03ACAA07-ACFB-43E2-B71D-99EBF50B0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096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407</xdr:row>
      <xdr:rowOff>760942</xdr:rowOff>
    </xdr:from>
    <xdr:to>
      <xdr:col>0</xdr:col>
      <xdr:colOff>871538</xdr:colOff>
      <xdr:row>408</xdr:row>
      <xdr:rowOff>760942</xdr:rowOff>
    </xdr:to>
    <xdr:pic>
      <xdr:nvPicPr>
        <xdr:cNvPr id="1430" name="Obraz 1429">
          <a:extLst>
            <a:ext uri="{FF2B5EF4-FFF2-40B4-BE49-F238E27FC236}">
              <a16:creationId xmlns:a16="http://schemas.microsoft.com/office/drawing/2014/main" id="{5B483C4A-8C33-DEA0-A21E-D5FFC72CB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04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408</xdr:row>
      <xdr:rowOff>760942</xdr:rowOff>
    </xdr:from>
    <xdr:to>
      <xdr:col>0</xdr:col>
      <xdr:colOff>871538</xdr:colOff>
      <xdr:row>409</xdr:row>
      <xdr:rowOff>760942</xdr:rowOff>
    </xdr:to>
    <xdr:pic>
      <xdr:nvPicPr>
        <xdr:cNvPr id="1434" name="Obraz 1433">
          <a:extLst>
            <a:ext uri="{FF2B5EF4-FFF2-40B4-BE49-F238E27FC236}">
              <a16:creationId xmlns:a16="http://schemas.microsoft.com/office/drawing/2014/main" id="{375D31FD-DFAB-E57B-A6C9-F7F99016D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11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409</xdr:row>
      <xdr:rowOff>760942</xdr:rowOff>
    </xdr:from>
    <xdr:to>
      <xdr:col>0</xdr:col>
      <xdr:colOff>871538</xdr:colOff>
      <xdr:row>410</xdr:row>
      <xdr:rowOff>760942</xdr:rowOff>
    </xdr:to>
    <xdr:pic>
      <xdr:nvPicPr>
        <xdr:cNvPr id="1437" name="Obraz 1436">
          <a:extLst>
            <a:ext uri="{FF2B5EF4-FFF2-40B4-BE49-F238E27FC236}">
              <a16:creationId xmlns:a16="http://schemas.microsoft.com/office/drawing/2014/main" id="{92502631-02BF-8B0F-61F4-E9AEB0DBCC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19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410</xdr:row>
      <xdr:rowOff>760942</xdr:rowOff>
    </xdr:from>
    <xdr:to>
      <xdr:col>0</xdr:col>
      <xdr:colOff>871538</xdr:colOff>
      <xdr:row>411</xdr:row>
      <xdr:rowOff>760942</xdr:rowOff>
    </xdr:to>
    <xdr:pic>
      <xdr:nvPicPr>
        <xdr:cNvPr id="1441" name="Obraz 1440">
          <a:extLst>
            <a:ext uri="{FF2B5EF4-FFF2-40B4-BE49-F238E27FC236}">
              <a16:creationId xmlns:a16="http://schemas.microsoft.com/office/drawing/2014/main" id="{FAE090F5-754C-4646-41A3-109C687DDF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27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411</xdr:row>
      <xdr:rowOff>760942</xdr:rowOff>
    </xdr:from>
    <xdr:to>
      <xdr:col>0</xdr:col>
      <xdr:colOff>871538</xdr:colOff>
      <xdr:row>412</xdr:row>
      <xdr:rowOff>760942</xdr:rowOff>
    </xdr:to>
    <xdr:pic>
      <xdr:nvPicPr>
        <xdr:cNvPr id="1445" name="Obraz 1444">
          <a:extLst>
            <a:ext uri="{FF2B5EF4-FFF2-40B4-BE49-F238E27FC236}">
              <a16:creationId xmlns:a16="http://schemas.microsoft.com/office/drawing/2014/main" id="{2FDF7C4A-EBE2-9FBC-0221-3D33C9C019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34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412</xdr:row>
      <xdr:rowOff>760942</xdr:rowOff>
    </xdr:from>
    <xdr:to>
      <xdr:col>0</xdr:col>
      <xdr:colOff>871538</xdr:colOff>
      <xdr:row>413</xdr:row>
      <xdr:rowOff>760942</xdr:rowOff>
    </xdr:to>
    <xdr:pic>
      <xdr:nvPicPr>
        <xdr:cNvPr id="1448" name="Obraz 1447">
          <a:extLst>
            <a:ext uri="{FF2B5EF4-FFF2-40B4-BE49-F238E27FC236}">
              <a16:creationId xmlns:a16="http://schemas.microsoft.com/office/drawing/2014/main" id="{534D0612-54A8-9CBD-5A06-9DB8A46F5D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42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413</xdr:row>
      <xdr:rowOff>760942</xdr:rowOff>
    </xdr:from>
    <xdr:to>
      <xdr:col>0</xdr:col>
      <xdr:colOff>871538</xdr:colOff>
      <xdr:row>414</xdr:row>
      <xdr:rowOff>760942</xdr:rowOff>
    </xdr:to>
    <xdr:pic>
      <xdr:nvPicPr>
        <xdr:cNvPr id="1452" name="Obraz 1451">
          <a:extLst>
            <a:ext uri="{FF2B5EF4-FFF2-40B4-BE49-F238E27FC236}">
              <a16:creationId xmlns:a16="http://schemas.microsoft.com/office/drawing/2014/main" id="{F7E6B7A0-932A-015F-4E3B-4CB2FEEA4B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50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414</xdr:row>
      <xdr:rowOff>760942</xdr:rowOff>
    </xdr:from>
    <xdr:to>
      <xdr:col>0</xdr:col>
      <xdr:colOff>871538</xdr:colOff>
      <xdr:row>415</xdr:row>
      <xdr:rowOff>760942</xdr:rowOff>
    </xdr:to>
    <xdr:pic>
      <xdr:nvPicPr>
        <xdr:cNvPr id="1455" name="Obraz 1454">
          <a:extLst>
            <a:ext uri="{FF2B5EF4-FFF2-40B4-BE49-F238E27FC236}">
              <a16:creationId xmlns:a16="http://schemas.microsoft.com/office/drawing/2014/main" id="{3ECBAB19-1187-5997-5885-7C9F388E6B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57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415</xdr:row>
      <xdr:rowOff>760942</xdr:rowOff>
    </xdr:from>
    <xdr:to>
      <xdr:col>0</xdr:col>
      <xdr:colOff>871538</xdr:colOff>
      <xdr:row>416</xdr:row>
      <xdr:rowOff>760942</xdr:rowOff>
    </xdr:to>
    <xdr:pic>
      <xdr:nvPicPr>
        <xdr:cNvPr id="1459" name="Obraz 1458">
          <a:extLst>
            <a:ext uri="{FF2B5EF4-FFF2-40B4-BE49-F238E27FC236}">
              <a16:creationId xmlns:a16="http://schemas.microsoft.com/office/drawing/2014/main" id="{C8C67A1D-56BF-9291-A20E-C09EC73EE3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65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416</xdr:row>
      <xdr:rowOff>760942</xdr:rowOff>
    </xdr:from>
    <xdr:to>
      <xdr:col>0</xdr:col>
      <xdr:colOff>871538</xdr:colOff>
      <xdr:row>417</xdr:row>
      <xdr:rowOff>760942</xdr:rowOff>
    </xdr:to>
    <xdr:pic>
      <xdr:nvPicPr>
        <xdr:cNvPr id="1462" name="Obraz 1461">
          <a:extLst>
            <a:ext uri="{FF2B5EF4-FFF2-40B4-BE49-F238E27FC236}">
              <a16:creationId xmlns:a16="http://schemas.microsoft.com/office/drawing/2014/main" id="{A812CA59-7ACB-8FB5-819B-6ECD203428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72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417</xdr:row>
      <xdr:rowOff>760942</xdr:rowOff>
    </xdr:from>
    <xdr:to>
      <xdr:col>0</xdr:col>
      <xdr:colOff>871538</xdr:colOff>
      <xdr:row>418</xdr:row>
      <xdr:rowOff>760942</xdr:rowOff>
    </xdr:to>
    <xdr:pic>
      <xdr:nvPicPr>
        <xdr:cNvPr id="1466" name="Obraz 1465">
          <a:extLst>
            <a:ext uri="{FF2B5EF4-FFF2-40B4-BE49-F238E27FC236}">
              <a16:creationId xmlns:a16="http://schemas.microsoft.com/office/drawing/2014/main" id="{5BE1DA46-6A16-89BF-8FEE-5F27B854EB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80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418</xdr:row>
      <xdr:rowOff>760942</xdr:rowOff>
    </xdr:from>
    <xdr:to>
      <xdr:col>0</xdr:col>
      <xdr:colOff>871538</xdr:colOff>
      <xdr:row>419</xdr:row>
      <xdr:rowOff>760942</xdr:rowOff>
    </xdr:to>
    <xdr:pic>
      <xdr:nvPicPr>
        <xdr:cNvPr id="1469" name="Obraz 1468">
          <a:extLst>
            <a:ext uri="{FF2B5EF4-FFF2-40B4-BE49-F238E27FC236}">
              <a16:creationId xmlns:a16="http://schemas.microsoft.com/office/drawing/2014/main" id="{8DB425E1-34F2-8DBA-7381-37B493D927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88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419</xdr:row>
      <xdr:rowOff>760942</xdr:rowOff>
    </xdr:from>
    <xdr:to>
      <xdr:col>0</xdr:col>
      <xdr:colOff>871538</xdr:colOff>
      <xdr:row>420</xdr:row>
      <xdr:rowOff>760942</xdr:rowOff>
    </xdr:to>
    <xdr:pic>
      <xdr:nvPicPr>
        <xdr:cNvPr id="1473" name="Obraz 1472">
          <a:extLst>
            <a:ext uri="{FF2B5EF4-FFF2-40B4-BE49-F238E27FC236}">
              <a16:creationId xmlns:a16="http://schemas.microsoft.com/office/drawing/2014/main" id="{8B5510A1-C1C9-802C-4BC3-E389818883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195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420</xdr:row>
      <xdr:rowOff>760942</xdr:rowOff>
    </xdr:from>
    <xdr:to>
      <xdr:col>0</xdr:col>
      <xdr:colOff>871538</xdr:colOff>
      <xdr:row>421</xdr:row>
      <xdr:rowOff>760942</xdr:rowOff>
    </xdr:to>
    <xdr:pic>
      <xdr:nvPicPr>
        <xdr:cNvPr id="1477" name="Obraz 1476">
          <a:extLst>
            <a:ext uri="{FF2B5EF4-FFF2-40B4-BE49-F238E27FC236}">
              <a16:creationId xmlns:a16="http://schemas.microsoft.com/office/drawing/2014/main" id="{2B93EA4F-6FA9-31D7-D6A0-A982CCF2D9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03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421</xdr:row>
      <xdr:rowOff>760942</xdr:rowOff>
    </xdr:from>
    <xdr:to>
      <xdr:col>0</xdr:col>
      <xdr:colOff>871538</xdr:colOff>
      <xdr:row>422</xdr:row>
      <xdr:rowOff>760942</xdr:rowOff>
    </xdr:to>
    <xdr:pic>
      <xdr:nvPicPr>
        <xdr:cNvPr id="1480" name="Obraz 1479">
          <a:extLst>
            <a:ext uri="{FF2B5EF4-FFF2-40B4-BE49-F238E27FC236}">
              <a16:creationId xmlns:a16="http://schemas.microsoft.com/office/drawing/2014/main" id="{CA3BEC9A-2772-A961-775F-EE518EA3D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10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422</xdr:row>
      <xdr:rowOff>760942</xdr:rowOff>
    </xdr:from>
    <xdr:to>
      <xdr:col>0</xdr:col>
      <xdr:colOff>871538</xdr:colOff>
      <xdr:row>423</xdr:row>
      <xdr:rowOff>760942</xdr:rowOff>
    </xdr:to>
    <xdr:pic>
      <xdr:nvPicPr>
        <xdr:cNvPr id="1484" name="Obraz 1483">
          <a:extLst>
            <a:ext uri="{FF2B5EF4-FFF2-40B4-BE49-F238E27FC236}">
              <a16:creationId xmlns:a16="http://schemas.microsoft.com/office/drawing/2014/main" id="{B051F985-B533-82C4-2457-B4C228C2CE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18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423</xdr:row>
      <xdr:rowOff>760942</xdr:rowOff>
    </xdr:from>
    <xdr:to>
      <xdr:col>0</xdr:col>
      <xdr:colOff>871538</xdr:colOff>
      <xdr:row>424</xdr:row>
      <xdr:rowOff>760942</xdr:rowOff>
    </xdr:to>
    <xdr:pic>
      <xdr:nvPicPr>
        <xdr:cNvPr id="1487" name="Obraz 1486">
          <a:extLst>
            <a:ext uri="{FF2B5EF4-FFF2-40B4-BE49-F238E27FC236}">
              <a16:creationId xmlns:a16="http://schemas.microsoft.com/office/drawing/2014/main" id="{2BE465EF-8FBB-A318-BFC7-8D27F88AF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26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424</xdr:row>
      <xdr:rowOff>760942</xdr:rowOff>
    </xdr:from>
    <xdr:to>
      <xdr:col>0</xdr:col>
      <xdr:colOff>871538</xdr:colOff>
      <xdr:row>425</xdr:row>
      <xdr:rowOff>760942</xdr:rowOff>
    </xdr:to>
    <xdr:pic>
      <xdr:nvPicPr>
        <xdr:cNvPr id="1491" name="Obraz 1490">
          <a:extLst>
            <a:ext uri="{FF2B5EF4-FFF2-40B4-BE49-F238E27FC236}">
              <a16:creationId xmlns:a16="http://schemas.microsoft.com/office/drawing/2014/main" id="{EAA3081A-FBA1-6BF8-3DE5-E25CEFCC2D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33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425</xdr:row>
      <xdr:rowOff>760942</xdr:rowOff>
    </xdr:from>
    <xdr:to>
      <xdr:col>0</xdr:col>
      <xdr:colOff>871538</xdr:colOff>
      <xdr:row>426</xdr:row>
      <xdr:rowOff>760942</xdr:rowOff>
    </xdr:to>
    <xdr:pic>
      <xdr:nvPicPr>
        <xdr:cNvPr id="1494" name="Obraz 1493">
          <a:extLst>
            <a:ext uri="{FF2B5EF4-FFF2-40B4-BE49-F238E27FC236}">
              <a16:creationId xmlns:a16="http://schemas.microsoft.com/office/drawing/2014/main" id="{DD1E176A-128A-8C4B-F8D0-C5507CB865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41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426</xdr:row>
      <xdr:rowOff>760942</xdr:rowOff>
    </xdr:from>
    <xdr:to>
      <xdr:col>0</xdr:col>
      <xdr:colOff>871538</xdr:colOff>
      <xdr:row>427</xdr:row>
      <xdr:rowOff>760942</xdr:rowOff>
    </xdr:to>
    <xdr:pic>
      <xdr:nvPicPr>
        <xdr:cNvPr id="1498" name="Obraz 1497">
          <a:extLst>
            <a:ext uri="{FF2B5EF4-FFF2-40B4-BE49-F238E27FC236}">
              <a16:creationId xmlns:a16="http://schemas.microsoft.com/office/drawing/2014/main" id="{F9E714ED-319A-95FF-595C-E62C4093D5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49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427</xdr:row>
      <xdr:rowOff>760942</xdr:rowOff>
    </xdr:from>
    <xdr:to>
      <xdr:col>0</xdr:col>
      <xdr:colOff>871538</xdr:colOff>
      <xdr:row>428</xdr:row>
      <xdr:rowOff>760942</xdr:rowOff>
    </xdr:to>
    <xdr:pic>
      <xdr:nvPicPr>
        <xdr:cNvPr id="1501" name="Obraz 1500">
          <a:extLst>
            <a:ext uri="{FF2B5EF4-FFF2-40B4-BE49-F238E27FC236}">
              <a16:creationId xmlns:a16="http://schemas.microsoft.com/office/drawing/2014/main" id="{71B9FB16-9507-0EA6-8769-885376991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56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428</xdr:row>
      <xdr:rowOff>760942</xdr:rowOff>
    </xdr:from>
    <xdr:to>
      <xdr:col>0</xdr:col>
      <xdr:colOff>871538</xdr:colOff>
      <xdr:row>429</xdr:row>
      <xdr:rowOff>760942</xdr:rowOff>
    </xdr:to>
    <xdr:pic>
      <xdr:nvPicPr>
        <xdr:cNvPr id="1505" name="Obraz 1504">
          <a:extLst>
            <a:ext uri="{FF2B5EF4-FFF2-40B4-BE49-F238E27FC236}">
              <a16:creationId xmlns:a16="http://schemas.microsoft.com/office/drawing/2014/main" id="{49D3E34B-57D9-8650-D241-528BD97848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64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429</xdr:row>
      <xdr:rowOff>760942</xdr:rowOff>
    </xdr:from>
    <xdr:to>
      <xdr:col>0</xdr:col>
      <xdr:colOff>871538</xdr:colOff>
      <xdr:row>430</xdr:row>
      <xdr:rowOff>760942</xdr:rowOff>
    </xdr:to>
    <xdr:pic>
      <xdr:nvPicPr>
        <xdr:cNvPr id="1509" name="Obraz 1508">
          <a:extLst>
            <a:ext uri="{FF2B5EF4-FFF2-40B4-BE49-F238E27FC236}">
              <a16:creationId xmlns:a16="http://schemas.microsoft.com/office/drawing/2014/main" id="{C30A1244-CE21-DC67-F274-638D53A0B4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71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430</xdr:row>
      <xdr:rowOff>760942</xdr:rowOff>
    </xdr:from>
    <xdr:to>
      <xdr:col>0</xdr:col>
      <xdr:colOff>871538</xdr:colOff>
      <xdr:row>431</xdr:row>
      <xdr:rowOff>760942</xdr:rowOff>
    </xdr:to>
    <xdr:pic>
      <xdr:nvPicPr>
        <xdr:cNvPr id="1512" name="Obraz 1511">
          <a:extLst>
            <a:ext uri="{FF2B5EF4-FFF2-40B4-BE49-F238E27FC236}">
              <a16:creationId xmlns:a16="http://schemas.microsoft.com/office/drawing/2014/main" id="{3229BD1D-F42D-5189-7317-E169AB89AE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79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431</xdr:row>
      <xdr:rowOff>760942</xdr:rowOff>
    </xdr:from>
    <xdr:to>
      <xdr:col>0</xdr:col>
      <xdr:colOff>871538</xdr:colOff>
      <xdr:row>432</xdr:row>
      <xdr:rowOff>760942</xdr:rowOff>
    </xdr:to>
    <xdr:pic>
      <xdr:nvPicPr>
        <xdr:cNvPr id="1516" name="Obraz 1515">
          <a:extLst>
            <a:ext uri="{FF2B5EF4-FFF2-40B4-BE49-F238E27FC236}">
              <a16:creationId xmlns:a16="http://schemas.microsoft.com/office/drawing/2014/main" id="{D9A84403-4870-2C4E-19BD-181E3051AA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87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432</xdr:row>
      <xdr:rowOff>760942</xdr:rowOff>
    </xdr:from>
    <xdr:to>
      <xdr:col>0</xdr:col>
      <xdr:colOff>871538</xdr:colOff>
      <xdr:row>433</xdr:row>
      <xdr:rowOff>760942</xdr:rowOff>
    </xdr:to>
    <xdr:pic>
      <xdr:nvPicPr>
        <xdr:cNvPr id="1519" name="Obraz 1518">
          <a:extLst>
            <a:ext uri="{FF2B5EF4-FFF2-40B4-BE49-F238E27FC236}">
              <a16:creationId xmlns:a16="http://schemas.microsoft.com/office/drawing/2014/main" id="{27422987-ED52-4A1C-4EDC-B32B3C33B7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294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433</xdr:row>
      <xdr:rowOff>760942</xdr:rowOff>
    </xdr:from>
    <xdr:to>
      <xdr:col>0</xdr:col>
      <xdr:colOff>871538</xdr:colOff>
      <xdr:row>434</xdr:row>
      <xdr:rowOff>760942</xdr:rowOff>
    </xdr:to>
    <xdr:pic>
      <xdr:nvPicPr>
        <xdr:cNvPr id="1523" name="Obraz 1522">
          <a:extLst>
            <a:ext uri="{FF2B5EF4-FFF2-40B4-BE49-F238E27FC236}">
              <a16:creationId xmlns:a16="http://schemas.microsoft.com/office/drawing/2014/main" id="{E73A28CA-A105-D76D-50BB-DC2B4FE0FC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02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434</xdr:row>
      <xdr:rowOff>760942</xdr:rowOff>
    </xdr:from>
    <xdr:to>
      <xdr:col>0</xdr:col>
      <xdr:colOff>871538</xdr:colOff>
      <xdr:row>435</xdr:row>
      <xdr:rowOff>760942</xdr:rowOff>
    </xdr:to>
    <xdr:pic>
      <xdr:nvPicPr>
        <xdr:cNvPr id="1526" name="Obraz 1525">
          <a:extLst>
            <a:ext uri="{FF2B5EF4-FFF2-40B4-BE49-F238E27FC236}">
              <a16:creationId xmlns:a16="http://schemas.microsoft.com/office/drawing/2014/main" id="{D4B5080F-71C6-FF95-5B64-AD677B0F67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10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435</xdr:row>
      <xdr:rowOff>760942</xdr:rowOff>
    </xdr:from>
    <xdr:to>
      <xdr:col>0</xdr:col>
      <xdr:colOff>871538</xdr:colOff>
      <xdr:row>436</xdr:row>
      <xdr:rowOff>760942</xdr:rowOff>
    </xdr:to>
    <xdr:pic>
      <xdr:nvPicPr>
        <xdr:cNvPr id="1530" name="Obraz 1529">
          <a:extLst>
            <a:ext uri="{FF2B5EF4-FFF2-40B4-BE49-F238E27FC236}">
              <a16:creationId xmlns:a16="http://schemas.microsoft.com/office/drawing/2014/main" id="{57BAAEC6-7026-43A1-73F9-23BCC0A210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17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436</xdr:row>
      <xdr:rowOff>760942</xdr:rowOff>
    </xdr:from>
    <xdr:to>
      <xdr:col>0</xdr:col>
      <xdr:colOff>871538</xdr:colOff>
      <xdr:row>437</xdr:row>
      <xdr:rowOff>760942</xdr:rowOff>
    </xdr:to>
    <xdr:pic>
      <xdr:nvPicPr>
        <xdr:cNvPr id="1533" name="Obraz 1532">
          <a:extLst>
            <a:ext uri="{FF2B5EF4-FFF2-40B4-BE49-F238E27FC236}">
              <a16:creationId xmlns:a16="http://schemas.microsoft.com/office/drawing/2014/main" id="{DB371A76-BDB4-9868-C34E-3EAC5F620C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25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437</xdr:row>
      <xdr:rowOff>760942</xdr:rowOff>
    </xdr:from>
    <xdr:to>
      <xdr:col>0</xdr:col>
      <xdr:colOff>871538</xdr:colOff>
      <xdr:row>438</xdr:row>
      <xdr:rowOff>760942</xdr:rowOff>
    </xdr:to>
    <xdr:pic>
      <xdr:nvPicPr>
        <xdr:cNvPr id="1537" name="Obraz 1536">
          <a:extLst>
            <a:ext uri="{FF2B5EF4-FFF2-40B4-BE49-F238E27FC236}">
              <a16:creationId xmlns:a16="http://schemas.microsoft.com/office/drawing/2014/main" id="{09E4B267-5E2F-BB8D-2D5C-6884E9CCBD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32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438</xdr:row>
      <xdr:rowOff>760942</xdr:rowOff>
    </xdr:from>
    <xdr:to>
      <xdr:col>0</xdr:col>
      <xdr:colOff>871538</xdr:colOff>
      <xdr:row>439</xdr:row>
      <xdr:rowOff>760942</xdr:rowOff>
    </xdr:to>
    <xdr:pic>
      <xdr:nvPicPr>
        <xdr:cNvPr id="1541" name="Obraz 1540">
          <a:extLst>
            <a:ext uri="{FF2B5EF4-FFF2-40B4-BE49-F238E27FC236}">
              <a16:creationId xmlns:a16="http://schemas.microsoft.com/office/drawing/2014/main" id="{5D8E73A6-0710-5ED5-8AE8-E6056466D4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40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439</xdr:row>
      <xdr:rowOff>760942</xdr:rowOff>
    </xdr:from>
    <xdr:to>
      <xdr:col>0</xdr:col>
      <xdr:colOff>871538</xdr:colOff>
      <xdr:row>440</xdr:row>
      <xdr:rowOff>760942</xdr:rowOff>
    </xdr:to>
    <xdr:pic>
      <xdr:nvPicPr>
        <xdr:cNvPr id="1544" name="Obraz 1543">
          <a:extLst>
            <a:ext uri="{FF2B5EF4-FFF2-40B4-BE49-F238E27FC236}">
              <a16:creationId xmlns:a16="http://schemas.microsoft.com/office/drawing/2014/main" id="{2813F90E-EDC0-5C2B-235B-403DD63668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48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440</xdr:row>
      <xdr:rowOff>760942</xdr:rowOff>
    </xdr:from>
    <xdr:to>
      <xdr:col>0</xdr:col>
      <xdr:colOff>871538</xdr:colOff>
      <xdr:row>441</xdr:row>
      <xdr:rowOff>760942</xdr:rowOff>
    </xdr:to>
    <xdr:pic>
      <xdr:nvPicPr>
        <xdr:cNvPr id="1548" name="Obraz 1547">
          <a:extLst>
            <a:ext uri="{FF2B5EF4-FFF2-40B4-BE49-F238E27FC236}">
              <a16:creationId xmlns:a16="http://schemas.microsoft.com/office/drawing/2014/main" id="{5443FD53-C918-FFAC-B107-EB99E64685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55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441</xdr:row>
      <xdr:rowOff>760942</xdr:rowOff>
    </xdr:from>
    <xdr:to>
      <xdr:col>0</xdr:col>
      <xdr:colOff>871538</xdr:colOff>
      <xdr:row>442</xdr:row>
      <xdr:rowOff>760942</xdr:rowOff>
    </xdr:to>
    <xdr:pic>
      <xdr:nvPicPr>
        <xdr:cNvPr id="1551" name="Obraz 1550">
          <a:extLst>
            <a:ext uri="{FF2B5EF4-FFF2-40B4-BE49-F238E27FC236}">
              <a16:creationId xmlns:a16="http://schemas.microsoft.com/office/drawing/2014/main" id="{F47F2CC0-AABB-3794-6C8A-B405E318A4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63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442</xdr:row>
      <xdr:rowOff>760942</xdr:rowOff>
    </xdr:from>
    <xdr:to>
      <xdr:col>0</xdr:col>
      <xdr:colOff>871538</xdr:colOff>
      <xdr:row>443</xdr:row>
      <xdr:rowOff>760942</xdr:rowOff>
    </xdr:to>
    <xdr:pic>
      <xdr:nvPicPr>
        <xdr:cNvPr id="1555" name="Obraz 1554">
          <a:extLst>
            <a:ext uri="{FF2B5EF4-FFF2-40B4-BE49-F238E27FC236}">
              <a16:creationId xmlns:a16="http://schemas.microsoft.com/office/drawing/2014/main" id="{5773365F-1948-DCDA-D5DD-7E8F5891E5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70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443</xdr:row>
      <xdr:rowOff>760942</xdr:rowOff>
    </xdr:from>
    <xdr:to>
      <xdr:col>0</xdr:col>
      <xdr:colOff>871538</xdr:colOff>
      <xdr:row>444</xdr:row>
      <xdr:rowOff>760942</xdr:rowOff>
    </xdr:to>
    <xdr:pic>
      <xdr:nvPicPr>
        <xdr:cNvPr id="1558" name="Obraz 1557">
          <a:extLst>
            <a:ext uri="{FF2B5EF4-FFF2-40B4-BE49-F238E27FC236}">
              <a16:creationId xmlns:a16="http://schemas.microsoft.com/office/drawing/2014/main" id="{77EAE213-52CD-AADF-8093-989A539CE9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78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444</xdr:row>
      <xdr:rowOff>760942</xdr:rowOff>
    </xdr:from>
    <xdr:to>
      <xdr:col>0</xdr:col>
      <xdr:colOff>871538</xdr:colOff>
      <xdr:row>445</xdr:row>
      <xdr:rowOff>760942</xdr:rowOff>
    </xdr:to>
    <xdr:pic>
      <xdr:nvPicPr>
        <xdr:cNvPr id="1562" name="Obraz 1561">
          <a:extLst>
            <a:ext uri="{FF2B5EF4-FFF2-40B4-BE49-F238E27FC236}">
              <a16:creationId xmlns:a16="http://schemas.microsoft.com/office/drawing/2014/main" id="{ED107FF3-CF84-B7EB-1F16-7B65838BFB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86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445</xdr:row>
      <xdr:rowOff>760942</xdr:rowOff>
    </xdr:from>
    <xdr:to>
      <xdr:col>0</xdr:col>
      <xdr:colOff>871538</xdr:colOff>
      <xdr:row>446</xdr:row>
      <xdr:rowOff>760942</xdr:rowOff>
    </xdr:to>
    <xdr:pic>
      <xdr:nvPicPr>
        <xdr:cNvPr id="1565" name="Obraz 1564">
          <a:extLst>
            <a:ext uri="{FF2B5EF4-FFF2-40B4-BE49-F238E27FC236}">
              <a16:creationId xmlns:a16="http://schemas.microsoft.com/office/drawing/2014/main" id="{42E6F633-58F9-6EFC-699E-71108D1EE6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393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446</xdr:row>
      <xdr:rowOff>760942</xdr:rowOff>
    </xdr:from>
    <xdr:to>
      <xdr:col>0</xdr:col>
      <xdr:colOff>871538</xdr:colOff>
      <xdr:row>447</xdr:row>
      <xdr:rowOff>760942</xdr:rowOff>
    </xdr:to>
    <xdr:pic>
      <xdr:nvPicPr>
        <xdr:cNvPr id="1569" name="Obraz 1568">
          <a:extLst>
            <a:ext uri="{FF2B5EF4-FFF2-40B4-BE49-F238E27FC236}">
              <a16:creationId xmlns:a16="http://schemas.microsoft.com/office/drawing/2014/main" id="{7DBF7998-474E-F648-678D-3E1A3BC453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01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447</xdr:row>
      <xdr:rowOff>760942</xdr:rowOff>
    </xdr:from>
    <xdr:to>
      <xdr:col>0</xdr:col>
      <xdr:colOff>871538</xdr:colOff>
      <xdr:row>448</xdr:row>
      <xdr:rowOff>760942</xdr:rowOff>
    </xdr:to>
    <xdr:pic>
      <xdr:nvPicPr>
        <xdr:cNvPr id="1573" name="Obraz 1572">
          <a:extLst>
            <a:ext uri="{FF2B5EF4-FFF2-40B4-BE49-F238E27FC236}">
              <a16:creationId xmlns:a16="http://schemas.microsoft.com/office/drawing/2014/main" id="{62C310F9-AE1C-2CDC-797E-CC4FBC5E73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09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448</xdr:row>
      <xdr:rowOff>760942</xdr:rowOff>
    </xdr:from>
    <xdr:to>
      <xdr:col>0</xdr:col>
      <xdr:colOff>871538</xdr:colOff>
      <xdr:row>449</xdr:row>
      <xdr:rowOff>760942</xdr:rowOff>
    </xdr:to>
    <xdr:pic>
      <xdr:nvPicPr>
        <xdr:cNvPr id="1576" name="Obraz 1575">
          <a:extLst>
            <a:ext uri="{FF2B5EF4-FFF2-40B4-BE49-F238E27FC236}">
              <a16:creationId xmlns:a16="http://schemas.microsoft.com/office/drawing/2014/main" id="{1DBBC43B-8B72-CDA2-BFD3-0ACF100063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16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449</xdr:row>
      <xdr:rowOff>760942</xdr:rowOff>
    </xdr:from>
    <xdr:to>
      <xdr:col>0</xdr:col>
      <xdr:colOff>871538</xdr:colOff>
      <xdr:row>450</xdr:row>
      <xdr:rowOff>760942</xdr:rowOff>
    </xdr:to>
    <xdr:pic>
      <xdr:nvPicPr>
        <xdr:cNvPr id="1580" name="Obraz 1579">
          <a:extLst>
            <a:ext uri="{FF2B5EF4-FFF2-40B4-BE49-F238E27FC236}">
              <a16:creationId xmlns:a16="http://schemas.microsoft.com/office/drawing/2014/main" id="{2796DB68-1ED5-A3E4-EE1C-DA124C5C0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24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450</xdr:row>
      <xdr:rowOff>760942</xdr:rowOff>
    </xdr:from>
    <xdr:to>
      <xdr:col>0</xdr:col>
      <xdr:colOff>871538</xdr:colOff>
      <xdr:row>451</xdr:row>
      <xdr:rowOff>760942</xdr:rowOff>
    </xdr:to>
    <xdr:pic>
      <xdr:nvPicPr>
        <xdr:cNvPr id="1583" name="Obraz 1582">
          <a:extLst>
            <a:ext uri="{FF2B5EF4-FFF2-40B4-BE49-F238E27FC236}">
              <a16:creationId xmlns:a16="http://schemas.microsoft.com/office/drawing/2014/main" id="{5CDDE8E0-ED23-3314-4F9B-B09EC7B3F5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31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451</xdr:row>
      <xdr:rowOff>760942</xdr:rowOff>
    </xdr:from>
    <xdr:to>
      <xdr:col>0</xdr:col>
      <xdr:colOff>871538</xdr:colOff>
      <xdr:row>452</xdr:row>
      <xdr:rowOff>760942</xdr:rowOff>
    </xdr:to>
    <xdr:pic>
      <xdr:nvPicPr>
        <xdr:cNvPr id="1587" name="Obraz 1586">
          <a:extLst>
            <a:ext uri="{FF2B5EF4-FFF2-40B4-BE49-F238E27FC236}">
              <a16:creationId xmlns:a16="http://schemas.microsoft.com/office/drawing/2014/main" id="{AA09C3EB-65C0-8C16-9E1C-C85EA0F877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39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452</xdr:row>
      <xdr:rowOff>760942</xdr:rowOff>
    </xdr:from>
    <xdr:to>
      <xdr:col>0</xdr:col>
      <xdr:colOff>871538</xdr:colOff>
      <xdr:row>453</xdr:row>
      <xdr:rowOff>760942</xdr:rowOff>
    </xdr:to>
    <xdr:pic>
      <xdr:nvPicPr>
        <xdr:cNvPr id="1590" name="Obraz 1589">
          <a:extLst>
            <a:ext uri="{FF2B5EF4-FFF2-40B4-BE49-F238E27FC236}">
              <a16:creationId xmlns:a16="http://schemas.microsoft.com/office/drawing/2014/main" id="{A3D0E2C1-C9A6-12B6-C468-C2751D39FA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47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453</xdr:row>
      <xdr:rowOff>760942</xdr:rowOff>
    </xdr:from>
    <xdr:to>
      <xdr:col>0</xdr:col>
      <xdr:colOff>871538</xdr:colOff>
      <xdr:row>454</xdr:row>
      <xdr:rowOff>760942</xdr:rowOff>
    </xdr:to>
    <xdr:pic>
      <xdr:nvPicPr>
        <xdr:cNvPr id="1594" name="Obraz 1593">
          <a:extLst>
            <a:ext uri="{FF2B5EF4-FFF2-40B4-BE49-F238E27FC236}">
              <a16:creationId xmlns:a16="http://schemas.microsoft.com/office/drawing/2014/main" id="{FE1E05CE-1DAB-A2A5-A727-D6727CA363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54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454</xdr:row>
      <xdr:rowOff>760942</xdr:rowOff>
    </xdr:from>
    <xdr:to>
      <xdr:col>0</xdr:col>
      <xdr:colOff>871538</xdr:colOff>
      <xdr:row>455</xdr:row>
      <xdr:rowOff>760942</xdr:rowOff>
    </xdr:to>
    <xdr:pic>
      <xdr:nvPicPr>
        <xdr:cNvPr id="1597" name="Obraz 1596">
          <a:extLst>
            <a:ext uri="{FF2B5EF4-FFF2-40B4-BE49-F238E27FC236}">
              <a16:creationId xmlns:a16="http://schemas.microsoft.com/office/drawing/2014/main" id="{78225A4C-74D7-267B-312E-33EC4F09D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62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455</xdr:row>
      <xdr:rowOff>760942</xdr:rowOff>
    </xdr:from>
    <xdr:to>
      <xdr:col>0</xdr:col>
      <xdr:colOff>871538</xdr:colOff>
      <xdr:row>456</xdr:row>
      <xdr:rowOff>760942</xdr:rowOff>
    </xdr:to>
    <xdr:pic>
      <xdr:nvPicPr>
        <xdr:cNvPr id="1601" name="Obraz 1600">
          <a:extLst>
            <a:ext uri="{FF2B5EF4-FFF2-40B4-BE49-F238E27FC236}">
              <a16:creationId xmlns:a16="http://schemas.microsoft.com/office/drawing/2014/main" id="{B24282EE-4C03-A954-3421-B15F01077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70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456</xdr:row>
      <xdr:rowOff>760942</xdr:rowOff>
    </xdr:from>
    <xdr:to>
      <xdr:col>0</xdr:col>
      <xdr:colOff>871538</xdr:colOff>
      <xdr:row>457</xdr:row>
      <xdr:rowOff>760942</xdr:rowOff>
    </xdr:to>
    <xdr:pic>
      <xdr:nvPicPr>
        <xdr:cNvPr id="1605" name="Obraz 1604">
          <a:extLst>
            <a:ext uri="{FF2B5EF4-FFF2-40B4-BE49-F238E27FC236}">
              <a16:creationId xmlns:a16="http://schemas.microsoft.com/office/drawing/2014/main" id="{4FEB0665-D294-816B-E09E-3DD95A667C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77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457</xdr:row>
      <xdr:rowOff>760942</xdr:rowOff>
    </xdr:from>
    <xdr:to>
      <xdr:col>0</xdr:col>
      <xdr:colOff>871538</xdr:colOff>
      <xdr:row>458</xdr:row>
      <xdr:rowOff>760942</xdr:rowOff>
    </xdr:to>
    <xdr:pic>
      <xdr:nvPicPr>
        <xdr:cNvPr id="1608" name="Obraz 1607">
          <a:extLst>
            <a:ext uri="{FF2B5EF4-FFF2-40B4-BE49-F238E27FC236}">
              <a16:creationId xmlns:a16="http://schemas.microsoft.com/office/drawing/2014/main" id="{0477E95C-ACDD-17AA-971F-8820E32B2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85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458</xdr:row>
      <xdr:rowOff>760942</xdr:rowOff>
    </xdr:from>
    <xdr:to>
      <xdr:col>0</xdr:col>
      <xdr:colOff>871538</xdr:colOff>
      <xdr:row>459</xdr:row>
      <xdr:rowOff>760942</xdr:rowOff>
    </xdr:to>
    <xdr:pic>
      <xdr:nvPicPr>
        <xdr:cNvPr id="1612" name="Obraz 1611">
          <a:extLst>
            <a:ext uri="{FF2B5EF4-FFF2-40B4-BE49-F238E27FC236}">
              <a16:creationId xmlns:a16="http://schemas.microsoft.com/office/drawing/2014/main" id="{4E7A9C98-5483-9525-46C6-EFDD7CAD6E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492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459</xdr:row>
      <xdr:rowOff>760942</xdr:rowOff>
    </xdr:from>
    <xdr:to>
      <xdr:col>0</xdr:col>
      <xdr:colOff>871538</xdr:colOff>
      <xdr:row>460</xdr:row>
      <xdr:rowOff>760942</xdr:rowOff>
    </xdr:to>
    <xdr:pic>
      <xdr:nvPicPr>
        <xdr:cNvPr id="1615" name="Obraz 1614">
          <a:extLst>
            <a:ext uri="{FF2B5EF4-FFF2-40B4-BE49-F238E27FC236}">
              <a16:creationId xmlns:a16="http://schemas.microsoft.com/office/drawing/2014/main" id="{C95BA641-857F-329E-B596-44DF27DAB7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00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460</xdr:row>
      <xdr:rowOff>760942</xdr:rowOff>
    </xdr:from>
    <xdr:to>
      <xdr:col>0</xdr:col>
      <xdr:colOff>871538</xdr:colOff>
      <xdr:row>461</xdr:row>
      <xdr:rowOff>760942</xdr:rowOff>
    </xdr:to>
    <xdr:pic>
      <xdr:nvPicPr>
        <xdr:cNvPr id="1619" name="Obraz 1618">
          <a:extLst>
            <a:ext uri="{FF2B5EF4-FFF2-40B4-BE49-F238E27FC236}">
              <a16:creationId xmlns:a16="http://schemas.microsoft.com/office/drawing/2014/main" id="{C570015C-2828-EDE3-FFA3-6BD6E1E413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08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461</xdr:row>
      <xdr:rowOff>760942</xdr:rowOff>
    </xdr:from>
    <xdr:to>
      <xdr:col>0</xdr:col>
      <xdr:colOff>871538</xdr:colOff>
      <xdr:row>462</xdr:row>
      <xdr:rowOff>760942</xdr:rowOff>
    </xdr:to>
    <xdr:pic>
      <xdr:nvPicPr>
        <xdr:cNvPr id="1622" name="Obraz 1621">
          <a:extLst>
            <a:ext uri="{FF2B5EF4-FFF2-40B4-BE49-F238E27FC236}">
              <a16:creationId xmlns:a16="http://schemas.microsoft.com/office/drawing/2014/main" id="{C2132C68-D094-6742-5308-B1352C3661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15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462</xdr:row>
      <xdr:rowOff>760942</xdr:rowOff>
    </xdr:from>
    <xdr:to>
      <xdr:col>0</xdr:col>
      <xdr:colOff>871538</xdr:colOff>
      <xdr:row>463</xdr:row>
      <xdr:rowOff>760942</xdr:rowOff>
    </xdr:to>
    <xdr:pic>
      <xdr:nvPicPr>
        <xdr:cNvPr id="1626" name="Obraz 1625">
          <a:extLst>
            <a:ext uri="{FF2B5EF4-FFF2-40B4-BE49-F238E27FC236}">
              <a16:creationId xmlns:a16="http://schemas.microsoft.com/office/drawing/2014/main" id="{5CED6A78-4D5C-4C1B-8529-E98C2E4777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23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463</xdr:row>
      <xdr:rowOff>760942</xdr:rowOff>
    </xdr:from>
    <xdr:to>
      <xdr:col>0</xdr:col>
      <xdr:colOff>871538</xdr:colOff>
      <xdr:row>464</xdr:row>
      <xdr:rowOff>760942</xdr:rowOff>
    </xdr:to>
    <xdr:pic>
      <xdr:nvPicPr>
        <xdr:cNvPr id="1629" name="Obraz 1628">
          <a:extLst>
            <a:ext uri="{FF2B5EF4-FFF2-40B4-BE49-F238E27FC236}">
              <a16:creationId xmlns:a16="http://schemas.microsoft.com/office/drawing/2014/main" id="{D6A180FB-38B6-3618-1F04-9ED312B598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31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464</xdr:row>
      <xdr:rowOff>760942</xdr:rowOff>
    </xdr:from>
    <xdr:to>
      <xdr:col>0</xdr:col>
      <xdr:colOff>871538</xdr:colOff>
      <xdr:row>465</xdr:row>
      <xdr:rowOff>760942</xdr:rowOff>
    </xdr:to>
    <xdr:pic>
      <xdr:nvPicPr>
        <xdr:cNvPr id="1633" name="Obraz 1632">
          <a:extLst>
            <a:ext uri="{FF2B5EF4-FFF2-40B4-BE49-F238E27FC236}">
              <a16:creationId xmlns:a16="http://schemas.microsoft.com/office/drawing/2014/main" id="{D075FD24-B64C-620E-9C71-CE3F2DAF81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38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465</xdr:row>
      <xdr:rowOff>760942</xdr:rowOff>
    </xdr:from>
    <xdr:to>
      <xdr:col>0</xdr:col>
      <xdr:colOff>871538</xdr:colOff>
      <xdr:row>466</xdr:row>
      <xdr:rowOff>760942</xdr:rowOff>
    </xdr:to>
    <xdr:pic>
      <xdr:nvPicPr>
        <xdr:cNvPr id="1637" name="Obraz 1636">
          <a:extLst>
            <a:ext uri="{FF2B5EF4-FFF2-40B4-BE49-F238E27FC236}">
              <a16:creationId xmlns:a16="http://schemas.microsoft.com/office/drawing/2014/main" id="{697B1A14-29B0-4DCD-4099-7098A7A4F2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46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466</xdr:row>
      <xdr:rowOff>760942</xdr:rowOff>
    </xdr:from>
    <xdr:to>
      <xdr:col>0</xdr:col>
      <xdr:colOff>871538</xdr:colOff>
      <xdr:row>467</xdr:row>
      <xdr:rowOff>760942</xdr:rowOff>
    </xdr:to>
    <xdr:pic>
      <xdr:nvPicPr>
        <xdr:cNvPr id="1640" name="Obraz 1639">
          <a:extLst>
            <a:ext uri="{FF2B5EF4-FFF2-40B4-BE49-F238E27FC236}">
              <a16:creationId xmlns:a16="http://schemas.microsoft.com/office/drawing/2014/main" id="{B9A24C35-7D59-E1E6-835C-9C9E9DF7C7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53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467</xdr:row>
      <xdr:rowOff>760942</xdr:rowOff>
    </xdr:from>
    <xdr:to>
      <xdr:col>0</xdr:col>
      <xdr:colOff>871538</xdr:colOff>
      <xdr:row>468</xdr:row>
      <xdr:rowOff>760942</xdr:rowOff>
    </xdr:to>
    <xdr:pic>
      <xdr:nvPicPr>
        <xdr:cNvPr id="1644" name="Obraz 1643">
          <a:extLst>
            <a:ext uri="{FF2B5EF4-FFF2-40B4-BE49-F238E27FC236}">
              <a16:creationId xmlns:a16="http://schemas.microsoft.com/office/drawing/2014/main" id="{352B5229-AC27-A615-1A5B-DCF421A396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61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468</xdr:row>
      <xdr:rowOff>760942</xdr:rowOff>
    </xdr:from>
    <xdr:to>
      <xdr:col>0</xdr:col>
      <xdr:colOff>871538</xdr:colOff>
      <xdr:row>469</xdr:row>
      <xdr:rowOff>760942</xdr:rowOff>
    </xdr:to>
    <xdr:pic>
      <xdr:nvPicPr>
        <xdr:cNvPr id="1647" name="Obraz 1646">
          <a:extLst>
            <a:ext uri="{FF2B5EF4-FFF2-40B4-BE49-F238E27FC236}">
              <a16:creationId xmlns:a16="http://schemas.microsoft.com/office/drawing/2014/main" id="{E71A644A-1780-FFFF-3CD5-0B590A7A30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69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469</xdr:row>
      <xdr:rowOff>760942</xdr:rowOff>
    </xdr:from>
    <xdr:to>
      <xdr:col>0</xdr:col>
      <xdr:colOff>871538</xdr:colOff>
      <xdr:row>470</xdr:row>
      <xdr:rowOff>760942</xdr:rowOff>
    </xdr:to>
    <xdr:pic>
      <xdr:nvPicPr>
        <xdr:cNvPr id="1651" name="Obraz 1650">
          <a:extLst>
            <a:ext uri="{FF2B5EF4-FFF2-40B4-BE49-F238E27FC236}">
              <a16:creationId xmlns:a16="http://schemas.microsoft.com/office/drawing/2014/main" id="{24FEE338-0342-8C04-6157-83EEA2BDF2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76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470</xdr:row>
      <xdr:rowOff>760942</xdr:rowOff>
    </xdr:from>
    <xdr:to>
      <xdr:col>0</xdr:col>
      <xdr:colOff>871538</xdr:colOff>
      <xdr:row>471</xdr:row>
      <xdr:rowOff>760942</xdr:rowOff>
    </xdr:to>
    <xdr:pic>
      <xdr:nvPicPr>
        <xdr:cNvPr id="1654" name="Obraz 1653">
          <a:extLst>
            <a:ext uri="{FF2B5EF4-FFF2-40B4-BE49-F238E27FC236}">
              <a16:creationId xmlns:a16="http://schemas.microsoft.com/office/drawing/2014/main" id="{DBBE8996-8073-BCDF-02ED-D698E948E7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84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471</xdr:row>
      <xdr:rowOff>760942</xdr:rowOff>
    </xdr:from>
    <xdr:to>
      <xdr:col>0</xdr:col>
      <xdr:colOff>871538</xdr:colOff>
      <xdr:row>472</xdr:row>
      <xdr:rowOff>760942</xdr:rowOff>
    </xdr:to>
    <xdr:pic>
      <xdr:nvPicPr>
        <xdr:cNvPr id="1658" name="Obraz 1657">
          <a:extLst>
            <a:ext uri="{FF2B5EF4-FFF2-40B4-BE49-F238E27FC236}">
              <a16:creationId xmlns:a16="http://schemas.microsoft.com/office/drawing/2014/main" id="{B5D3FA73-C8CE-01CA-3284-0B9BAC1B9B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91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472</xdr:row>
      <xdr:rowOff>760942</xdr:rowOff>
    </xdr:from>
    <xdr:to>
      <xdr:col>0</xdr:col>
      <xdr:colOff>871538</xdr:colOff>
      <xdr:row>473</xdr:row>
      <xdr:rowOff>760942</xdr:rowOff>
    </xdr:to>
    <xdr:pic>
      <xdr:nvPicPr>
        <xdr:cNvPr id="1661" name="Obraz 1660">
          <a:extLst>
            <a:ext uri="{FF2B5EF4-FFF2-40B4-BE49-F238E27FC236}">
              <a16:creationId xmlns:a16="http://schemas.microsoft.com/office/drawing/2014/main" id="{FE5099FC-EB94-228F-69B8-0CF2CAFD02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599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473</xdr:row>
      <xdr:rowOff>760942</xdr:rowOff>
    </xdr:from>
    <xdr:to>
      <xdr:col>0</xdr:col>
      <xdr:colOff>871538</xdr:colOff>
      <xdr:row>474</xdr:row>
      <xdr:rowOff>760942</xdr:rowOff>
    </xdr:to>
    <xdr:pic>
      <xdr:nvPicPr>
        <xdr:cNvPr id="1665" name="Obraz 1664">
          <a:extLst>
            <a:ext uri="{FF2B5EF4-FFF2-40B4-BE49-F238E27FC236}">
              <a16:creationId xmlns:a16="http://schemas.microsoft.com/office/drawing/2014/main" id="{3E19435B-CA17-950E-D349-95EBF67411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07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474</xdr:row>
      <xdr:rowOff>760942</xdr:rowOff>
    </xdr:from>
    <xdr:to>
      <xdr:col>0</xdr:col>
      <xdr:colOff>871538</xdr:colOff>
      <xdr:row>475</xdr:row>
      <xdr:rowOff>760942</xdr:rowOff>
    </xdr:to>
    <xdr:pic>
      <xdr:nvPicPr>
        <xdr:cNvPr id="1669" name="Obraz 1668">
          <a:extLst>
            <a:ext uri="{FF2B5EF4-FFF2-40B4-BE49-F238E27FC236}">
              <a16:creationId xmlns:a16="http://schemas.microsoft.com/office/drawing/2014/main" id="{0A0ABF49-DE01-004A-7084-4B775686FE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14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475</xdr:row>
      <xdr:rowOff>760942</xdr:rowOff>
    </xdr:from>
    <xdr:to>
      <xdr:col>0</xdr:col>
      <xdr:colOff>871538</xdr:colOff>
      <xdr:row>476</xdr:row>
      <xdr:rowOff>760942</xdr:rowOff>
    </xdr:to>
    <xdr:pic>
      <xdr:nvPicPr>
        <xdr:cNvPr id="1672" name="Obraz 1671">
          <a:extLst>
            <a:ext uri="{FF2B5EF4-FFF2-40B4-BE49-F238E27FC236}">
              <a16:creationId xmlns:a16="http://schemas.microsoft.com/office/drawing/2014/main" id="{27FC863F-F539-7E5E-7E14-2C8262EAE4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22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476</xdr:row>
      <xdr:rowOff>760942</xdr:rowOff>
    </xdr:from>
    <xdr:to>
      <xdr:col>0</xdr:col>
      <xdr:colOff>871538</xdr:colOff>
      <xdr:row>477</xdr:row>
      <xdr:rowOff>760942</xdr:rowOff>
    </xdr:to>
    <xdr:pic>
      <xdr:nvPicPr>
        <xdr:cNvPr id="1676" name="Obraz 1675">
          <a:extLst>
            <a:ext uri="{FF2B5EF4-FFF2-40B4-BE49-F238E27FC236}">
              <a16:creationId xmlns:a16="http://schemas.microsoft.com/office/drawing/2014/main" id="{590FE325-4B5F-66C4-52A0-5C3FA80F81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30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477</xdr:row>
      <xdr:rowOff>760942</xdr:rowOff>
    </xdr:from>
    <xdr:to>
      <xdr:col>0</xdr:col>
      <xdr:colOff>871538</xdr:colOff>
      <xdr:row>478</xdr:row>
      <xdr:rowOff>760942</xdr:rowOff>
    </xdr:to>
    <xdr:pic>
      <xdr:nvPicPr>
        <xdr:cNvPr id="1679" name="Obraz 1678">
          <a:extLst>
            <a:ext uri="{FF2B5EF4-FFF2-40B4-BE49-F238E27FC236}">
              <a16:creationId xmlns:a16="http://schemas.microsoft.com/office/drawing/2014/main" id="{1625E322-838B-0EB6-2452-DFDFDB4DBC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37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478</xdr:row>
      <xdr:rowOff>760942</xdr:rowOff>
    </xdr:from>
    <xdr:to>
      <xdr:col>0</xdr:col>
      <xdr:colOff>871538</xdr:colOff>
      <xdr:row>479</xdr:row>
      <xdr:rowOff>760942</xdr:rowOff>
    </xdr:to>
    <xdr:pic>
      <xdr:nvPicPr>
        <xdr:cNvPr id="1683" name="Obraz 1682">
          <a:extLst>
            <a:ext uri="{FF2B5EF4-FFF2-40B4-BE49-F238E27FC236}">
              <a16:creationId xmlns:a16="http://schemas.microsoft.com/office/drawing/2014/main" id="{BD6B09C3-C39B-8CAF-FEFB-712B0AEFCD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45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479</xdr:row>
      <xdr:rowOff>760942</xdr:rowOff>
    </xdr:from>
    <xdr:to>
      <xdr:col>0</xdr:col>
      <xdr:colOff>871538</xdr:colOff>
      <xdr:row>480</xdr:row>
      <xdr:rowOff>760942</xdr:rowOff>
    </xdr:to>
    <xdr:pic>
      <xdr:nvPicPr>
        <xdr:cNvPr id="1686" name="Obraz 1685">
          <a:extLst>
            <a:ext uri="{FF2B5EF4-FFF2-40B4-BE49-F238E27FC236}">
              <a16:creationId xmlns:a16="http://schemas.microsoft.com/office/drawing/2014/main" id="{8D75DB1E-F3F5-636E-A3B2-967747D2DA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52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480</xdr:row>
      <xdr:rowOff>760942</xdr:rowOff>
    </xdr:from>
    <xdr:to>
      <xdr:col>0</xdr:col>
      <xdr:colOff>871538</xdr:colOff>
      <xdr:row>481</xdr:row>
      <xdr:rowOff>760942</xdr:rowOff>
    </xdr:to>
    <xdr:pic>
      <xdr:nvPicPr>
        <xdr:cNvPr id="1690" name="Obraz 1689">
          <a:extLst>
            <a:ext uri="{FF2B5EF4-FFF2-40B4-BE49-F238E27FC236}">
              <a16:creationId xmlns:a16="http://schemas.microsoft.com/office/drawing/2014/main" id="{287000A7-973C-1B36-23FD-8AFF84B06F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60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481</xdr:row>
      <xdr:rowOff>760942</xdr:rowOff>
    </xdr:from>
    <xdr:to>
      <xdr:col>0</xdr:col>
      <xdr:colOff>871538</xdr:colOff>
      <xdr:row>482</xdr:row>
      <xdr:rowOff>760942</xdr:rowOff>
    </xdr:to>
    <xdr:pic>
      <xdr:nvPicPr>
        <xdr:cNvPr id="1693" name="Obraz 1692">
          <a:extLst>
            <a:ext uri="{FF2B5EF4-FFF2-40B4-BE49-F238E27FC236}">
              <a16:creationId xmlns:a16="http://schemas.microsoft.com/office/drawing/2014/main" id="{EAD97204-7E14-24D8-B144-A57F784630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68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482</xdr:row>
      <xdr:rowOff>760942</xdr:rowOff>
    </xdr:from>
    <xdr:to>
      <xdr:col>0</xdr:col>
      <xdr:colOff>871538</xdr:colOff>
      <xdr:row>483</xdr:row>
      <xdr:rowOff>760942</xdr:rowOff>
    </xdr:to>
    <xdr:pic>
      <xdr:nvPicPr>
        <xdr:cNvPr id="1697" name="Obraz 1696">
          <a:extLst>
            <a:ext uri="{FF2B5EF4-FFF2-40B4-BE49-F238E27FC236}">
              <a16:creationId xmlns:a16="http://schemas.microsoft.com/office/drawing/2014/main" id="{97CD8495-B38A-025E-C23A-B1324E9277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75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483</xdr:row>
      <xdr:rowOff>760942</xdr:rowOff>
    </xdr:from>
    <xdr:to>
      <xdr:col>0</xdr:col>
      <xdr:colOff>871538</xdr:colOff>
      <xdr:row>484</xdr:row>
      <xdr:rowOff>760942</xdr:rowOff>
    </xdr:to>
    <xdr:pic>
      <xdr:nvPicPr>
        <xdr:cNvPr id="1701" name="Obraz 1700">
          <a:extLst>
            <a:ext uri="{FF2B5EF4-FFF2-40B4-BE49-F238E27FC236}">
              <a16:creationId xmlns:a16="http://schemas.microsoft.com/office/drawing/2014/main" id="{41894694-A038-4C80-A7B9-00C54C8E4B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83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484</xdr:row>
      <xdr:rowOff>760942</xdr:rowOff>
    </xdr:from>
    <xdr:to>
      <xdr:col>0</xdr:col>
      <xdr:colOff>871538</xdr:colOff>
      <xdr:row>485</xdr:row>
      <xdr:rowOff>760942</xdr:rowOff>
    </xdr:to>
    <xdr:pic>
      <xdr:nvPicPr>
        <xdr:cNvPr id="1704" name="Obraz 1703">
          <a:extLst>
            <a:ext uri="{FF2B5EF4-FFF2-40B4-BE49-F238E27FC236}">
              <a16:creationId xmlns:a16="http://schemas.microsoft.com/office/drawing/2014/main" id="{87575B9C-2627-F7EC-4FA9-01B43350DA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91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485</xdr:row>
      <xdr:rowOff>760942</xdr:rowOff>
    </xdr:from>
    <xdr:to>
      <xdr:col>0</xdr:col>
      <xdr:colOff>871538</xdr:colOff>
      <xdr:row>486</xdr:row>
      <xdr:rowOff>760942</xdr:rowOff>
    </xdr:to>
    <xdr:pic>
      <xdr:nvPicPr>
        <xdr:cNvPr id="1708" name="Obraz 1707">
          <a:extLst>
            <a:ext uri="{FF2B5EF4-FFF2-40B4-BE49-F238E27FC236}">
              <a16:creationId xmlns:a16="http://schemas.microsoft.com/office/drawing/2014/main" id="{7A80B9BF-B052-3C05-955C-3650D8EB9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698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486</xdr:row>
      <xdr:rowOff>760942</xdr:rowOff>
    </xdr:from>
    <xdr:to>
      <xdr:col>0</xdr:col>
      <xdr:colOff>871538</xdr:colOff>
      <xdr:row>487</xdr:row>
      <xdr:rowOff>760942</xdr:rowOff>
    </xdr:to>
    <xdr:pic>
      <xdr:nvPicPr>
        <xdr:cNvPr id="1711" name="Obraz 1710">
          <a:extLst>
            <a:ext uri="{FF2B5EF4-FFF2-40B4-BE49-F238E27FC236}">
              <a16:creationId xmlns:a16="http://schemas.microsoft.com/office/drawing/2014/main" id="{927513CB-FF68-86A0-9E60-3BEDD2D872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06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487</xdr:row>
      <xdr:rowOff>760942</xdr:rowOff>
    </xdr:from>
    <xdr:to>
      <xdr:col>0</xdr:col>
      <xdr:colOff>871538</xdr:colOff>
      <xdr:row>488</xdr:row>
      <xdr:rowOff>760942</xdr:rowOff>
    </xdr:to>
    <xdr:pic>
      <xdr:nvPicPr>
        <xdr:cNvPr id="1715" name="Obraz 1714">
          <a:extLst>
            <a:ext uri="{FF2B5EF4-FFF2-40B4-BE49-F238E27FC236}">
              <a16:creationId xmlns:a16="http://schemas.microsoft.com/office/drawing/2014/main" id="{C686FB03-6D9D-650B-C039-629476A863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13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488</xdr:row>
      <xdr:rowOff>760942</xdr:rowOff>
    </xdr:from>
    <xdr:to>
      <xdr:col>0</xdr:col>
      <xdr:colOff>871538</xdr:colOff>
      <xdr:row>489</xdr:row>
      <xdr:rowOff>760942</xdr:rowOff>
    </xdr:to>
    <xdr:pic>
      <xdr:nvPicPr>
        <xdr:cNvPr id="1718" name="Obraz 1717">
          <a:extLst>
            <a:ext uri="{FF2B5EF4-FFF2-40B4-BE49-F238E27FC236}">
              <a16:creationId xmlns:a16="http://schemas.microsoft.com/office/drawing/2014/main" id="{E6D9DE08-3AD0-748A-2A94-00DD3BEDA9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21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489</xdr:row>
      <xdr:rowOff>760942</xdr:rowOff>
    </xdr:from>
    <xdr:to>
      <xdr:col>0</xdr:col>
      <xdr:colOff>871538</xdr:colOff>
      <xdr:row>490</xdr:row>
      <xdr:rowOff>760942</xdr:rowOff>
    </xdr:to>
    <xdr:pic>
      <xdr:nvPicPr>
        <xdr:cNvPr id="1722" name="Obraz 1721">
          <a:extLst>
            <a:ext uri="{FF2B5EF4-FFF2-40B4-BE49-F238E27FC236}">
              <a16:creationId xmlns:a16="http://schemas.microsoft.com/office/drawing/2014/main" id="{6ECD1582-0D54-AF60-7A05-49D579E0A6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29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490</xdr:row>
      <xdr:rowOff>760942</xdr:rowOff>
    </xdr:from>
    <xdr:to>
      <xdr:col>0</xdr:col>
      <xdr:colOff>871538</xdr:colOff>
      <xdr:row>491</xdr:row>
      <xdr:rowOff>760942</xdr:rowOff>
    </xdr:to>
    <xdr:pic>
      <xdr:nvPicPr>
        <xdr:cNvPr id="1725" name="Obraz 1724">
          <a:extLst>
            <a:ext uri="{FF2B5EF4-FFF2-40B4-BE49-F238E27FC236}">
              <a16:creationId xmlns:a16="http://schemas.microsoft.com/office/drawing/2014/main" id="{1A540C0F-57A5-8FE9-6C2B-823B2327CD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36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491</xdr:row>
      <xdr:rowOff>760942</xdr:rowOff>
    </xdr:from>
    <xdr:to>
      <xdr:col>0</xdr:col>
      <xdr:colOff>871538</xdr:colOff>
      <xdr:row>492</xdr:row>
      <xdr:rowOff>760942</xdr:rowOff>
    </xdr:to>
    <xdr:pic>
      <xdr:nvPicPr>
        <xdr:cNvPr id="1729" name="Obraz 1728">
          <a:extLst>
            <a:ext uri="{FF2B5EF4-FFF2-40B4-BE49-F238E27FC236}">
              <a16:creationId xmlns:a16="http://schemas.microsoft.com/office/drawing/2014/main" id="{DF8655EF-77D5-17F1-A816-72653315E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44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492</xdr:row>
      <xdr:rowOff>760942</xdr:rowOff>
    </xdr:from>
    <xdr:to>
      <xdr:col>0</xdr:col>
      <xdr:colOff>871538</xdr:colOff>
      <xdr:row>493</xdr:row>
      <xdr:rowOff>760942</xdr:rowOff>
    </xdr:to>
    <xdr:pic>
      <xdr:nvPicPr>
        <xdr:cNvPr id="1733" name="Obraz 1732">
          <a:extLst>
            <a:ext uri="{FF2B5EF4-FFF2-40B4-BE49-F238E27FC236}">
              <a16:creationId xmlns:a16="http://schemas.microsoft.com/office/drawing/2014/main" id="{79F92AA4-DE66-9E68-9E26-145F1086E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51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493</xdr:row>
      <xdr:rowOff>760942</xdr:rowOff>
    </xdr:from>
    <xdr:to>
      <xdr:col>0</xdr:col>
      <xdr:colOff>871538</xdr:colOff>
      <xdr:row>494</xdr:row>
      <xdr:rowOff>760942</xdr:rowOff>
    </xdr:to>
    <xdr:pic>
      <xdr:nvPicPr>
        <xdr:cNvPr id="1736" name="Obraz 1735">
          <a:extLst>
            <a:ext uri="{FF2B5EF4-FFF2-40B4-BE49-F238E27FC236}">
              <a16:creationId xmlns:a16="http://schemas.microsoft.com/office/drawing/2014/main" id="{9241914C-565A-A25F-96E8-CF11D13A05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59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494</xdr:row>
      <xdr:rowOff>760942</xdr:rowOff>
    </xdr:from>
    <xdr:to>
      <xdr:col>0</xdr:col>
      <xdr:colOff>871538</xdr:colOff>
      <xdr:row>495</xdr:row>
      <xdr:rowOff>760942</xdr:rowOff>
    </xdr:to>
    <xdr:pic>
      <xdr:nvPicPr>
        <xdr:cNvPr id="1740" name="Obraz 1739">
          <a:extLst>
            <a:ext uri="{FF2B5EF4-FFF2-40B4-BE49-F238E27FC236}">
              <a16:creationId xmlns:a16="http://schemas.microsoft.com/office/drawing/2014/main" id="{79796917-5247-8A8A-C5F7-09A19B0F4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67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495</xdr:row>
      <xdr:rowOff>760942</xdr:rowOff>
    </xdr:from>
    <xdr:to>
      <xdr:col>0</xdr:col>
      <xdr:colOff>871538</xdr:colOff>
      <xdr:row>496</xdr:row>
      <xdr:rowOff>760942</xdr:rowOff>
    </xdr:to>
    <xdr:pic>
      <xdr:nvPicPr>
        <xdr:cNvPr id="1743" name="Obraz 1742">
          <a:extLst>
            <a:ext uri="{FF2B5EF4-FFF2-40B4-BE49-F238E27FC236}">
              <a16:creationId xmlns:a16="http://schemas.microsoft.com/office/drawing/2014/main" id="{E24D4DC8-F3FC-EBAC-A8F3-C325D23861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74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496</xdr:row>
      <xdr:rowOff>760942</xdr:rowOff>
    </xdr:from>
    <xdr:to>
      <xdr:col>0</xdr:col>
      <xdr:colOff>871538</xdr:colOff>
      <xdr:row>497</xdr:row>
      <xdr:rowOff>760942</xdr:rowOff>
    </xdr:to>
    <xdr:pic>
      <xdr:nvPicPr>
        <xdr:cNvPr id="1747" name="Obraz 1746">
          <a:extLst>
            <a:ext uri="{FF2B5EF4-FFF2-40B4-BE49-F238E27FC236}">
              <a16:creationId xmlns:a16="http://schemas.microsoft.com/office/drawing/2014/main" id="{C4D2C2B8-D926-A2BE-5157-6DCF2B8BE4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82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497</xdr:row>
      <xdr:rowOff>760942</xdr:rowOff>
    </xdr:from>
    <xdr:to>
      <xdr:col>0</xdr:col>
      <xdr:colOff>871538</xdr:colOff>
      <xdr:row>498</xdr:row>
      <xdr:rowOff>760942</xdr:rowOff>
    </xdr:to>
    <xdr:pic>
      <xdr:nvPicPr>
        <xdr:cNvPr id="1750" name="Obraz 1749">
          <a:extLst>
            <a:ext uri="{FF2B5EF4-FFF2-40B4-BE49-F238E27FC236}">
              <a16:creationId xmlns:a16="http://schemas.microsoft.com/office/drawing/2014/main" id="{400C7344-601A-7488-B92E-B0838E5BB2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90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498</xdr:row>
      <xdr:rowOff>760942</xdr:rowOff>
    </xdr:from>
    <xdr:to>
      <xdr:col>0</xdr:col>
      <xdr:colOff>871538</xdr:colOff>
      <xdr:row>499</xdr:row>
      <xdr:rowOff>760942</xdr:rowOff>
    </xdr:to>
    <xdr:pic>
      <xdr:nvPicPr>
        <xdr:cNvPr id="1754" name="Obraz 1753">
          <a:extLst>
            <a:ext uri="{FF2B5EF4-FFF2-40B4-BE49-F238E27FC236}">
              <a16:creationId xmlns:a16="http://schemas.microsoft.com/office/drawing/2014/main" id="{49F202CC-BBBB-D289-0A98-EB611FD4F5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797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499</xdr:row>
      <xdr:rowOff>760942</xdr:rowOff>
    </xdr:from>
    <xdr:to>
      <xdr:col>0</xdr:col>
      <xdr:colOff>871538</xdr:colOff>
      <xdr:row>500</xdr:row>
      <xdr:rowOff>760942</xdr:rowOff>
    </xdr:to>
    <xdr:pic>
      <xdr:nvPicPr>
        <xdr:cNvPr id="1757" name="Obraz 1756">
          <a:extLst>
            <a:ext uri="{FF2B5EF4-FFF2-40B4-BE49-F238E27FC236}">
              <a16:creationId xmlns:a16="http://schemas.microsoft.com/office/drawing/2014/main" id="{370C359E-943B-2A36-A4CE-A5C83C9257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05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500</xdr:row>
      <xdr:rowOff>760942</xdr:rowOff>
    </xdr:from>
    <xdr:to>
      <xdr:col>0</xdr:col>
      <xdr:colOff>871538</xdr:colOff>
      <xdr:row>501</xdr:row>
      <xdr:rowOff>760942</xdr:rowOff>
    </xdr:to>
    <xdr:pic>
      <xdr:nvPicPr>
        <xdr:cNvPr id="1761" name="Obraz 1760">
          <a:extLst>
            <a:ext uri="{FF2B5EF4-FFF2-40B4-BE49-F238E27FC236}">
              <a16:creationId xmlns:a16="http://schemas.microsoft.com/office/drawing/2014/main" id="{1871B616-DE32-6E48-1AE1-E66A63D497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12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501</xdr:row>
      <xdr:rowOff>760942</xdr:rowOff>
    </xdr:from>
    <xdr:to>
      <xdr:col>0</xdr:col>
      <xdr:colOff>871538</xdr:colOff>
      <xdr:row>502</xdr:row>
      <xdr:rowOff>760942</xdr:rowOff>
    </xdr:to>
    <xdr:pic>
      <xdr:nvPicPr>
        <xdr:cNvPr id="1765" name="Obraz 1764">
          <a:extLst>
            <a:ext uri="{FF2B5EF4-FFF2-40B4-BE49-F238E27FC236}">
              <a16:creationId xmlns:a16="http://schemas.microsoft.com/office/drawing/2014/main" id="{C9C2849B-6BD0-6627-2658-5D392060F6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20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502</xdr:row>
      <xdr:rowOff>760942</xdr:rowOff>
    </xdr:from>
    <xdr:to>
      <xdr:col>0</xdr:col>
      <xdr:colOff>871538</xdr:colOff>
      <xdr:row>503</xdr:row>
      <xdr:rowOff>760942</xdr:rowOff>
    </xdr:to>
    <xdr:pic>
      <xdr:nvPicPr>
        <xdr:cNvPr id="1768" name="Obraz 1767">
          <a:extLst>
            <a:ext uri="{FF2B5EF4-FFF2-40B4-BE49-F238E27FC236}">
              <a16:creationId xmlns:a16="http://schemas.microsoft.com/office/drawing/2014/main" id="{16CBD011-54A9-0248-D61A-EAB6599FF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28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503</xdr:row>
      <xdr:rowOff>760942</xdr:rowOff>
    </xdr:from>
    <xdr:to>
      <xdr:col>0</xdr:col>
      <xdr:colOff>871538</xdr:colOff>
      <xdr:row>504</xdr:row>
      <xdr:rowOff>760942</xdr:rowOff>
    </xdr:to>
    <xdr:pic>
      <xdr:nvPicPr>
        <xdr:cNvPr id="1772" name="Obraz 1771">
          <a:extLst>
            <a:ext uri="{FF2B5EF4-FFF2-40B4-BE49-F238E27FC236}">
              <a16:creationId xmlns:a16="http://schemas.microsoft.com/office/drawing/2014/main" id="{00C4B565-CFF5-25F9-379F-AE9A1BA7DF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35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504</xdr:row>
      <xdr:rowOff>760942</xdr:rowOff>
    </xdr:from>
    <xdr:to>
      <xdr:col>0</xdr:col>
      <xdr:colOff>871538</xdr:colOff>
      <xdr:row>505</xdr:row>
      <xdr:rowOff>760942</xdr:rowOff>
    </xdr:to>
    <xdr:pic>
      <xdr:nvPicPr>
        <xdr:cNvPr id="1775" name="Obraz 1774">
          <a:extLst>
            <a:ext uri="{FF2B5EF4-FFF2-40B4-BE49-F238E27FC236}">
              <a16:creationId xmlns:a16="http://schemas.microsoft.com/office/drawing/2014/main" id="{E3C034E8-15C2-5FBF-2784-FB2B0107DC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43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505</xdr:row>
      <xdr:rowOff>760942</xdr:rowOff>
    </xdr:from>
    <xdr:to>
      <xdr:col>0</xdr:col>
      <xdr:colOff>871538</xdr:colOff>
      <xdr:row>506</xdr:row>
      <xdr:rowOff>760942</xdr:rowOff>
    </xdr:to>
    <xdr:pic>
      <xdr:nvPicPr>
        <xdr:cNvPr id="1779" name="Obraz 1778">
          <a:extLst>
            <a:ext uri="{FF2B5EF4-FFF2-40B4-BE49-F238E27FC236}">
              <a16:creationId xmlns:a16="http://schemas.microsoft.com/office/drawing/2014/main" id="{AB11860A-1057-929B-3744-F7290B9930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51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506</xdr:row>
      <xdr:rowOff>760942</xdr:rowOff>
    </xdr:from>
    <xdr:to>
      <xdr:col>0</xdr:col>
      <xdr:colOff>871538</xdr:colOff>
      <xdr:row>507</xdr:row>
      <xdr:rowOff>760942</xdr:rowOff>
    </xdr:to>
    <xdr:pic>
      <xdr:nvPicPr>
        <xdr:cNvPr id="1782" name="Obraz 1781">
          <a:extLst>
            <a:ext uri="{FF2B5EF4-FFF2-40B4-BE49-F238E27FC236}">
              <a16:creationId xmlns:a16="http://schemas.microsoft.com/office/drawing/2014/main" id="{A030795D-7892-0DA4-C404-61DB1FAD59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58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507</xdr:row>
      <xdr:rowOff>760942</xdr:rowOff>
    </xdr:from>
    <xdr:to>
      <xdr:col>0</xdr:col>
      <xdr:colOff>871538</xdr:colOff>
      <xdr:row>508</xdr:row>
      <xdr:rowOff>760942</xdr:rowOff>
    </xdr:to>
    <xdr:pic>
      <xdr:nvPicPr>
        <xdr:cNvPr id="1786" name="Obraz 1785">
          <a:extLst>
            <a:ext uri="{FF2B5EF4-FFF2-40B4-BE49-F238E27FC236}">
              <a16:creationId xmlns:a16="http://schemas.microsoft.com/office/drawing/2014/main" id="{8E9E55BE-2AE5-066C-7BB9-80B31942C3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66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508</xdr:row>
      <xdr:rowOff>760942</xdr:rowOff>
    </xdr:from>
    <xdr:to>
      <xdr:col>0</xdr:col>
      <xdr:colOff>871538</xdr:colOff>
      <xdr:row>509</xdr:row>
      <xdr:rowOff>760942</xdr:rowOff>
    </xdr:to>
    <xdr:pic>
      <xdr:nvPicPr>
        <xdr:cNvPr id="1789" name="Obraz 1788">
          <a:extLst>
            <a:ext uri="{FF2B5EF4-FFF2-40B4-BE49-F238E27FC236}">
              <a16:creationId xmlns:a16="http://schemas.microsoft.com/office/drawing/2014/main" id="{15B13CE8-9048-E5A3-5252-0EA67ED003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73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509</xdr:row>
      <xdr:rowOff>760942</xdr:rowOff>
    </xdr:from>
    <xdr:to>
      <xdr:col>0</xdr:col>
      <xdr:colOff>871538</xdr:colOff>
      <xdr:row>510</xdr:row>
      <xdr:rowOff>760942</xdr:rowOff>
    </xdr:to>
    <xdr:pic>
      <xdr:nvPicPr>
        <xdr:cNvPr id="1793" name="Obraz 1792">
          <a:extLst>
            <a:ext uri="{FF2B5EF4-FFF2-40B4-BE49-F238E27FC236}">
              <a16:creationId xmlns:a16="http://schemas.microsoft.com/office/drawing/2014/main" id="{4220A71B-0908-F5DC-2F75-949AC230E4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81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510</xdr:row>
      <xdr:rowOff>760942</xdr:rowOff>
    </xdr:from>
    <xdr:to>
      <xdr:col>0</xdr:col>
      <xdr:colOff>871538</xdr:colOff>
      <xdr:row>511</xdr:row>
      <xdr:rowOff>760942</xdr:rowOff>
    </xdr:to>
    <xdr:pic>
      <xdr:nvPicPr>
        <xdr:cNvPr id="1797" name="Obraz 1796">
          <a:extLst>
            <a:ext uri="{FF2B5EF4-FFF2-40B4-BE49-F238E27FC236}">
              <a16:creationId xmlns:a16="http://schemas.microsoft.com/office/drawing/2014/main" id="{8D512B5E-6E65-847A-2099-C1351AC6F3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89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511</xdr:row>
      <xdr:rowOff>760942</xdr:rowOff>
    </xdr:from>
    <xdr:to>
      <xdr:col>0</xdr:col>
      <xdr:colOff>871538</xdr:colOff>
      <xdr:row>512</xdr:row>
      <xdr:rowOff>760942</xdr:rowOff>
    </xdr:to>
    <xdr:pic>
      <xdr:nvPicPr>
        <xdr:cNvPr id="1800" name="Obraz 1799">
          <a:extLst>
            <a:ext uri="{FF2B5EF4-FFF2-40B4-BE49-F238E27FC236}">
              <a16:creationId xmlns:a16="http://schemas.microsoft.com/office/drawing/2014/main" id="{EE4D2E15-1598-A840-3438-EB56A7D4A8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896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512</xdr:row>
      <xdr:rowOff>760942</xdr:rowOff>
    </xdr:from>
    <xdr:to>
      <xdr:col>0</xdr:col>
      <xdr:colOff>871538</xdr:colOff>
      <xdr:row>513</xdr:row>
      <xdr:rowOff>760942</xdr:rowOff>
    </xdr:to>
    <xdr:pic>
      <xdr:nvPicPr>
        <xdr:cNvPr id="1804" name="Obraz 1803">
          <a:extLst>
            <a:ext uri="{FF2B5EF4-FFF2-40B4-BE49-F238E27FC236}">
              <a16:creationId xmlns:a16="http://schemas.microsoft.com/office/drawing/2014/main" id="{C3797D47-B8F2-656B-5BF0-08D05B479B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04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513</xdr:row>
      <xdr:rowOff>760942</xdr:rowOff>
    </xdr:from>
    <xdr:to>
      <xdr:col>0</xdr:col>
      <xdr:colOff>871538</xdr:colOff>
      <xdr:row>514</xdr:row>
      <xdr:rowOff>760942</xdr:rowOff>
    </xdr:to>
    <xdr:pic>
      <xdr:nvPicPr>
        <xdr:cNvPr id="1807" name="Obraz 1806">
          <a:extLst>
            <a:ext uri="{FF2B5EF4-FFF2-40B4-BE49-F238E27FC236}">
              <a16:creationId xmlns:a16="http://schemas.microsoft.com/office/drawing/2014/main" id="{5819C22D-3C88-F70F-10AE-8A2B848927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12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514</xdr:row>
      <xdr:rowOff>760942</xdr:rowOff>
    </xdr:from>
    <xdr:to>
      <xdr:col>0</xdr:col>
      <xdr:colOff>871538</xdr:colOff>
      <xdr:row>515</xdr:row>
      <xdr:rowOff>760942</xdr:rowOff>
    </xdr:to>
    <xdr:pic>
      <xdr:nvPicPr>
        <xdr:cNvPr id="1811" name="Obraz 1810">
          <a:extLst>
            <a:ext uri="{FF2B5EF4-FFF2-40B4-BE49-F238E27FC236}">
              <a16:creationId xmlns:a16="http://schemas.microsoft.com/office/drawing/2014/main" id="{98C2ED7F-4963-BA53-E11A-14336E563C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19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515</xdr:row>
      <xdr:rowOff>760942</xdr:rowOff>
    </xdr:from>
    <xdr:to>
      <xdr:col>0</xdr:col>
      <xdr:colOff>871538</xdr:colOff>
      <xdr:row>516</xdr:row>
      <xdr:rowOff>760942</xdr:rowOff>
    </xdr:to>
    <xdr:pic>
      <xdr:nvPicPr>
        <xdr:cNvPr id="1814" name="Obraz 1813">
          <a:extLst>
            <a:ext uri="{FF2B5EF4-FFF2-40B4-BE49-F238E27FC236}">
              <a16:creationId xmlns:a16="http://schemas.microsoft.com/office/drawing/2014/main" id="{22AE26B4-DABA-FFD7-D2D3-2A1E9EEEB1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27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516</xdr:row>
      <xdr:rowOff>760942</xdr:rowOff>
    </xdr:from>
    <xdr:to>
      <xdr:col>0</xdr:col>
      <xdr:colOff>871538</xdr:colOff>
      <xdr:row>517</xdr:row>
      <xdr:rowOff>760942</xdr:rowOff>
    </xdr:to>
    <xdr:pic>
      <xdr:nvPicPr>
        <xdr:cNvPr id="1818" name="Obraz 1817">
          <a:extLst>
            <a:ext uri="{FF2B5EF4-FFF2-40B4-BE49-F238E27FC236}">
              <a16:creationId xmlns:a16="http://schemas.microsoft.com/office/drawing/2014/main" id="{8BF8E279-1D10-93AC-1A54-5B1B48F6F1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34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517</xdr:row>
      <xdr:rowOff>760942</xdr:rowOff>
    </xdr:from>
    <xdr:to>
      <xdr:col>0</xdr:col>
      <xdr:colOff>871538</xdr:colOff>
      <xdr:row>518</xdr:row>
      <xdr:rowOff>760942</xdr:rowOff>
    </xdr:to>
    <xdr:pic>
      <xdr:nvPicPr>
        <xdr:cNvPr id="1821" name="Obraz 1820">
          <a:extLst>
            <a:ext uri="{FF2B5EF4-FFF2-40B4-BE49-F238E27FC236}">
              <a16:creationId xmlns:a16="http://schemas.microsoft.com/office/drawing/2014/main" id="{06053A3D-AE55-D2E2-3A11-32CB1AD20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42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518</xdr:row>
      <xdr:rowOff>760942</xdr:rowOff>
    </xdr:from>
    <xdr:to>
      <xdr:col>0</xdr:col>
      <xdr:colOff>871538</xdr:colOff>
      <xdr:row>519</xdr:row>
      <xdr:rowOff>760942</xdr:rowOff>
    </xdr:to>
    <xdr:pic>
      <xdr:nvPicPr>
        <xdr:cNvPr id="1825" name="Obraz 1824">
          <a:extLst>
            <a:ext uri="{FF2B5EF4-FFF2-40B4-BE49-F238E27FC236}">
              <a16:creationId xmlns:a16="http://schemas.microsoft.com/office/drawing/2014/main" id="{B826712D-596F-A855-1EE7-F5DF4D925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50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519</xdr:row>
      <xdr:rowOff>760942</xdr:rowOff>
    </xdr:from>
    <xdr:to>
      <xdr:col>0</xdr:col>
      <xdr:colOff>871538</xdr:colOff>
      <xdr:row>520</xdr:row>
      <xdr:rowOff>760942</xdr:rowOff>
    </xdr:to>
    <xdr:pic>
      <xdr:nvPicPr>
        <xdr:cNvPr id="1829" name="Obraz 1828">
          <a:extLst>
            <a:ext uri="{FF2B5EF4-FFF2-40B4-BE49-F238E27FC236}">
              <a16:creationId xmlns:a16="http://schemas.microsoft.com/office/drawing/2014/main" id="{BF277A9D-E0C5-304C-9A49-8BF9562EEE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57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520</xdr:row>
      <xdr:rowOff>760942</xdr:rowOff>
    </xdr:from>
    <xdr:to>
      <xdr:col>0</xdr:col>
      <xdr:colOff>871538</xdr:colOff>
      <xdr:row>521</xdr:row>
      <xdr:rowOff>760942</xdr:rowOff>
    </xdr:to>
    <xdr:pic>
      <xdr:nvPicPr>
        <xdr:cNvPr id="1832" name="Obraz 1831">
          <a:extLst>
            <a:ext uri="{FF2B5EF4-FFF2-40B4-BE49-F238E27FC236}">
              <a16:creationId xmlns:a16="http://schemas.microsoft.com/office/drawing/2014/main" id="{D8E1A106-7770-053B-99B9-1C65F56D18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65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521</xdr:row>
      <xdr:rowOff>760942</xdr:rowOff>
    </xdr:from>
    <xdr:to>
      <xdr:col>0</xdr:col>
      <xdr:colOff>871538</xdr:colOff>
      <xdr:row>522</xdr:row>
      <xdr:rowOff>760942</xdr:rowOff>
    </xdr:to>
    <xdr:pic>
      <xdr:nvPicPr>
        <xdr:cNvPr id="1836" name="Obraz 1835">
          <a:extLst>
            <a:ext uri="{FF2B5EF4-FFF2-40B4-BE49-F238E27FC236}">
              <a16:creationId xmlns:a16="http://schemas.microsoft.com/office/drawing/2014/main" id="{DB1F69D9-8D85-F4E9-BE65-D6FF6B331F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72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522</xdr:row>
      <xdr:rowOff>760942</xdr:rowOff>
    </xdr:from>
    <xdr:to>
      <xdr:col>0</xdr:col>
      <xdr:colOff>871538</xdr:colOff>
      <xdr:row>523</xdr:row>
      <xdr:rowOff>760942</xdr:rowOff>
    </xdr:to>
    <xdr:pic>
      <xdr:nvPicPr>
        <xdr:cNvPr id="1839" name="Obraz 1838">
          <a:extLst>
            <a:ext uri="{FF2B5EF4-FFF2-40B4-BE49-F238E27FC236}">
              <a16:creationId xmlns:a16="http://schemas.microsoft.com/office/drawing/2014/main" id="{180D0AFD-6421-382E-F08B-816D6C8DA4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80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523</xdr:row>
      <xdr:rowOff>760942</xdr:rowOff>
    </xdr:from>
    <xdr:to>
      <xdr:col>0</xdr:col>
      <xdr:colOff>871538</xdr:colOff>
      <xdr:row>524</xdr:row>
      <xdr:rowOff>760942</xdr:rowOff>
    </xdr:to>
    <xdr:pic>
      <xdr:nvPicPr>
        <xdr:cNvPr id="1843" name="Obraz 1842">
          <a:extLst>
            <a:ext uri="{FF2B5EF4-FFF2-40B4-BE49-F238E27FC236}">
              <a16:creationId xmlns:a16="http://schemas.microsoft.com/office/drawing/2014/main" id="{B4F2C4C4-AC22-5E9F-9BC1-4547F54D23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88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524</xdr:row>
      <xdr:rowOff>760942</xdr:rowOff>
    </xdr:from>
    <xdr:to>
      <xdr:col>0</xdr:col>
      <xdr:colOff>871538</xdr:colOff>
      <xdr:row>525</xdr:row>
      <xdr:rowOff>760942</xdr:rowOff>
    </xdr:to>
    <xdr:pic>
      <xdr:nvPicPr>
        <xdr:cNvPr id="1846" name="Obraz 1845">
          <a:extLst>
            <a:ext uri="{FF2B5EF4-FFF2-40B4-BE49-F238E27FC236}">
              <a16:creationId xmlns:a16="http://schemas.microsoft.com/office/drawing/2014/main" id="{073D801E-2037-0A36-AA82-CB9AD84A72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3995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525</xdr:row>
      <xdr:rowOff>760942</xdr:rowOff>
    </xdr:from>
    <xdr:to>
      <xdr:col>0</xdr:col>
      <xdr:colOff>871538</xdr:colOff>
      <xdr:row>526</xdr:row>
      <xdr:rowOff>760942</xdr:rowOff>
    </xdr:to>
    <xdr:pic>
      <xdr:nvPicPr>
        <xdr:cNvPr id="1850" name="Obraz 1849">
          <a:extLst>
            <a:ext uri="{FF2B5EF4-FFF2-40B4-BE49-F238E27FC236}">
              <a16:creationId xmlns:a16="http://schemas.microsoft.com/office/drawing/2014/main" id="{A71AAD51-BADB-7175-D7B5-B6789B02EA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03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526</xdr:row>
      <xdr:rowOff>760942</xdr:rowOff>
    </xdr:from>
    <xdr:to>
      <xdr:col>0</xdr:col>
      <xdr:colOff>871538</xdr:colOff>
      <xdr:row>527</xdr:row>
      <xdr:rowOff>760942</xdr:rowOff>
    </xdr:to>
    <xdr:pic>
      <xdr:nvPicPr>
        <xdr:cNvPr id="1853" name="Obraz 1852">
          <a:extLst>
            <a:ext uri="{FF2B5EF4-FFF2-40B4-BE49-F238E27FC236}">
              <a16:creationId xmlns:a16="http://schemas.microsoft.com/office/drawing/2014/main" id="{31D5174A-DE64-579E-6BB8-BA29D6A4B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11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527</xdr:row>
      <xdr:rowOff>760942</xdr:rowOff>
    </xdr:from>
    <xdr:to>
      <xdr:col>0</xdr:col>
      <xdr:colOff>871538</xdr:colOff>
      <xdr:row>528</xdr:row>
      <xdr:rowOff>760942</xdr:rowOff>
    </xdr:to>
    <xdr:pic>
      <xdr:nvPicPr>
        <xdr:cNvPr id="1857" name="Obraz 1856">
          <a:extLst>
            <a:ext uri="{FF2B5EF4-FFF2-40B4-BE49-F238E27FC236}">
              <a16:creationId xmlns:a16="http://schemas.microsoft.com/office/drawing/2014/main" id="{D18C2017-02D7-C64E-19CD-26BB528C5E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18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528</xdr:row>
      <xdr:rowOff>760942</xdr:rowOff>
    </xdr:from>
    <xdr:to>
      <xdr:col>0</xdr:col>
      <xdr:colOff>871538</xdr:colOff>
      <xdr:row>529</xdr:row>
      <xdr:rowOff>760942</xdr:rowOff>
    </xdr:to>
    <xdr:pic>
      <xdr:nvPicPr>
        <xdr:cNvPr id="1861" name="Obraz 1860">
          <a:extLst>
            <a:ext uri="{FF2B5EF4-FFF2-40B4-BE49-F238E27FC236}">
              <a16:creationId xmlns:a16="http://schemas.microsoft.com/office/drawing/2014/main" id="{FAEEA735-9191-F97F-FB7C-8288F63C63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26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529</xdr:row>
      <xdr:rowOff>760942</xdr:rowOff>
    </xdr:from>
    <xdr:to>
      <xdr:col>0</xdr:col>
      <xdr:colOff>871538</xdr:colOff>
      <xdr:row>530</xdr:row>
      <xdr:rowOff>760942</xdr:rowOff>
    </xdr:to>
    <xdr:pic>
      <xdr:nvPicPr>
        <xdr:cNvPr id="1864" name="Obraz 1863">
          <a:extLst>
            <a:ext uri="{FF2B5EF4-FFF2-40B4-BE49-F238E27FC236}">
              <a16:creationId xmlns:a16="http://schemas.microsoft.com/office/drawing/2014/main" id="{290E8A7C-DA30-401D-3499-62EA7CDB8A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33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530</xdr:row>
      <xdr:rowOff>760942</xdr:rowOff>
    </xdr:from>
    <xdr:to>
      <xdr:col>0</xdr:col>
      <xdr:colOff>871538</xdr:colOff>
      <xdr:row>531</xdr:row>
      <xdr:rowOff>760942</xdr:rowOff>
    </xdr:to>
    <xdr:pic>
      <xdr:nvPicPr>
        <xdr:cNvPr id="1868" name="Obraz 1867">
          <a:extLst>
            <a:ext uri="{FF2B5EF4-FFF2-40B4-BE49-F238E27FC236}">
              <a16:creationId xmlns:a16="http://schemas.microsoft.com/office/drawing/2014/main" id="{E18CEE8E-8ACE-CD0E-840A-9E558F9004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41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531</xdr:row>
      <xdr:rowOff>760942</xdr:rowOff>
    </xdr:from>
    <xdr:to>
      <xdr:col>0</xdr:col>
      <xdr:colOff>871538</xdr:colOff>
      <xdr:row>532</xdr:row>
      <xdr:rowOff>760942</xdr:rowOff>
    </xdr:to>
    <xdr:pic>
      <xdr:nvPicPr>
        <xdr:cNvPr id="1871" name="Obraz 1870">
          <a:extLst>
            <a:ext uri="{FF2B5EF4-FFF2-40B4-BE49-F238E27FC236}">
              <a16:creationId xmlns:a16="http://schemas.microsoft.com/office/drawing/2014/main" id="{F0F6DE84-6678-73D9-197B-F90E05841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49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532</xdr:row>
      <xdr:rowOff>760942</xdr:rowOff>
    </xdr:from>
    <xdr:to>
      <xdr:col>0</xdr:col>
      <xdr:colOff>871538</xdr:colOff>
      <xdr:row>533</xdr:row>
      <xdr:rowOff>760942</xdr:rowOff>
    </xdr:to>
    <xdr:pic>
      <xdr:nvPicPr>
        <xdr:cNvPr id="1875" name="Obraz 1874">
          <a:extLst>
            <a:ext uri="{FF2B5EF4-FFF2-40B4-BE49-F238E27FC236}">
              <a16:creationId xmlns:a16="http://schemas.microsoft.com/office/drawing/2014/main" id="{EA7B62F4-A30D-FC80-1EE4-C998AED833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56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533</xdr:row>
      <xdr:rowOff>760942</xdr:rowOff>
    </xdr:from>
    <xdr:to>
      <xdr:col>0</xdr:col>
      <xdr:colOff>871538</xdr:colOff>
      <xdr:row>534</xdr:row>
      <xdr:rowOff>760942</xdr:rowOff>
    </xdr:to>
    <xdr:pic>
      <xdr:nvPicPr>
        <xdr:cNvPr id="1879" name="Obraz 1878">
          <a:extLst>
            <a:ext uri="{FF2B5EF4-FFF2-40B4-BE49-F238E27FC236}">
              <a16:creationId xmlns:a16="http://schemas.microsoft.com/office/drawing/2014/main" id="{D844E3B4-8047-EB85-4D5C-DE67BBBE4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64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534</xdr:row>
      <xdr:rowOff>760942</xdr:rowOff>
    </xdr:from>
    <xdr:to>
      <xdr:col>0</xdr:col>
      <xdr:colOff>871538</xdr:colOff>
      <xdr:row>535</xdr:row>
      <xdr:rowOff>760942</xdr:rowOff>
    </xdr:to>
    <xdr:pic>
      <xdr:nvPicPr>
        <xdr:cNvPr id="1882" name="Obraz 1881">
          <a:extLst>
            <a:ext uri="{FF2B5EF4-FFF2-40B4-BE49-F238E27FC236}">
              <a16:creationId xmlns:a16="http://schemas.microsoft.com/office/drawing/2014/main" id="{8EB9D8DC-BE61-3D9A-0EAC-19068E6F32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72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535</xdr:row>
      <xdr:rowOff>760942</xdr:rowOff>
    </xdr:from>
    <xdr:to>
      <xdr:col>0</xdr:col>
      <xdr:colOff>871538</xdr:colOff>
      <xdr:row>536</xdr:row>
      <xdr:rowOff>760942</xdr:rowOff>
    </xdr:to>
    <xdr:pic>
      <xdr:nvPicPr>
        <xdr:cNvPr id="1886" name="Obraz 1885">
          <a:extLst>
            <a:ext uri="{FF2B5EF4-FFF2-40B4-BE49-F238E27FC236}">
              <a16:creationId xmlns:a16="http://schemas.microsoft.com/office/drawing/2014/main" id="{EEC35EF1-2EB3-684C-FB2D-FF920693F4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79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536</xdr:row>
      <xdr:rowOff>760942</xdr:rowOff>
    </xdr:from>
    <xdr:to>
      <xdr:col>0</xdr:col>
      <xdr:colOff>871538</xdr:colOff>
      <xdr:row>537</xdr:row>
      <xdr:rowOff>760942</xdr:rowOff>
    </xdr:to>
    <xdr:pic>
      <xdr:nvPicPr>
        <xdr:cNvPr id="1889" name="Obraz 1888">
          <a:extLst>
            <a:ext uri="{FF2B5EF4-FFF2-40B4-BE49-F238E27FC236}">
              <a16:creationId xmlns:a16="http://schemas.microsoft.com/office/drawing/2014/main" id="{BF592D1B-01C3-3EFB-F6EA-ADA07CBC98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87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537</xdr:row>
      <xdr:rowOff>760942</xdr:rowOff>
    </xdr:from>
    <xdr:to>
      <xdr:col>0</xdr:col>
      <xdr:colOff>871538</xdr:colOff>
      <xdr:row>538</xdr:row>
      <xdr:rowOff>760942</xdr:rowOff>
    </xdr:to>
    <xdr:pic>
      <xdr:nvPicPr>
        <xdr:cNvPr id="1893" name="Obraz 1892">
          <a:extLst>
            <a:ext uri="{FF2B5EF4-FFF2-40B4-BE49-F238E27FC236}">
              <a16:creationId xmlns:a16="http://schemas.microsoft.com/office/drawing/2014/main" id="{E33B6543-7780-8675-665E-984BEAB1E8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094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538</xdr:row>
      <xdr:rowOff>760942</xdr:rowOff>
    </xdr:from>
    <xdr:to>
      <xdr:col>0</xdr:col>
      <xdr:colOff>871538</xdr:colOff>
      <xdr:row>539</xdr:row>
      <xdr:rowOff>760942</xdr:rowOff>
    </xdr:to>
    <xdr:pic>
      <xdr:nvPicPr>
        <xdr:cNvPr id="1896" name="Obraz 1895">
          <a:extLst>
            <a:ext uri="{FF2B5EF4-FFF2-40B4-BE49-F238E27FC236}">
              <a16:creationId xmlns:a16="http://schemas.microsoft.com/office/drawing/2014/main" id="{5A251C75-168F-01C5-4B96-02463B7006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02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539</xdr:row>
      <xdr:rowOff>760942</xdr:rowOff>
    </xdr:from>
    <xdr:to>
      <xdr:col>0</xdr:col>
      <xdr:colOff>871538</xdr:colOff>
      <xdr:row>540</xdr:row>
      <xdr:rowOff>760942</xdr:rowOff>
    </xdr:to>
    <xdr:pic>
      <xdr:nvPicPr>
        <xdr:cNvPr id="1900" name="Obraz 1899">
          <a:extLst>
            <a:ext uri="{FF2B5EF4-FFF2-40B4-BE49-F238E27FC236}">
              <a16:creationId xmlns:a16="http://schemas.microsoft.com/office/drawing/2014/main" id="{E9D94F46-B7FB-D82A-27E5-AE340AAAF8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10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540</xdr:row>
      <xdr:rowOff>760942</xdr:rowOff>
    </xdr:from>
    <xdr:to>
      <xdr:col>0</xdr:col>
      <xdr:colOff>871538</xdr:colOff>
      <xdr:row>541</xdr:row>
      <xdr:rowOff>760942</xdr:rowOff>
    </xdr:to>
    <xdr:pic>
      <xdr:nvPicPr>
        <xdr:cNvPr id="1903" name="Obraz 1902">
          <a:extLst>
            <a:ext uri="{FF2B5EF4-FFF2-40B4-BE49-F238E27FC236}">
              <a16:creationId xmlns:a16="http://schemas.microsoft.com/office/drawing/2014/main" id="{342465B5-38F9-C267-AA75-B043ECB196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17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541</xdr:row>
      <xdr:rowOff>760942</xdr:rowOff>
    </xdr:from>
    <xdr:to>
      <xdr:col>0</xdr:col>
      <xdr:colOff>871538</xdr:colOff>
      <xdr:row>542</xdr:row>
      <xdr:rowOff>760942</xdr:rowOff>
    </xdr:to>
    <xdr:pic>
      <xdr:nvPicPr>
        <xdr:cNvPr id="1906" name="Obraz 1905">
          <a:extLst>
            <a:ext uri="{FF2B5EF4-FFF2-40B4-BE49-F238E27FC236}">
              <a16:creationId xmlns:a16="http://schemas.microsoft.com/office/drawing/2014/main" id="{C59F3E23-03D5-3518-C55C-A5F71FADC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25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542</xdr:row>
      <xdr:rowOff>760942</xdr:rowOff>
    </xdr:from>
    <xdr:to>
      <xdr:col>0</xdr:col>
      <xdr:colOff>871538</xdr:colOff>
      <xdr:row>543</xdr:row>
      <xdr:rowOff>760942</xdr:rowOff>
    </xdr:to>
    <xdr:pic>
      <xdr:nvPicPr>
        <xdr:cNvPr id="1910" name="Obraz 1909">
          <a:extLst>
            <a:ext uri="{FF2B5EF4-FFF2-40B4-BE49-F238E27FC236}">
              <a16:creationId xmlns:a16="http://schemas.microsoft.com/office/drawing/2014/main" id="{8849B96B-1773-9109-1401-891485B88B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32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543</xdr:row>
      <xdr:rowOff>760942</xdr:rowOff>
    </xdr:from>
    <xdr:to>
      <xdr:col>0</xdr:col>
      <xdr:colOff>871538</xdr:colOff>
      <xdr:row>544</xdr:row>
      <xdr:rowOff>760942</xdr:rowOff>
    </xdr:to>
    <xdr:pic>
      <xdr:nvPicPr>
        <xdr:cNvPr id="1913" name="Obraz 1912">
          <a:extLst>
            <a:ext uri="{FF2B5EF4-FFF2-40B4-BE49-F238E27FC236}">
              <a16:creationId xmlns:a16="http://schemas.microsoft.com/office/drawing/2014/main" id="{4D44D131-4D47-54F5-FEE7-CB41A402F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40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544</xdr:row>
      <xdr:rowOff>760942</xdr:rowOff>
    </xdr:from>
    <xdr:to>
      <xdr:col>0</xdr:col>
      <xdr:colOff>871538</xdr:colOff>
      <xdr:row>545</xdr:row>
      <xdr:rowOff>760942</xdr:rowOff>
    </xdr:to>
    <xdr:pic>
      <xdr:nvPicPr>
        <xdr:cNvPr id="1916" name="Obraz 1915">
          <a:extLst>
            <a:ext uri="{FF2B5EF4-FFF2-40B4-BE49-F238E27FC236}">
              <a16:creationId xmlns:a16="http://schemas.microsoft.com/office/drawing/2014/main" id="{7B798E93-1659-4291-9124-47E8A8A1E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48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545</xdr:row>
      <xdr:rowOff>760942</xdr:rowOff>
    </xdr:from>
    <xdr:to>
      <xdr:col>0</xdr:col>
      <xdr:colOff>871538</xdr:colOff>
      <xdr:row>546</xdr:row>
      <xdr:rowOff>760942</xdr:rowOff>
    </xdr:to>
    <xdr:pic>
      <xdr:nvPicPr>
        <xdr:cNvPr id="1919" name="Obraz 1918">
          <a:extLst>
            <a:ext uri="{FF2B5EF4-FFF2-40B4-BE49-F238E27FC236}">
              <a16:creationId xmlns:a16="http://schemas.microsoft.com/office/drawing/2014/main" id="{7899A54D-D5D1-A9C9-5692-09EA77587F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55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546</xdr:row>
      <xdr:rowOff>760942</xdr:rowOff>
    </xdr:from>
    <xdr:to>
      <xdr:col>0</xdr:col>
      <xdr:colOff>871538</xdr:colOff>
      <xdr:row>547</xdr:row>
      <xdr:rowOff>760942</xdr:rowOff>
    </xdr:to>
    <xdr:pic>
      <xdr:nvPicPr>
        <xdr:cNvPr id="1922" name="Obraz 1921">
          <a:extLst>
            <a:ext uri="{FF2B5EF4-FFF2-40B4-BE49-F238E27FC236}">
              <a16:creationId xmlns:a16="http://schemas.microsoft.com/office/drawing/2014/main" id="{FC9BEB76-46AD-C2F7-2FD0-ADE215C37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63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547</xdr:row>
      <xdr:rowOff>760942</xdr:rowOff>
    </xdr:from>
    <xdr:to>
      <xdr:col>0</xdr:col>
      <xdr:colOff>871538</xdr:colOff>
      <xdr:row>548</xdr:row>
      <xdr:rowOff>760942</xdr:rowOff>
    </xdr:to>
    <xdr:pic>
      <xdr:nvPicPr>
        <xdr:cNvPr id="1926" name="Obraz 1925">
          <a:extLst>
            <a:ext uri="{FF2B5EF4-FFF2-40B4-BE49-F238E27FC236}">
              <a16:creationId xmlns:a16="http://schemas.microsoft.com/office/drawing/2014/main" id="{C6BF15AF-7241-3351-1598-01855FBC3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71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548</xdr:row>
      <xdr:rowOff>760942</xdr:rowOff>
    </xdr:from>
    <xdr:to>
      <xdr:col>0</xdr:col>
      <xdr:colOff>871538</xdr:colOff>
      <xdr:row>549</xdr:row>
      <xdr:rowOff>760942</xdr:rowOff>
    </xdr:to>
    <xdr:pic>
      <xdr:nvPicPr>
        <xdr:cNvPr id="1929" name="Obraz 1928">
          <a:extLst>
            <a:ext uri="{FF2B5EF4-FFF2-40B4-BE49-F238E27FC236}">
              <a16:creationId xmlns:a16="http://schemas.microsoft.com/office/drawing/2014/main" id="{F7A290AD-C481-51CC-E35F-27D2F872A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78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549</xdr:row>
      <xdr:rowOff>760942</xdr:rowOff>
    </xdr:from>
    <xdr:to>
      <xdr:col>0</xdr:col>
      <xdr:colOff>871538</xdr:colOff>
      <xdr:row>550</xdr:row>
      <xdr:rowOff>760942</xdr:rowOff>
    </xdr:to>
    <xdr:pic>
      <xdr:nvPicPr>
        <xdr:cNvPr id="1932" name="Obraz 1931">
          <a:extLst>
            <a:ext uri="{FF2B5EF4-FFF2-40B4-BE49-F238E27FC236}">
              <a16:creationId xmlns:a16="http://schemas.microsoft.com/office/drawing/2014/main" id="{207544B3-CC34-9F66-87D8-B2FDFF62AC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86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550</xdr:row>
      <xdr:rowOff>760942</xdr:rowOff>
    </xdr:from>
    <xdr:to>
      <xdr:col>0</xdr:col>
      <xdr:colOff>871538</xdr:colOff>
      <xdr:row>551</xdr:row>
      <xdr:rowOff>760942</xdr:rowOff>
    </xdr:to>
    <xdr:pic>
      <xdr:nvPicPr>
        <xdr:cNvPr id="1935" name="Obraz 1934">
          <a:extLst>
            <a:ext uri="{FF2B5EF4-FFF2-40B4-BE49-F238E27FC236}">
              <a16:creationId xmlns:a16="http://schemas.microsoft.com/office/drawing/2014/main" id="{451C1BCF-86CC-4295-E60F-018D6CF755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193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551</xdr:row>
      <xdr:rowOff>760942</xdr:rowOff>
    </xdr:from>
    <xdr:to>
      <xdr:col>0</xdr:col>
      <xdr:colOff>871538</xdr:colOff>
      <xdr:row>552</xdr:row>
      <xdr:rowOff>760942</xdr:rowOff>
    </xdr:to>
    <xdr:pic>
      <xdr:nvPicPr>
        <xdr:cNvPr id="1938" name="Obraz 1937">
          <a:extLst>
            <a:ext uri="{FF2B5EF4-FFF2-40B4-BE49-F238E27FC236}">
              <a16:creationId xmlns:a16="http://schemas.microsoft.com/office/drawing/2014/main" id="{D1800452-C232-EB2E-FFA3-F0B9BB8DE8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01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552</xdr:row>
      <xdr:rowOff>760942</xdr:rowOff>
    </xdr:from>
    <xdr:to>
      <xdr:col>0</xdr:col>
      <xdr:colOff>871538</xdr:colOff>
      <xdr:row>553</xdr:row>
      <xdr:rowOff>760942</xdr:rowOff>
    </xdr:to>
    <xdr:pic>
      <xdr:nvPicPr>
        <xdr:cNvPr id="1942" name="Obraz 1941">
          <a:extLst>
            <a:ext uri="{FF2B5EF4-FFF2-40B4-BE49-F238E27FC236}">
              <a16:creationId xmlns:a16="http://schemas.microsoft.com/office/drawing/2014/main" id="{085020FE-76B2-3CF9-8127-C522A60ECD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09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553</xdr:row>
      <xdr:rowOff>760942</xdr:rowOff>
    </xdr:from>
    <xdr:to>
      <xdr:col>0</xdr:col>
      <xdr:colOff>871538</xdr:colOff>
      <xdr:row>554</xdr:row>
      <xdr:rowOff>760942</xdr:rowOff>
    </xdr:to>
    <xdr:pic>
      <xdr:nvPicPr>
        <xdr:cNvPr id="1945" name="Obraz 1944">
          <a:extLst>
            <a:ext uri="{FF2B5EF4-FFF2-40B4-BE49-F238E27FC236}">
              <a16:creationId xmlns:a16="http://schemas.microsoft.com/office/drawing/2014/main" id="{D39DF594-C8F2-750A-78BF-EBB11F3BD0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16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554</xdr:row>
      <xdr:rowOff>760942</xdr:rowOff>
    </xdr:from>
    <xdr:to>
      <xdr:col>0</xdr:col>
      <xdr:colOff>871538</xdr:colOff>
      <xdr:row>555</xdr:row>
      <xdr:rowOff>760942</xdr:rowOff>
    </xdr:to>
    <xdr:pic>
      <xdr:nvPicPr>
        <xdr:cNvPr id="1948" name="Obraz 1947">
          <a:extLst>
            <a:ext uri="{FF2B5EF4-FFF2-40B4-BE49-F238E27FC236}">
              <a16:creationId xmlns:a16="http://schemas.microsoft.com/office/drawing/2014/main" id="{02E26985-2BC3-CD91-53DF-39BD4345BB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24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555</xdr:row>
      <xdr:rowOff>760942</xdr:rowOff>
    </xdr:from>
    <xdr:to>
      <xdr:col>0</xdr:col>
      <xdr:colOff>871538</xdr:colOff>
      <xdr:row>556</xdr:row>
      <xdr:rowOff>760942</xdr:rowOff>
    </xdr:to>
    <xdr:pic>
      <xdr:nvPicPr>
        <xdr:cNvPr id="1951" name="Obraz 1950">
          <a:extLst>
            <a:ext uri="{FF2B5EF4-FFF2-40B4-BE49-F238E27FC236}">
              <a16:creationId xmlns:a16="http://schemas.microsoft.com/office/drawing/2014/main" id="{4828E6DF-D4C6-444F-7DB7-4D7DC8AD91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32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556</xdr:row>
      <xdr:rowOff>760942</xdr:rowOff>
    </xdr:from>
    <xdr:to>
      <xdr:col>0</xdr:col>
      <xdr:colOff>871538</xdr:colOff>
      <xdr:row>557</xdr:row>
      <xdr:rowOff>760942</xdr:rowOff>
    </xdr:to>
    <xdr:pic>
      <xdr:nvPicPr>
        <xdr:cNvPr id="1954" name="Obraz 1953">
          <a:extLst>
            <a:ext uri="{FF2B5EF4-FFF2-40B4-BE49-F238E27FC236}">
              <a16:creationId xmlns:a16="http://schemas.microsoft.com/office/drawing/2014/main" id="{AE616205-602D-C567-A64C-11690EEF86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39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557</xdr:row>
      <xdr:rowOff>760942</xdr:rowOff>
    </xdr:from>
    <xdr:to>
      <xdr:col>0</xdr:col>
      <xdr:colOff>871538</xdr:colOff>
      <xdr:row>558</xdr:row>
      <xdr:rowOff>760942</xdr:rowOff>
    </xdr:to>
    <xdr:pic>
      <xdr:nvPicPr>
        <xdr:cNvPr id="1958" name="Obraz 1957">
          <a:extLst>
            <a:ext uri="{FF2B5EF4-FFF2-40B4-BE49-F238E27FC236}">
              <a16:creationId xmlns:a16="http://schemas.microsoft.com/office/drawing/2014/main" id="{3A5DFBF3-F6D1-535B-F7DD-942DCDB206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47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558</xdr:row>
      <xdr:rowOff>760942</xdr:rowOff>
    </xdr:from>
    <xdr:to>
      <xdr:col>0</xdr:col>
      <xdr:colOff>871538</xdr:colOff>
      <xdr:row>559</xdr:row>
      <xdr:rowOff>760942</xdr:rowOff>
    </xdr:to>
    <xdr:pic>
      <xdr:nvPicPr>
        <xdr:cNvPr id="1961" name="Obraz 1960">
          <a:extLst>
            <a:ext uri="{FF2B5EF4-FFF2-40B4-BE49-F238E27FC236}">
              <a16:creationId xmlns:a16="http://schemas.microsoft.com/office/drawing/2014/main" id="{505EC43D-F6A5-EA01-BA62-FE112D44DC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54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559</xdr:row>
      <xdr:rowOff>760942</xdr:rowOff>
    </xdr:from>
    <xdr:to>
      <xdr:col>0</xdr:col>
      <xdr:colOff>871538</xdr:colOff>
      <xdr:row>560</xdr:row>
      <xdr:rowOff>760942</xdr:rowOff>
    </xdr:to>
    <xdr:pic>
      <xdr:nvPicPr>
        <xdr:cNvPr id="1964" name="Obraz 1963">
          <a:extLst>
            <a:ext uri="{FF2B5EF4-FFF2-40B4-BE49-F238E27FC236}">
              <a16:creationId xmlns:a16="http://schemas.microsoft.com/office/drawing/2014/main" id="{5DA42177-5C44-5B15-9BB2-C4CDF8E2A4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62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560</xdr:row>
      <xdr:rowOff>760942</xdr:rowOff>
    </xdr:from>
    <xdr:to>
      <xdr:col>0</xdr:col>
      <xdr:colOff>871538</xdr:colOff>
      <xdr:row>561</xdr:row>
      <xdr:rowOff>760942</xdr:rowOff>
    </xdr:to>
    <xdr:pic>
      <xdr:nvPicPr>
        <xdr:cNvPr id="1967" name="Obraz 1966">
          <a:extLst>
            <a:ext uri="{FF2B5EF4-FFF2-40B4-BE49-F238E27FC236}">
              <a16:creationId xmlns:a16="http://schemas.microsoft.com/office/drawing/2014/main" id="{BEDB31A6-277B-B66E-E893-36BA0B6B9F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70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561</xdr:row>
      <xdr:rowOff>760942</xdr:rowOff>
    </xdr:from>
    <xdr:to>
      <xdr:col>0</xdr:col>
      <xdr:colOff>871538</xdr:colOff>
      <xdr:row>562</xdr:row>
      <xdr:rowOff>760942</xdr:rowOff>
    </xdr:to>
    <xdr:pic>
      <xdr:nvPicPr>
        <xdr:cNvPr id="1970" name="Obraz 1969">
          <a:extLst>
            <a:ext uri="{FF2B5EF4-FFF2-40B4-BE49-F238E27FC236}">
              <a16:creationId xmlns:a16="http://schemas.microsoft.com/office/drawing/2014/main" id="{46EB254F-002E-E81D-D368-9CA0612FF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77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562</xdr:row>
      <xdr:rowOff>760942</xdr:rowOff>
    </xdr:from>
    <xdr:to>
      <xdr:col>0</xdr:col>
      <xdr:colOff>871538</xdr:colOff>
      <xdr:row>563</xdr:row>
      <xdr:rowOff>760942</xdr:rowOff>
    </xdr:to>
    <xdr:pic>
      <xdr:nvPicPr>
        <xdr:cNvPr id="1974" name="Obraz 1973">
          <a:extLst>
            <a:ext uri="{FF2B5EF4-FFF2-40B4-BE49-F238E27FC236}">
              <a16:creationId xmlns:a16="http://schemas.microsoft.com/office/drawing/2014/main" id="{99DB48A9-ACCF-DEA1-280C-D8BFBC58E2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85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563</xdr:row>
      <xdr:rowOff>760942</xdr:rowOff>
    </xdr:from>
    <xdr:to>
      <xdr:col>0</xdr:col>
      <xdr:colOff>871538</xdr:colOff>
      <xdr:row>564</xdr:row>
      <xdr:rowOff>760942</xdr:rowOff>
    </xdr:to>
    <xdr:pic>
      <xdr:nvPicPr>
        <xdr:cNvPr id="1977" name="Obraz 1976">
          <a:extLst>
            <a:ext uri="{FF2B5EF4-FFF2-40B4-BE49-F238E27FC236}">
              <a16:creationId xmlns:a16="http://schemas.microsoft.com/office/drawing/2014/main" id="{DD223F55-F182-7AE3-496D-CA20CCE3C7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293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564</xdr:row>
      <xdr:rowOff>760942</xdr:rowOff>
    </xdr:from>
    <xdr:to>
      <xdr:col>0</xdr:col>
      <xdr:colOff>871538</xdr:colOff>
      <xdr:row>565</xdr:row>
      <xdr:rowOff>760942</xdr:rowOff>
    </xdr:to>
    <xdr:pic>
      <xdr:nvPicPr>
        <xdr:cNvPr id="1980" name="Obraz 1979">
          <a:extLst>
            <a:ext uri="{FF2B5EF4-FFF2-40B4-BE49-F238E27FC236}">
              <a16:creationId xmlns:a16="http://schemas.microsoft.com/office/drawing/2014/main" id="{B9B8F54C-B77D-5396-9AC3-04EB9D6E33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00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565</xdr:row>
      <xdr:rowOff>760942</xdr:rowOff>
    </xdr:from>
    <xdr:to>
      <xdr:col>0</xdr:col>
      <xdr:colOff>871538</xdr:colOff>
      <xdr:row>566</xdr:row>
      <xdr:rowOff>760942</xdr:rowOff>
    </xdr:to>
    <xdr:pic>
      <xdr:nvPicPr>
        <xdr:cNvPr id="1983" name="Obraz 1982">
          <a:extLst>
            <a:ext uri="{FF2B5EF4-FFF2-40B4-BE49-F238E27FC236}">
              <a16:creationId xmlns:a16="http://schemas.microsoft.com/office/drawing/2014/main" id="{05745687-8FFA-BF0C-4A3B-47776ECF8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08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566</xdr:row>
      <xdr:rowOff>760942</xdr:rowOff>
    </xdr:from>
    <xdr:to>
      <xdr:col>0</xdr:col>
      <xdr:colOff>871538</xdr:colOff>
      <xdr:row>567</xdr:row>
      <xdr:rowOff>760942</xdr:rowOff>
    </xdr:to>
    <xdr:pic>
      <xdr:nvPicPr>
        <xdr:cNvPr id="1986" name="Obraz 1985">
          <a:extLst>
            <a:ext uri="{FF2B5EF4-FFF2-40B4-BE49-F238E27FC236}">
              <a16:creationId xmlns:a16="http://schemas.microsoft.com/office/drawing/2014/main" id="{41E4DF11-18A0-B7C8-3403-D8899BD710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15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567</xdr:row>
      <xdr:rowOff>760942</xdr:rowOff>
    </xdr:from>
    <xdr:to>
      <xdr:col>0</xdr:col>
      <xdr:colOff>871538</xdr:colOff>
      <xdr:row>568</xdr:row>
      <xdr:rowOff>760942</xdr:rowOff>
    </xdr:to>
    <xdr:pic>
      <xdr:nvPicPr>
        <xdr:cNvPr id="1990" name="Obraz 1989">
          <a:extLst>
            <a:ext uri="{FF2B5EF4-FFF2-40B4-BE49-F238E27FC236}">
              <a16:creationId xmlns:a16="http://schemas.microsoft.com/office/drawing/2014/main" id="{EE63669F-0933-7F1C-05F1-511B2E536C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23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568</xdr:row>
      <xdr:rowOff>760942</xdr:rowOff>
    </xdr:from>
    <xdr:to>
      <xdr:col>0</xdr:col>
      <xdr:colOff>871538</xdr:colOff>
      <xdr:row>569</xdr:row>
      <xdr:rowOff>760942</xdr:rowOff>
    </xdr:to>
    <xdr:pic>
      <xdr:nvPicPr>
        <xdr:cNvPr id="1993" name="Obraz 1992">
          <a:extLst>
            <a:ext uri="{FF2B5EF4-FFF2-40B4-BE49-F238E27FC236}">
              <a16:creationId xmlns:a16="http://schemas.microsoft.com/office/drawing/2014/main" id="{7A53B3AB-47CD-A36F-8DC7-B8C50D1610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31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569</xdr:row>
      <xdr:rowOff>760942</xdr:rowOff>
    </xdr:from>
    <xdr:to>
      <xdr:col>0</xdr:col>
      <xdr:colOff>871538</xdr:colOff>
      <xdr:row>570</xdr:row>
      <xdr:rowOff>760942</xdr:rowOff>
    </xdr:to>
    <xdr:pic>
      <xdr:nvPicPr>
        <xdr:cNvPr id="1996" name="Obraz 1995">
          <a:extLst>
            <a:ext uri="{FF2B5EF4-FFF2-40B4-BE49-F238E27FC236}">
              <a16:creationId xmlns:a16="http://schemas.microsoft.com/office/drawing/2014/main" id="{8AD52CC3-93BD-30CD-CB09-405A1F3E0A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38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570</xdr:row>
      <xdr:rowOff>760942</xdr:rowOff>
    </xdr:from>
    <xdr:to>
      <xdr:col>0</xdr:col>
      <xdr:colOff>871538</xdr:colOff>
      <xdr:row>571</xdr:row>
      <xdr:rowOff>760942</xdr:rowOff>
    </xdr:to>
    <xdr:pic>
      <xdr:nvPicPr>
        <xdr:cNvPr id="1999" name="Obraz 1998">
          <a:extLst>
            <a:ext uri="{FF2B5EF4-FFF2-40B4-BE49-F238E27FC236}">
              <a16:creationId xmlns:a16="http://schemas.microsoft.com/office/drawing/2014/main" id="{06E8B151-9A92-3D54-990C-EE0ACFC84D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46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571</xdr:row>
      <xdr:rowOff>760942</xdr:rowOff>
    </xdr:from>
    <xdr:to>
      <xdr:col>0</xdr:col>
      <xdr:colOff>871538</xdr:colOff>
      <xdr:row>572</xdr:row>
      <xdr:rowOff>760942</xdr:rowOff>
    </xdr:to>
    <xdr:pic>
      <xdr:nvPicPr>
        <xdr:cNvPr id="2002" name="Obraz 2001">
          <a:extLst>
            <a:ext uri="{FF2B5EF4-FFF2-40B4-BE49-F238E27FC236}">
              <a16:creationId xmlns:a16="http://schemas.microsoft.com/office/drawing/2014/main" id="{191A5F40-BC8A-5BEE-5ABF-B4963F9D34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53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572</xdr:row>
      <xdr:rowOff>760942</xdr:rowOff>
    </xdr:from>
    <xdr:to>
      <xdr:col>0</xdr:col>
      <xdr:colOff>871538</xdr:colOff>
      <xdr:row>573</xdr:row>
      <xdr:rowOff>760942</xdr:rowOff>
    </xdr:to>
    <xdr:pic>
      <xdr:nvPicPr>
        <xdr:cNvPr id="2006" name="Obraz 2005">
          <a:extLst>
            <a:ext uri="{FF2B5EF4-FFF2-40B4-BE49-F238E27FC236}">
              <a16:creationId xmlns:a16="http://schemas.microsoft.com/office/drawing/2014/main" id="{807512E6-A7FF-B354-04A4-B47C957275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61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573</xdr:row>
      <xdr:rowOff>760942</xdr:rowOff>
    </xdr:from>
    <xdr:to>
      <xdr:col>0</xdr:col>
      <xdr:colOff>871538</xdr:colOff>
      <xdr:row>574</xdr:row>
      <xdr:rowOff>760942</xdr:rowOff>
    </xdr:to>
    <xdr:pic>
      <xdr:nvPicPr>
        <xdr:cNvPr id="2009" name="Obraz 2008">
          <a:extLst>
            <a:ext uri="{FF2B5EF4-FFF2-40B4-BE49-F238E27FC236}">
              <a16:creationId xmlns:a16="http://schemas.microsoft.com/office/drawing/2014/main" id="{EC64147C-0D10-8819-A59B-0EC9F4DD47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69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574</xdr:row>
      <xdr:rowOff>760942</xdr:rowOff>
    </xdr:from>
    <xdr:to>
      <xdr:col>0</xdr:col>
      <xdr:colOff>871538</xdr:colOff>
      <xdr:row>575</xdr:row>
      <xdr:rowOff>760942</xdr:rowOff>
    </xdr:to>
    <xdr:pic>
      <xdr:nvPicPr>
        <xdr:cNvPr id="2012" name="Obraz 2011">
          <a:extLst>
            <a:ext uri="{FF2B5EF4-FFF2-40B4-BE49-F238E27FC236}">
              <a16:creationId xmlns:a16="http://schemas.microsoft.com/office/drawing/2014/main" id="{2AE77772-02B6-7FBF-56A9-EAA55BC91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76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575</xdr:row>
      <xdr:rowOff>760942</xdr:rowOff>
    </xdr:from>
    <xdr:to>
      <xdr:col>0</xdr:col>
      <xdr:colOff>871538</xdr:colOff>
      <xdr:row>576</xdr:row>
      <xdr:rowOff>760942</xdr:rowOff>
    </xdr:to>
    <xdr:pic>
      <xdr:nvPicPr>
        <xdr:cNvPr id="2015" name="Obraz 2014">
          <a:extLst>
            <a:ext uri="{FF2B5EF4-FFF2-40B4-BE49-F238E27FC236}">
              <a16:creationId xmlns:a16="http://schemas.microsoft.com/office/drawing/2014/main" id="{2C5F6B5A-619F-7CA5-7434-2FB6F9E47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84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576</xdr:row>
      <xdr:rowOff>760942</xdr:rowOff>
    </xdr:from>
    <xdr:to>
      <xdr:col>0</xdr:col>
      <xdr:colOff>871538</xdr:colOff>
      <xdr:row>577</xdr:row>
      <xdr:rowOff>760942</xdr:rowOff>
    </xdr:to>
    <xdr:pic>
      <xdr:nvPicPr>
        <xdr:cNvPr id="2018" name="Obraz 2017">
          <a:extLst>
            <a:ext uri="{FF2B5EF4-FFF2-40B4-BE49-F238E27FC236}">
              <a16:creationId xmlns:a16="http://schemas.microsoft.com/office/drawing/2014/main" id="{8C387D95-FAB4-CD58-30B1-C05C446D5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92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577</xdr:row>
      <xdr:rowOff>760942</xdr:rowOff>
    </xdr:from>
    <xdr:to>
      <xdr:col>0</xdr:col>
      <xdr:colOff>871538</xdr:colOff>
      <xdr:row>578</xdr:row>
      <xdr:rowOff>760942</xdr:rowOff>
    </xdr:to>
    <xdr:pic>
      <xdr:nvPicPr>
        <xdr:cNvPr id="2022" name="Obraz 2021">
          <a:extLst>
            <a:ext uri="{FF2B5EF4-FFF2-40B4-BE49-F238E27FC236}">
              <a16:creationId xmlns:a16="http://schemas.microsoft.com/office/drawing/2014/main" id="{544DC613-29F8-C936-C25D-7315777644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399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578</xdr:row>
      <xdr:rowOff>760942</xdr:rowOff>
    </xdr:from>
    <xdr:to>
      <xdr:col>0</xdr:col>
      <xdr:colOff>871538</xdr:colOff>
      <xdr:row>579</xdr:row>
      <xdr:rowOff>760942</xdr:rowOff>
    </xdr:to>
    <xdr:pic>
      <xdr:nvPicPr>
        <xdr:cNvPr id="2025" name="Obraz 2024">
          <a:extLst>
            <a:ext uri="{FF2B5EF4-FFF2-40B4-BE49-F238E27FC236}">
              <a16:creationId xmlns:a16="http://schemas.microsoft.com/office/drawing/2014/main" id="{4060204E-6A0D-95BB-514D-3E29706BA0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07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579</xdr:row>
      <xdr:rowOff>760942</xdr:rowOff>
    </xdr:from>
    <xdr:to>
      <xdr:col>0</xdr:col>
      <xdr:colOff>871538</xdr:colOff>
      <xdr:row>580</xdr:row>
      <xdr:rowOff>760942</xdr:rowOff>
    </xdr:to>
    <xdr:pic>
      <xdr:nvPicPr>
        <xdr:cNvPr id="2028" name="Obraz 2027">
          <a:extLst>
            <a:ext uri="{FF2B5EF4-FFF2-40B4-BE49-F238E27FC236}">
              <a16:creationId xmlns:a16="http://schemas.microsoft.com/office/drawing/2014/main" id="{1E554DBB-12D1-5D5C-F04B-9ED6E7176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14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580</xdr:row>
      <xdr:rowOff>760942</xdr:rowOff>
    </xdr:from>
    <xdr:to>
      <xdr:col>0</xdr:col>
      <xdr:colOff>871538</xdr:colOff>
      <xdr:row>581</xdr:row>
      <xdr:rowOff>760942</xdr:rowOff>
    </xdr:to>
    <xdr:pic>
      <xdr:nvPicPr>
        <xdr:cNvPr id="2031" name="Obraz 2030">
          <a:extLst>
            <a:ext uri="{FF2B5EF4-FFF2-40B4-BE49-F238E27FC236}">
              <a16:creationId xmlns:a16="http://schemas.microsoft.com/office/drawing/2014/main" id="{CE23BCEF-A0C1-818D-F5B0-12B4E07D68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22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581</xdr:row>
      <xdr:rowOff>760942</xdr:rowOff>
    </xdr:from>
    <xdr:to>
      <xdr:col>0</xdr:col>
      <xdr:colOff>871538</xdr:colOff>
      <xdr:row>582</xdr:row>
      <xdr:rowOff>760942</xdr:rowOff>
    </xdr:to>
    <xdr:pic>
      <xdr:nvPicPr>
        <xdr:cNvPr id="2034" name="Obraz 2033">
          <a:extLst>
            <a:ext uri="{FF2B5EF4-FFF2-40B4-BE49-F238E27FC236}">
              <a16:creationId xmlns:a16="http://schemas.microsoft.com/office/drawing/2014/main" id="{15A9D482-2B4C-FA94-5E7C-C7E574E2A7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30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582</xdr:row>
      <xdr:rowOff>760942</xdr:rowOff>
    </xdr:from>
    <xdr:to>
      <xdr:col>0</xdr:col>
      <xdr:colOff>871538</xdr:colOff>
      <xdr:row>583</xdr:row>
      <xdr:rowOff>760942</xdr:rowOff>
    </xdr:to>
    <xdr:pic>
      <xdr:nvPicPr>
        <xdr:cNvPr id="2038" name="Obraz 2037">
          <a:extLst>
            <a:ext uri="{FF2B5EF4-FFF2-40B4-BE49-F238E27FC236}">
              <a16:creationId xmlns:a16="http://schemas.microsoft.com/office/drawing/2014/main" id="{A9D03ECE-B58D-B5FB-C432-26A334DC74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37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583</xdr:row>
      <xdr:rowOff>760942</xdr:rowOff>
    </xdr:from>
    <xdr:to>
      <xdr:col>0</xdr:col>
      <xdr:colOff>871538</xdr:colOff>
      <xdr:row>584</xdr:row>
      <xdr:rowOff>760942</xdr:rowOff>
    </xdr:to>
    <xdr:pic>
      <xdr:nvPicPr>
        <xdr:cNvPr id="2041" name="Obraz 2040">
          <a:extLst>
            <a:ext uri="{FF2B5EF4-FFF2-40B4-BE49-F238E27FC236}">
              <a16:creationId xmlns:a16="http://schemas.microsoft.com/office/drawing/2014/main" id="{9955C2C1-4C70-D20A-2C08-32ACF3E266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45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584</xdr:row>
      <xdr:rowOff>760942</xdr:rowOff>
    </xdr:from>
    <xdr:to>
      <xdr:col>0</xdr:col>
      <xdr:colOff>871538</xdr:colOff>
      <xdr:row>585</xdr:row>
      <xdr:rowOff>760942</xdr:rowOff>
    </xdr:to>
    <xdr:pic>
      <xdr:nvPicPr>
        <xdr:cNvPr id="2044" name="Obraz 2043">
          <a:extLst>
            <a:ext uri="{FF2B5EF4-FFF2-40B4-BE49-F238E27FC236}">
              <a16:creationId xmlns:a16="http://schemas.microsoft.com/office/drawing/2014/main" id="{73A28930-48B2-4521-40A0-545E3F365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53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585</xdr:row>
      <xdr:rowOff>760942</xdr:rowOff>
    </xdr:from>
    <xdr:to>
      <xdr:col>0</xdr:col>
      <xdr:colOff>871538</xdr:colOff>
      <xdr:row>586</xdr:row>
      <xdr:rowOff>760942</xdr:rowOff>
    </xdr:to>
    <xdr:pic>
      <xdr:nvPicPr>
        <xdr:cNvPr id="2047" name="Obraz 2046">
          <a:extLst>
            <a:ext uri="{FF2B5EF4-FFF2-40B4-BE49-F238E27FC236}">
              <a16:creationId xmlns:a16="http://schemas.microsoft.com/office/drawing/2014/main" id="{797C4BD7-66A0-0862-1F0A-4F7AAFF1C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60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586</xdr:row>
      <xdr:rowOff>760942</xdr:rowOff>
    </xdr:from>
    <xdr:to>
      <xdr:col>0</xdr:col>
      <xdr:colOff>871538</xdr:colOff>
      <xdr:row>587</xdr:row>
      <xdr:rowOff>760942</xdr:rowOff>
    </xdr:to>
    <xdr:pic>
      <xdr:nvPicPr>
        <xdr:cNvPr id="2050" name="Obraz 2049">
          <a:extLst>
            <a:ext uri="{FF2B5EF4-FFF2-40B4-BE49-F238E27FC236}">
              <a16:creationId xmlns:a16="http://schemas.microsoft.com/office/drawing/2014/main" id="{BD3DDD3C-8C94-13BF-FBB2-1AC32B02CA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68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587</xdr:row>
      <xdr:rowOff>760942</xdr:rowOff>
    </xdr:from>
    <xdr:to>
      <xdr:col>0</xdr:col>
      <xdr:colOff>871538</xdr:colOff>
      <xdr:row>588</xdr:row>
      <xdr:rowOff>760942</xdr:rowOff>
    </xdr:to>
    <xdr:pic>
      <xdr:nvPicPr>
        <xdr:cNvPr id="2054" name="Obraz 2053">
          <a:extLst>
            <a:ext uri="{FF2B5EF4-FFF2-40B4-BE49-F238E27FC236}">
              <a16:creationId xmlns:a16="http://schemas.microsoft.com/office/drawing/2014/main" id="{DF2A89FD-F539-CB5E-BD0D-155039E1F1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75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588</xdr:row>
      <xdr:rowOff>760942</xdr:rowOff>
    </xdr:from>
    <xdr:to>
      <xdr:col>0</xdr:col>
      <xdr:colOff>871538</xdr:colOff>
      <xdr:row>589</xdr:row>
      <xdr:rowOff>760942</xdr:rowOff>
    </xdr:to>
    <xdr:pic>
      <xdr:nvPicPr>
        <xdr:cNvPr id="2057" name="Obraz 2056">
          <a:extLst>
            <a:ext uri="{FF2B5EF4-FFF2-40B4-BE49-F238E27FC236}">
              <a16:creationId xmlns:a16="http://schemas.microsoft.com/office/drawing/2014/main" id="{FD80E66C-DE5F-4A6E-D428-542849C511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83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589</xdr:row>
      <xdr:rowOff>760942</xdr:rowOff>
    </xdr:from>
    <xdr:to>
      <xdr:col>0</xdr:col>
      <xdr:colOff>871538</xdr:colOff>
      <xdr:row>590</xdr:row>
      <xdr:rowOff>760942</xdr:rowOff>
    </xdr:to>
    <xdr:pic>
      <xdr:nvPicPr>
        <xdr:cNvPr id="2060" name="Obraz 2059">
          <a:extLst>
            <a:ext uri="{FF2B5EF4-FFF2-40B4-BE49-F238E27FC236}">
              <a16:creationId xmlns:a16="http://schemas.microsoft.com/office/drawing/2014/main" id="{2D1C16A6-1FF7-9B6E-63A7-C6872E521B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91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590</xdr:row>
      <xdr:rowOff>760942</xdr:rowOff>
    </xdr:from>
    <xdr:to>
      <xdr:col>0</xdr:col>
      <xdr:colOff>871538</xdr:colOff>
      <xdr:row>591</xdr:row>
      <xdr:rowOff>760942</xdr:rowOff>
    </xdr:to>
    <xdr:pic>
      <xdr:nvPicPr>
        <xdr:cNvPr id="2063" name="Obraz 2062">
          <a:extLst>
            <a:ext uri="{FF2B5EF4-FFF2-40B4-BE49-F238E27FC236}">
              <a16:creationId xmlns:a16="http://schemas.microsoft.com/office/drawing/2014/main" id="{C1A854F9-09C2-EAC8-2694-CCCD52FE96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498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591</xdr:row>
      <xdr:rowOff>760942</xdr:rowOff>
    </xdr:from>
    <xdr:to>
      <xdr:col>0</xdr:col>
      <xdr:colOff>871538</xdr:colOff>
      <xdr:row>592</xdr:row>
      <xdr:rowOff>760942</xdr:rowOff>
    </xdr:to>
    <xdr:pic>
      <xdr:nvPicPr>
        <xdr:cNvPr id="2066" name="Obraz 2065">
          <a:extLst>
            <a:ext uri="{FF2B5EF4-FFF2-40B4-BE49-F238E27FC236}">
              <a16:creationId xmlns:a16="http://schemas.microsoft.com/office/drawing/2014/main" id="{4930CBBD-4C80-4F9B-3985-F3703FBC4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06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592</xdr:row>
      <xdr:rowOff>760942</xdr:rowOff>
    </xdr:from>
    <xdr:to>
      <xdr:col>0</xdr:col>
      <xdr:colOff>871538</xdr:colOff>
      <xdr:row>593</xdr:row>
      <xdr:rowOff>760942</xdr:rowOff>
    </xdr:to>
    <xdr:pic>
      <xdr:nvPicPr>
        <xdr:cNvPr id="2070" name="Obraz 2069">
          <a:extLst>
            <a:ext uri="{FF2B5EF4-FFF2-40B4-BE49-F238E27FC236}">
              <a16:creationId xmlns:a16="http://schemas.microsoft.com/office/drawing/2014/main" id="{3E369FAC-B8D0-F53D-EA73-CBF224FBC2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13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593</xdr:row>
      <xdr:rowOff>760942</xdr:rowOff>
    </xdr:from>
    <xdr:to>
      <xdr:col>0</xdr:col>
      <xdr:colOff>871538</xdr:colOff>
      <xdr:row>594</xdr:row>
      <xdr:rowOff>760942</xdr:rowOff>
    </xdr:to>
    <xdr:pic>
      <xdr:nvPicPr>
        <xdr:cNvPr id="2073" name="Obraz 2072">
          <a:extLst>
            <a:ext uri="{FF2B5EF4-FFF2-40B4-BE49-F238E27FC236}">
              <a16:creationId xmlns:a16="http://schemas.microsoft.com/office/drawing/2014/main" id="{DD922EA5-B2D7-2A76-EA49-8E744C347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21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594</xdr:row>
      <xdr:rowOff>760942</xdr:rowOff>
    </xdr:from>
    <xdr:to>
      <xdr:col>0</xdr:col>
      <xdr:colOff>871538</xdr:colOff>
      <xdr:row>595</xdr:row>
      <xdr:rowOff>760942</xdr:rowOff>
    </xdr:to>
    <xdr:pic>
      <xdr:nvPicPr>
        <xdr:cNvPr id="2076" name="Obraz 2075">
          <a:extLst>
            <a:ext uri="{FF2B5EF4-FFF2-40B4-BE49-F238E27FC236}">
              <a16:creationId xmlns:a16="http://schemas.microsoft.com/office/drawing/2014/main" id="{08E7FE0B-ADCB-A46C-2CDC-EC5147097D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29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595</xdr:row>
      <xdr:rowOff>760942</xdr:rowOff>
    </xdr:from>
    <xdr:to>
      <xdr:col>0</xdr:col>
      <xdr:colOff>871538</xdr:colOff>
      <xdr:row>596</xdr:row>
      <xdr:rowOff>760942</xdr:rowOff>
    </xdr:to>
    <xdr:pic>
      <xdr:nvPicPr>
        <xdr:cNvPr id="2079" name="Obraz 2078">
          <a:extLst>
            <a:ext uri="{FF2B5EF4-FFF2-40B4-BE49-F238E27FC236}">
              <a16:creationId xmlns:a16="http://schemas.microsoft.com/office/drawing/2014/main" id="{B4F7770A-C60B-9045-6825-96C97945C0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36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596</xdr:row>
      <xdr:rowOff>760942</xdr:rowOff>
    </xdr:from>
    <xdr:to>
      <xdr:col>0</xdr:col>
      <xdr:colOff>871538</xdr:colOff>
      <xdr:row>597</xdr:row>
      <xdr:rowOff>760942</xdr:rowOff>
    </xdr:to>
    <xdr:pic>
      <xdr:nvPicPr>
        <xdr:cNvPr id="2082" name="Obraz 2081">
          <a:extLst>
            <a:ext uri="{FF2B5EF4-FFF2-40B4-BE49-F238E27FC236}">
              <a16:creationId xmlns:a16="http://schemas.microsoft.com/office/drawing/2014/main" id="{64C189F6-8F80-CBBD-B20E-A879707C7F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44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597</xdr:row>
      <xdr:rowOff>760942</xdr:rowOff>
    </xdr:from>
    <xdr:to>
      <xdr:col>0</xdr:col>
      <xdr:colOff>871538</xdr:colOff>
      <xdr:row>598</xdr:row>
      <xdr:rowOff>760942</xdr:rowOff>
    </xdr:to>
    <xdr:pic>
      <xdr:nvPicPr>
        <xdr:cNvPr id="2086" name="Obraz 2085">
          <a:extLst>
            <a:ext uri="{FF2B5EF4-FFF2-40B4-BE49-F238E27FC236}">
              <a16:creationId xmlns:a16="http://schemas.microsoft.com/office/drawing/2014/main" id="{FBF03189-D9EF-E4DF-EA21-7CC695973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52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598</xdr:row>
      <xdr:rowOff>760942</xdr:rowOff>
    </xdr:from>
    <xdr:to>
      <xdr:col>0</xdr:col>
      <xdr:colOff>871538</xdr:colOff>
      <xdr:row>599</xdr:row>
      <xdr:rowOff>760942</xdr:rowOff>
    </xdr:to>
    <xdr:pic>
      <xdr:nvPicPr>
        <xdr:cNvPr id="2089" name="Obraz 2088">
          <a:extLst>
            <a:ext uri="{FF2B5EF4-FFF2-40B4-BE49-F238E27FC236}">
              <a16:creationId xmlns:a16="http://schemas.microsoft.com/office/drawing/2014/main" id="{5597F4F6-63AF-78E0-C1CA-0328698D8B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59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599</xdr:row>
      <xdr:rowOff>760942</xdr:rowOff>
    </xdr:from>
    <xdr:to>
      <xdr:col>0</xdr:col>
      <xdr:colOff>871538</xdr:colOff>
      <xdr:row>600</xdr:row>
      <xdr:rowOff>760942</xdr:rowOff>
    </xdr:to>
    <xdr:pic>
      <xdr:nvPicPr>
        <xdr:cNvPr id="2092" name="Obraz 2091">
          <a:extLst>
            <a:ext uri="{FF2B5EF4-FFF2-40B4-BE49-F238E27FC236}">
              <a16:creationId xmlns:a16="http://schemas.microsoft.com/office/drawing/2014/main" id="{7469D3E2-804F-7348-0CC9-99A7F1F325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67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600</xdr:row>
      <xdr:rowOff>760942</xdr:rowOff>
    </xdr:from>
    <xdr:to>
      <xdr:col>0</xdr:col>
      <xdr:colOff>871538</xdr:colOff>
      <xdr:row>601</xdr:row>
      <xdr:rowOff>760942</xdr:rowOff>
    </xdr:to>
    <xdr:pic>
      <xdr:nvPicPr>
        <xdr:cNvPr id="2095" name="Obraz 2094">
          <a:extLst>
            <a:ext uri="{FF2B5EF4-FFF2-40B4-BE49-F238E27FC236}">
              <a16:creationId xmlns:a16="http://schemas.microsoft.com/office/drawing/2014/main" id="{2CDA2802-5EA3-8EE2-E852-4CD010B75F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74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601</xdr:row>
      <xdr:rowOff>760942</xdr:rowOff>
    </xdr:from>
    <xdr:to>
      <xdr:col>0</xdr:col>
      <xdr:colOff>871538</xdr:colOff>
      <xdr:row>602</xdr:row>
      <xdr:rowOff>760942</xdr:rowOff>
    </xdr:to>
    <xdr:pic>
      <xdr:nvPicPr>
        <xdr:cNvPr id="2098" name="Obraz 2097">
          <a:extLst>
            <a:ext uri="{FF2B5EF4-FFF2-40B4-BE49-F238E27FC236}">
              <a16:creationId xmlns:a16="http://schemas.microsoft.com/office/drawing/2014/main" id="{CA799FE7-369A-B124-922E-B73561656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82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602</xdr:row>
      <xdr:rowOff>760942</xdr:rowOff>
    </xdr:from>
    <xdr:to>
      <xdr:col>0</xdr:col>
      <xdr:colOff>871538</xdr:colOff>
      <xdr:row>603</xdr:row>
      <xdr:rowOff>760942</xdr:rowOff>
    </xdr:to>
    <xdr:pic>
      <xdr:nvPicPr>
        <xdr:cNvPr id="2102" name="Obraz 2101">
          <a:extLst>
            <a:ext uri="{FF2B5EF4-FFF2-40B4-BE49-F238E27FC236}">
              <a16:creationId xmlns:a16="http://schemas.microsoft.com/office/drawing/2014/main" id="{D9BA7189-0C14-101D-64F8-B8C8896B8E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90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603</xdr:row>
      <xdr:rowOff>760942</xdr:rowOff>
    </xdr:from>
    <xdr:to>
      <xdr:col>0</xdr:col>
      <xdr:colOff>871538</xdr:colOff>
      <xdr:row>604</xdr:row>
      <xdr:rowOff>760942</xdr:rowOff>
    </xdr:to>
    <xdr:pic>
      <xdr:nvPicPr>
        <xdr:cNvPr id="2105" name="Obraz 2104">
          <a:extLst>
            <a:ext uri="{FF2B5EF4-FFF2-40B4-BE49-F238E27FC236}">
              <a16:creationId xmlns:a16="http://schemas.microsoft.com/office/drawing/2014/main" id="{AF63CA0A-3616-B3F3-3C0C-09502BFEF7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597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604</xdr:row>
      <xdr:rowOff>760942</xdr:rowOff>
    </xdr:from>
    <xdr:to>
      <xdr:col>0</xdr:col>
      <xdr:colOff>871538</xdr:colOff>
      <xdr:row>605</xdr:row>
      <xdr:rowOff>760942</xdr:rowOff>
    </xdr:to>
    <xdr:pic>
      <xdr:nvPicPr>
        <xdr:cNvPr id="2108" name="Obraz 2107">
          <a:extLst>
            <a:ext uri="{FF2B5EF4-FFF2-40B4-BE49-F238E27FC236}">
              <a16:creationId xmlns:a16="http://schemas.microsoft.com/office/drawing/2014/main" id="{05D95A6F-9749-64B0-E13A-4FA422858C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05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605</xdr:row>
      <xdr:rowOff>760942</xdr:rowOff>
    </xdr:from>
    <xdr:to>
      <xdr:col>0</xdr:col>
      <xdr:colOff>871538</xdr:colOff>
      <xdr:row>606</xdr:row>
      <xdr:rowOff>760942</xdr:rowOff>
    </xdr:to>
    <xdr:pic>
      <xdr:nvPicPr>
        <xdr:cNvPr id="2111" name="Obraz 2110">
          <a:extLst>
            <a:ext uri="{FF2B5EF4-FFF2-40B4-BE49-F238E27FC236}">
              <a16:creationId xmlns:a16="http://schemas.microsoft.com/office/drawing/2014/main" id="{97774C7D-10D9-3DAC-D144-A854ABEF0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13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606</xdr:row>
      <xdr:rowOff>760942</xdr:rowOff>
    </xdr:from>
    <xdr:to>
      <xdr:col>0</xdr:col>
      <xdr:colOff>871538</xdr:colOff>
      <xdr:row>607</xdr:row>
      <xdr:rowOff>760942</xdr:rowOff>
    </xdr:to>
    <xdr:pic>
      <xdr:nvPicPr>
        <xdr:cNvPr id="2114" name="Obraz 2113">
          <a:extLst>
            <a:ext uri="{FF2B5EF4-FFF2-40B4-BE49-F238E27FC236}">
              <a16:creationId xmlns:a16="http://schemas.microsoft.com/office/drawing/2014/main" id="{D5E4FEDD-1010-797C-6500-52D18FCF17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20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607</xdr:row>
      <xdr:rowOff>760942</xdr:rowOff>
    </xdr:from>
    <xdr:to>
      <xdr:col>0</xdr:col>
      <xdr:colOff>871538</xdr:colOff>
      <xdr:row>608</xdr:row>
      <xdr:rowOff>760942</xdr:rowOff>
    </xdr:to>
    <xdr:pic>
      <xdr:nvPicPr>
        <xdr:cNvPr id="2118" name="Obraz 2117">
          <a:extLst>
            <a:ext uri="{FF2B5EF4-FFF2-40B4-BE49-F238E27FC236}">
              <a16:creationId xmlns:a16="http://schemas.microsoft.com/office/drawing/2014/main" id="{D2B0E147-95EF-2B0E-AF52-984AF4F14B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28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608</xdr:row>
      <xdr:rowOff>760942</xdr:rowOff>
    </xdr:from>
    <xdr:to>
      <xdr:col>0</xdr:col>
      <xdr:colOff>871538</xdr:colOff>
      <xdr:row>609</xdr:row>
      <xdr:rowOff>760942</xdr:rowOff>
    </xdr:to>
    <xdr:pic>
      <xdr:nvPicPr>
        <xdr:cNvPr id="2121" name="Obraz 2120">
          <a:extLst>
            <a:ext uri="{FF2B5EF4-FFF2-40B4-BE49-F238E27FC236}">
              <a16:creationId xmlns:a16="http://schemas.microsoft.com/office/drawing/2014/main" id="{D3CA9284-7530-6CA2-8AC0-83CDABB194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35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609</xdr:row>
      <xdr:rowOff>760942</xdr:rowOff>
    </xdr:from>
    <xdr:to>
      <xdr:col>0</xdr:col>
      <xdr:colOff>871538</xdr:colOff>
      <xdr:row>610</xdr:row>
      <xdr:rowOff>760942</xdr:rowOff>
    </xdr:to>
    <xdr:pic>
      <xdr:nvPicPr>
        <xdr:cNvPr id="2124" name="Obraz 2123">
          <a:extLst>
            <a:ext uri="{FF2B5EF4-FFF2-40B4-BE49-F238E27FC236}">
              <a16:creationId xmlns:a16="http://schemas.microsoft.com/office/drawing/2014/main" id="{46C75187-000C-ECF4-E3AB-58EBC4DDB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43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610</xdr:row>
      <xdr:rowOff>760942</xdr:rowOff>
    </xdr:from>
    <xdr:to>
      <xdr:col>0</xdr:col>
      <xdr:colOff>871538</xdr:colOff>
      <xdr:row>611</xdr:row>
      <xdr:rowOff>760942</xdr:rowOff>
    </xdr:to>
    <xdr:pic>
      <xdr:nvPicPr>
        <xdr:cNvPr id="2127" name="Obraz 2126">
          <a:extLst>
            <a:ext uri="{FF2B5EF4-FFF2-40B4-BE49-F238E27FC236}">
              <a16:creationId xmlns:a16="http://schemas.microsoft.com/office/drawing/2014/main" id="{7A40978C-0497-4F54-A9E7-E2933291FA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51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611</xdr:row>
      <xdr:rowOff>760942</xdr:rowOff>
    </xdr:from>
    <xdr:to>
      <xdr:col>0</xdr:col>
      <xdr:colOff>871538</xdr:colOff>
      <xdr:row>612</xdr:row>
      <xdr:rowOff>760942</xdr:rowOff>
    </xdr:to>
    <xdr:pic>
      <xdr:nvPicPr>
        <xdr:cNvPr id="2130" name="Obraz 2129">
          <a:extLst>
            <a:ext uri="{FF2B5EF4-FFF2-40B4-BE49-F238E27FC236}">
              <a16:creationId xmlns:a16="http://schemas.microsoft.com/office/drawing/2014/main" id="{AE3DE272-010E-58BA-6A9A-32DB41A145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58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612</xdr:row>
      <xdr:rowOff>760942</xdr:rowOff>
    </xdr:from>
    <xdr:to>
      <xdr:col>0</xdr:col>
      <xdr:colOff>871538</xdr:colOff>
      <xdr:row>613</xdr:row>
      <xdr:rowOff>760942</xdr:rowOff>
    </xdr:to>
    <xdr:pic>
      <xdr:nvPicPr>
        <xdr:cNvPr id="2134" name="Obraz 2133">
          <a:extLst>
            <a:ext uri="{FF2B5EF4-FFF2-40B4-BE49-F238E27FC236}">
              <a16:creationId xmlns:a16="http://schemas.microsoft.com/office/drawing/2014/main" id="{C1A2E601-96C7-7F81-A076-CCD3C211B1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66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613</xdr:row>
      <xdr:rowOff>760942</xdr:rowOff>
    </xdr:from>
    <xdr:to>
      <xdr:col>0</xdr:col>
      <xdr:colOff>871538</xdr:colOff>
      <xdr:row>614</xdr:row>
      <xdr:rowOff>760942</xdr:rowOff>
    </xdr:to>
    <xdr:pic>
      <xdr:nvPicPr>
        <xdr:cNvPr id="2137" name="Obraz 2136">
          <a:extLst>
            <a:ext uri="{FF2B5EF4-FFF2-40B4-BE49-F238E27FC236}">
              <a16:creationId xmlns:a16="http://schemas.microsoft.com/office/drawing/2014/main" id="{B91F6C3E-B0DE-81F6-81E4-1318F5618E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74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614</xdr:row>
      <xdr:rowOff>760942</xdr:rowOff>
    </xdr:from>
    <xdr:to>
      <xdr:col>0</xdr:col>
      <xdr:colOff>871538</xdr:colOff>
      <xdr:row>615</xdr:row>
      <xdr:rowOff>760942</xdr:rowOff>
    </xdr:to>
    <xdr:pic>
      <xdr:nvPicPr>
        <xdr:cNvPr id="2140" name="Obraz 2139">
          <a:extLst>
            <a:ext uri="{FF2B5EF4-FFF2-40B4-BE49-F238E27FC236}">
              <a16:creationId xmlns:a16="http://schemas.microsoft.com/office/drawing/2014/main" id="{05089757-B7D9-741F-F401-259C43FA81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81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615</xdr:row>
      <xdr:rowOff>760942</xdr:rowOff>
    </xdr:from>
    <xdr:to>
      <xdr:col>0</xdr:col>
      <xdr:colOff>871538</xdr:colOff>
      <xdr:row>616</xdr:row>
      <xdr:rowOff>760942</xdr:rowOff>
    </xdr:to>
    <xdr:pic>
      <xdr:nvPicPr>
        <xdr:cNvPr id="2143" name="Obraz 2142">
          <a:extLst>
            <a:ext uri="{FF2B5EF4-FFF2-40B4-BE49-F238E27FC236}">
              <a16:creationId xmlns:a16="http://schemas.microsoft.com/office/drawing/2014/main" id="{717D5B89-FC7C-B152-2633-2936E002DB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89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616</xdr:row>
      <xdr:rowOff>760942</xdr:rowOff>
    </xdr:from>
    <xdr:to>
      <xdr:col>0</xdr:col>
      <xdr:colOff>871538</xdr:colOff>
      <xdr:row>617</xdr:row>
      <xdr:rowOff>760942</xdr:rowOff>
    </xdr:to>
    <xdr:pic>
      <xdr:nvPicPr>
        <xdr:cNvPr id="2146" name="Obraz 2145">
          <a:extLst>
            <a:ext uri="{FF2B5EF4-FFF2-40B4-BE49-F238E27FC236}">
              <a16:creationId xmlns:a16="http://schemas.microsoft.com/office/drawing/2014/main" id="{8F2A2891-F153-9A16-3A3A-DC9DB7F452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696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617</xdr:row>
      <xdr:rowOff>760942</xdr:rowOff>
    </xdr:from>
    <xdr:to>
      <xdr:col>0</xdr:col>
      <xdr:colOff>871538</xdr:colOff>
      <xdr:row>618</xdr:row>
      <xdr:rowOff>760942</xdr:rowOff>
    </xdr:to>
    <xdr:pic>
      <xdr:nvPicPr>
        <xdr:cNvPr id="2150" name="Obraz 2149">
          <a:extLst>
            <a:ext uri="{FF2B5EF4-FFF2-40B4-BE49-F238E27FC236}">
              <a16:creationId xmlns:a16="http://schemas.microsoft.com/office/drawing/2014/main" id="{E27DC43E-DE29-3697-AD83-E0D938D6C1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04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618</xdr:row>
      <xdr:rowOff>760942</xdr:rowOff>
    </xdr:from>
    <xdr:to>
      <xdr:col>0</xdr:col>
      <xdr:colOff>871538</xdr:colOff>
      <xdr:row>619</xdr:row>
      <xdr:rowOff>760942</xdr:rowOff>
    </xdr:to>
    <xdr:pic>
      <xdr:nvPicPr>
        <xdr:cNvPr id="2153" name="Obraz 2152">
          <a:extLst>
            <a:ext uri="{FF2B5EF4-FFF2-40B4-BE49-F238E27FC236}">
              <a16:creationId xmlns:a16="http://schemas.microsoft.com/office/drawing/2014/main" id="{BAB5D560-CA93-55F5-19F0-06A0C77BA9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12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619</xdr:row>
      <xdr:rowOff>760942</xdr:rowOff>
    </xdr:from>
    <xdr:to>
      <xdr:col>0</xdr:col>
      <xdr:colOff>871538</xdr:colOff>
      <xdr:row>620</xdr:row>
      <xdr:rowOff>760942</xdr:rowOff>
    </xdr:to>
    <xdr:pic>
      <xdr:nvPicPr>
        <xdr:cNvPr id="2156" name="Obraz 2155">
          <a:extLst>
            <a:ext uri="{FF2B5EF4-FFF2-40B4-BE49-F238E27FC236}">
              <a16:creationId xmlns:a16="http://schemas.microsoft.com/office/drawing/2014/main" id="{1CDDB25B-4679-1377-92A2-03FC3931A8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19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620</xdr:row>
      <xdr:rowOff>760942</xdr:rowOff>
    </xdr:from>
    <xdr:to>
      <xdr:col>0</xdr:col>
      <xdr:colOff>871538</xdr:colOff>
      <xdr:row>621</xdr:row>
      <xdr:rowOff>760942</xdr:rowOff>
    </xdr:to>
    <xdr:pic>
      <xdr:nvPicPr>
        <xdr:cNvPr id="2159" name="Obraz 2158">
          <a:extLst>
            <a:ext uri="{FF2B5EF4-FFF2-40B4-BE49-F238E27FC236}">
              <a16:creationId xmlns:a16="http://schemas.microsoft.com/office/drawing/2014/main" id="{7EF17BB4-4839-E571-1401-43406D53AA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27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621</xdr:row>
      <xdr:rowOff>760942</xdr:rowOff>
    </xdr:from>
    <xdr:to>
      <xdr:col>0</xdr:col>
      <xdr:colOff>871538</xdr:colOff>
      <xdr:row>622</xdr:row>
      <xdr:rowOff>760942</xdr:rowOff>
    </xdr:to>
    <xdr:pic>
      <xdr:nvPicPr>
        <xdr:cNvPr id="2162" name="Obraz 2161">
          <a:extLst>
            <a:ext uri="{FF2B5EF4-FFF2-40B4-BE49-F238E27FC236}">
              <a16:creationId xmlns:a16="http://schemas.microsoft.com/office/drawing/2014/main" id="{21AC828F-34C2-F1C7-62C7-246FB5839A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34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622</xdr:row>
      <xdr:rowOff>760942</xdr:rowOff>
    </xdr:from>
    <xdr:to>
      <xdr:col>0</xdr:col>
      <xdr:colOff>871538</xdr:colOff>
      <xdr:row>623</xdr:row>
      <xdr:rowOff>760942</xdr:rowOff>
    </xdr:to>
    <xdr:pic>
      <xdr:nvPicPr>
        <xdr:cNvPr id="2166" name="Obraz 2165">
          <a:extLst>
            <a:ext uri="{FF2B5EF4-FFF2-40B4-BE49-F238E27FC236}">
              <a16:creationId xmlns:a16="http://schemas.microsoft.com/office/drawing/2014/main" id="{9A01EA71-EB23-BC04-1613-EF2FDEAC1F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42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623</xdr:row>
      <xdr:rowOff>760942</xdr:rowOff>
    </xdr:from>
    <xdr:to>
      <xdr:col>0</xdr:col>
      <xdr:colOff>871538</xdr:colOff>
      <xdr:row>624</xdr:row>
      <xdr:rowOff>760942</xdr:rowOff>
    </xdr:to>
    <xdr:pic>
      <xdr:nvPicPr>
        <xdr:cNvPr id="2169" name="Obraz 2168">
          <a:extLst>
            <a:ext uri="{FF2B5EF4-FFF2-40B4-BE49-F238E27FC236}">
              <a16:creationId xmlns:a16="http://schemas.microsoft.com/office/drawing/2014/main" id="{26C3C8A0-6B97-0A69-F536-7F7BFD170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50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624</xdr:row>
      <xdr:rowOff>760942</xdr:rowOff>
    </xdr:from>
    <xdr:to>
      <xdr:col>0</xdr:col>
      <xdr:colOff>871538</xdr:colOff>
      <xdr:row>625</xdr:row>
      <xdr:rowOff>760942</xdr:rowOff>
    </xdr:to>
    <xdr:pic>
      <xdr:nvPicPr>
        <xdr:cNvPr id="2172" name="Obraz 2171">
          <a:extLst>
            <a:ext uri="{FF2B5EF4-FFF2-40B4-BE49-F238E27FC236}">
              <a16:creationId xmlns:a16="http://schemas.microsoft.com/office/drawing/2014/main" id="{7F04D98A-A58A-2D99-0DA7-9FBE6337D1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57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625</xdr:row>
      <xdr:rowOff>760942</xdr:rowOff>
    </xdr:from>
    <xdr:to>
      <xdr:col>0</xdr:col>
      <xdr:colOff>871538</xdr:colOff>
      <xdr:row>626</xdr:row>
      <xdr:rowOff>760942</xdr:rowOff>
    </xdr:to>
    <xdr:pic>
      <xdr:nvPicPr>
        <xdr:cNvPr id="2175" name="Obraz 2174">
          <a:extLst>
            <a:ext uri="{FF2B5EF4-FFF2-40B4-BE49-F238E27FC236}">
              <a16:creationId xmlns:a16="http://schemas.microsoft.com/office/drawing/2014/main" id="{A54A2F19-7DA7-EEAB-E925-635CA417EA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65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626</xdr:row>
      <xdr:rowOff>760942</xdr:rowOff>
    </xdr:from>
    <xdr:to>
      <xdr:col>0</xdr:col>
      <xdr:colOff>871538</xdr:colOff>
      <xdr:row>627</xdr:row>
      <xdr:rowOff>760942</xdr:rowOff>
    </xdr:to>
    <xdr:pic>
      <xdr:nvPicPr>
        <xdr:cNvPr id="2178" name="Obraz 2177">
          <a:extLst>
            <a:ext uri="{FF2B5EF4-FFF2-40B4-BE49-F238E27FC236}">
              <a16:creationId xmlns:a16="http://schemas.microsoft.com/office/drawing/2014/main" id="{295EB45F-22FD-5D77-252D-B3F8889749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73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629</xdr:row>
      <xdr:rowOff>760942</xdr:rowOff>
    </xdr:from>
    <xdr:to>
      <xdr:col>0</xdr:col>
      <xdr:colOff>871538</xdr:colOff>
      <xdr:row>630</xdr:row>
      <xdr:rowOff>760942</xdr:rowOff>
    </xdr:to>
    <xdr:pic>
      <xdr:nvPicPr>
        <xdr:cNvPr id="2182" name="Obraz 2181">
          <a:extLst>
            <a:ext uri="{FF2B5EF4-FFF2-40B4-BE49-F238E27FC236}">
              <a16:creationId xmlns:a16="http://schemas.microsoft.com/office/drawing/2014/main" id="{A24B9F70-9E71-91A4-0F30-C86E5FA60B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795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630</xdr:row>
      <xdr:rowOff>760942</xdr:rowOff>
    </xdr:from>
    <xdr:to>
      <xdr:col>0</xdr:col>
      <xdr:colOff>871538</xdr:colOff>
      <xdr:row>631</xdr:row>
      <xdr:rowOff>760942</xdr:rowOff>
    </xdr:to>
    <xdr:pic>
      <xdr:nvPicPr>
        <xdr:cNvPr id="2185" name="Obraz 2184">
          <a:extLst>
            <a:ext uri="{FF2B5EF4-FFF2-40B4-BE49-F238E27FC236}">
              <a16:creationId xmlns:a16="http://schemas.microsoft.com/office/drawing/2014/main" id="{7B44AD23-03F0-514F-B203-EE3C24119D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03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631</xdr:row>
      <xdr:rowOff>760942</xdr:rowOff>
    </xdr:from>
    <xdr:to>
      <xdr:col>0</xdr:col>
      <xdr:colOff>871538</xdr:colOff>
      <xdr:row>632</xdr:row>
      <xdr:rowOff>760942</xdr:rowOff>
    </xdr:to>
    <xdr:pic>
      <xdr:nvPicPr>
        <xdr:cNvPr id="2188" name="Obraz 2187">
          <a:extLst>
            <a:ext uri="{FF2B5EF4-FFF2-40B4-BE49-F238E27FC236}">
              <a16:creationId xmlns:a16="http://schemas.microsoft.com/office/drawing/2014/main" id="{E8CC121D-78A5-9133-E1C4-A9A292ED84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11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632</xdr:row>
      <xdr:rowOff>760942</xdr:rowOff>
    </xdr:from>
    <xdr:to>
      <xdr:col>0</xdr:col>
      <xdr:colOff>871538</xdr:colOff>
      <xdr:row>633</xdr:row>
      <xdr:rowOff>760942</xdr:rowOff>
    </xdr:to>
    <xdr:pic>
      <xdr:nvPicPr>
        <xdr:cNvPr id="2191" name="Obraz 2190">
          <a:extLst>
            <a:ext uri="{FF2B5EF4-FFF2-40B4-BE49-F238E27FC236}">
              <a16:creationId xmlns:a16="http://schemas.microsoft.com/office/drawing/2014/main" id="{E98472BB-1FCD-77B8-CB3F-C7B863592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18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633</xdr:row>
      <xdr:rowOff>760942</xdr:rowOff>
    </xdr:from>
    <xdr:to>
      <xdr:col>0</xdr:col>
      <xdr:colOff>871538</xdr:colOff>
      <xdr:row>634</xdr:row>
      <xdr:rowOff>760942</xdr:rowOff>
    </xdr:to>
    <xdr:pic>
      <xdr:nvPicPr>
        <xdr:cNvPr id="2194" name="Obraz 2193">
          <a:extLst>
            <a:ext uri="{FF2B5EF4-FFF2-40B4-BE49-F238E27FC236}">
              <a16:creationId xmlns:a16="http://schemas.microsoft.com/office/drawing/2014/main" id="{E60F99D5-6F75-1716-0969-5B06D23034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26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634</xdr:row>
      <xdr:rowOff>760942</xdr:rowOff>
    </xdr:from>
    <xdr:to>
      <xdr:col>0</xdr:col>
      <xdr:colOff>871538</xdr:colOff>
      <xdr:row>635</xdr:row>
      <xdr:rowOff>760942</xdr:rowOff>
    </xdr:to>
    <xdr:pic>
      <xdr:nvPicPr>
        <xdr:cNvPr id="2198" name="Obraz 2197">
          <a:extLst>
            <a:ext uri="{FF2B5EF4-FFF2-40B4-BE49-F238E27FC236}">
              <a16:creationId xmlns:a16="http://schemas.microsoft.com/office/drawing/2014/main" id="{AA5392EF-FD0E-776D-470D-15935D905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34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635</xdr:row>
      <xdr:rowOff>760942</xdr:rowOff>
    </xdr:from>
    <xdr:to>
      <xdr:col>0</xdr:col>
      <xdr:colOff>871538</xdr:colOff>
      <xdr:row>636</xdr:row>
      <xdr:rowOff>760942</xdr:rowOff>
    </xdr:to>
    <xdr:pic>
      <xdr:nvPicPr>
        <xdr:cNvPr id="2201" name="Obraz 2200">
          <a:extLst>
            <a:ext uri="{FF2B5EF4-FFF2-40B4-BE49-F238E27FC236}">
              <a16:creationId xmlns:a16="http://schemas.microsoft.com/office/drawing/2014/main" id="{B8B64F2B-215E-FF9F-6608-982BBD1F8A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41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638</xdr:row>
      <xdr:rowOff>760942</xdr:rowOff>
    </xdr:from>
    <xdr:to>
      <xdr:col>0</xdr:col>
      <xdr:colOff>871538</xdr:colOff>
      <xdr:row>639</xdr:row>
      <xdr:rowOff>760942</xdr:rowOff>
    </xdr:to>
    <xdr:pic>
      <xdr:nvPicPr>
        <xdr:cNvPr id="2204" name="Obraz 2203">
          <a:extLst>
            <a:ext uri="{FF2B5EF4-FFF2-40B4-BE49-F238E27FC236}">
              <a16:creationId xmlns:a16="http://schemas.microsoft.com/office/drawing/2014/main" id="{FFBC7620-0F1E-6EB4-463C-FC2ED31225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64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641</xdr:row>
      <xdr:rowOff>760942</xdr:rowOff>
    </xdr:from>
    <xdr:to>
      <xdr:col>0</xdr:col>
      <xdr:colOff>871538</xdr:colOff>
      <xdr:row>642</xdr:row>
      <xdr:rowOff>760942</xdr:rowOff>
    </xdr:to>
    <xdr:pic>
      <xdr:nvPicPr>
        <xdr:cNvPr id="2207" name="Obraz 2206">
          <a:extLst>
            <a:ext uri="{FF2B5EF4-FFF2-40B4-BE49-F238E27FC236}">
              <a16:creationId xmlns:a16="http://schemas.microsoft.com/office/drawing/2014/main" id="{A03E00C3-7732-B273-524A-2E867D8139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87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642</xdr:row>
      <xdr:rowOff>760942</xdr:rowOff>
    </xdr:from>
    <xdr:to>
      <xdr:col>0</xdr:col>
      <xdr:colOff>871538</xdr:colOff>
      <xdr:row>643</xdr:row>
      <xdr:rowOff>760942</xdr:rowOff>
    </xdr:to>
    <xdr:pic>
      <xdr:nvPicPr>
        <xdr:cNvPr id="2210" name="Obraz 2209">
          <a:extLst>
            <a:ext uri="{FF2B5EF4-FFF2-40B4-BE49-F238E27FC236}">
              <a16:creationId xmlns:a16="http://schemas.microsoft.com/office/drawing/2014/main" id="{BEBBD249-3CED-4B32-54F0-CB70B2A7CA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894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646</xdr:row>
      <xdr:rowOff>760942</xdr:rowOff>
    </xdr:from>
    <xdr:to>
      <xdr:col>0</xdr:col>
      <xdr:colOff>871538</xdr:colOff>
      <xdr:row>647</xdr:row>
      <xdr:rowOff>760942</xdr:rowOff>
    </xdr:to>
    <xdr:pic>
      <xdr:nvPicPr>
        <xdr:cNvPr id="2214" name="Obraz 2213">
          <a:extLst>
            <a:ext uri="{FF2B5EF4-FFF2-40B4-BE49-F238E27FC236}">
              <a16:creationId xmlns:a16="http://schemas.microsoft.com/office/drawing/2014/main" id="{9D54A033-F46C-64AC-39CC-A1B51113B5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25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647</xdr:row>
      <xdr:rowOff>760942</xdr:rowOff>
    </xdr:from>
    <xdr:to>
      <xdr:col>0</xdr:col>
      <xdr:colOff>871538</xdr:colOff>
      <xdr:row>648</xdr:row>
      <xdr:rowOff>760942</xdr:rowOff>
    </xdr:to>
    <xdr:pic>
      <xdr:nvPicPr>
        <xdr:cNvPr id="2217" name="Obraz 2216">
          <a:extLst>
            <a:ext uri="{FF2B5EF4-FFF2-40B4-BE49-F238E27FC236}">
              <a16:creationId xmlns:a16="http://schemas.microsoft.com/office/drawing/2014/main" id="{1CAD71CF-1FDD-0256-7F94-D551B75F07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33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648</xdr:row>
      <xdr:rowOff>760942</xdr:rowOff>
    </xdr:from>
    <xdr:to>
      <xdr:col>0</xdr:col>
      <xdr:colOff>871538</xdr:colOff>
      <xdr:row>649</xdr:row>
      <xdr:rowOff>760942</xdr:rowOff>
    </xdr:to>
    <xdr:pic>
      <xdr:nvPicPr>
        <xdr:cNvPr id="2220" name="Obraz 2219">
          <a:extLst>
            <a:ext uri="{FF2B5EF4-FFF2-40B4-BE49-F238E27FC236}">
              <a16:creationId xmlns:a16="http://schemas.microsoft.com/office/drawing/2014/main" id="{09777BD1-ADD7-E586-CEFD-03441E8303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40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649</xdr:row>
      <xdr:rowOff>760942</xdr:rowOff>
    </xdr:from>
    <xdr:to>
      <xdr:col>0</xdr:col>
      <xdr:colOff>871538</xdr:colOff>
      <xdr:row>650</xdr:row>
      <xdr:rowOff>760942</xdr:rowOff>
    </xdr:to>
    <xdr:pic>
      <xdr:nvPicPr>
        <xdr:cNvPr id="2223" name="Obraz 2222">
          <a:extLst>
            <a:ext uri="{FF2B5EF4-FFF2-40B4-BE49-F238E27FC236}">
              <a16:creationId xmlns:a16="http://schemas.microsoft.com/office/drawing/2014/main" id="{0997B942-3501-C2F7-940A-C1EC24D161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48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650</xdr:row>
      <xdr:rowOff>760942</xdr:rowOff>
    </xdr:from>
    <xdr:to>
      <xdr:col>0</xdr:col>
      <xdr:colOff>871538</xdr:colOff>
      <xdr:row>651</xdr:row>
      <xdr:rowOff>760942</xdr:rowOff>
    </xdr:to>
    <xdr:pic>
      <xdr:nvPicPr>
        <xdr:cNvPr id="2226" name="Obraz 2225">
          <a:extLst>
            <a:ext uri="{FF2B5EF4-FFF2-40B4-BE49-F238E27FC236}">
              <a16:creationId xmlns:a16="http://schemas.microsoft.com/office/drawing/2014/main" id="{6C595E78-7EE8-C1ED-5489-B2BF0F5F14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55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651</xdr:row>
      <xdr:rowOff>760942</xdr:rowOff>
    </xdr:from>
    <xdr:to>
      <xdr:col>0</xdr:col>
      <xdr:colOff>871538</xdr:colOff>
      <xdr:row>652</xdr:row>
      <xdr:rowOff>760942</xdr:rowOff>
    </xdr:to>
    <xdr:pic>
      <xdr:nvPicPr>
        <xdr:cNvPr id="2230" name="Obraz 2229">
          <a:extLst>
            <a:ext uri="{FF2B5EF4-FFF2-40B4-BE49-F238E27FC236}">
              <a16:creationId xmlns:a16="http://schemas.microsoft.com/office/drawing/2014/main" id="{C1E5C3DF-D2FF-D110-1330-DC3AD1C19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63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652</xdr:row>
      <xdr:rowOff>760942</xdr:rowOff>
    </xdr:from>
    <xdr:to>
      <xdr:col>0</xdr:col>
      <xdr:colOff>871538</xdr:colOff>
      <xdr:row>653</xdr:row>
      <xdr:rowOff>760942</xdr:rowOff>
    </xdr:to>
    <xdr:pic>
      <xdr:nvPicPr>
        <xdr:cNvPr id="2233" name="Obraz 2232">
          <a:extLst>
            <a:ext uri="{FF2B5EF4-FFF2-40B4-BE49-F238E27FC236}">
              <a16:creationId xmlns:a16="http://schemas.microsoft.com/office/drawing/2014/main" id="{49113CDD-66FE-9984-DF40-62BAFBC3D7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71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653</xdr:row>
      <xdr:rowOff>760942</xdr:rowOff>
    </xdr:from>
    <xdr:to>
      <xdr:col>0</xdr:col>
      <xdr:colOff>871538</xdr:colOff>
      <xdr:row>654</xdr:row>
      <xdr:rowOff>760942</xdr:rowOff>
    </xdr:to>
    <xdr:pic>
      <xdr:nvPicPr>
        <xdr:cNvPr id="2236" name="Obraz 2235">
          <a:extLst>
            <a:ext uri="{FF2B5EF4-FFF2-40B4-BE49-F238E27FC236}">
              <a16:creationId xmlns:a16="http://schemas.microsoft.com/office/drawing/2014/main" id="{FAEBA14C-5E9B-8418-515A-77E2D1F716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78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654</xdr:row>
      <xdr:rowOff>760942</xdr:rowOff>
    </xdr:from>
    <xdr:to>
      <xdr:col>0</xdr:col>
      <xdr:colOff>871538</xdr:colOff>
      <xdr:row>655</xdr:row>
      <xdr:rowOff>760942</xdr:rowOff>
    </xdr:to>
    <xdr:pic>
      <xdr:nvPicPr>
        <xdr:cNvPr id="2239" name="Obraz 2238">
          <a:extLst>
            <a:ext uri="{FF2B5EF4-FFF2-40B4-BE49-F238E27FC236}">
              <a16:creationId xmlns:a16="http://schemas.microsoft.com/office/drawing/2014/main" id="{99FB3A94-5202-0AD1-2C23-691ECD4166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86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655</xdr:row>
      <xdr:rowOff>760942</xdr:rowOff>
    </xdr:from>
    <xdr:to>
      <xdr:col>0</xdr:col>
      <xdr:colOff>871538</xdr:colOff>
      <xdr:row>656</xdr:row>
      <xdr:rowOff>760942</xdr:rowOff>
    </xdr:to>
    <xdr:pic>
      <xdr:nvPicPr>
        <xdr:cNvPr id="2242" name="Obraz 2241">
          <a:extLst>
            <a:ext uri="{FF2B5EF4-FFF2-40B4-BE49-F238E27FC236}">
              <a16:creationId xmlns:a16="http://schemas.microsoft.com/office/drawing/2014/main" id="{20EB60C6-10D1-6523-6FD1-09DE0D13F2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4994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656</xdr:row>
      <xdr:rowOff>760942</xdr:rowOff>
    </xdr:from>
    <xdr:to>
      <xdr:col>0</xdr:col>
      <xdr:colOff>871538</xdr:colOff>
      <xdr:row>657</xdr:row>
      <xdr:rowOff>760942</xdr:rowOff>
    </xdr:to>
    <xdr:pic>
      <xdr:nvPicPr>
        <xdr:cNvPr id="2246" name="Obraz 2245">
          <a:extLst>
            <a:ext uri="{FF2B5EF4-FFF2-40B4-BE49-F238E27FC236}">
              <a16:creationId xmlns:a16="http://schemas.microsoft.com/office/drawing/2014/main" id="{612427EC-0ED6-9E0C-0083-88D6988F16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01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657</xdr:row>
      <xdr:rowOff>760942</xdr:rowOff>
    </xdr:from>
    <xdr:to>
      <xdr:col>0</xdr:col>
      <xdr:colOff>871538</xdr:colOff>
      <xdr:row>658</xdr:row>
      <xdr:rowOff>760942</xdr:rowOff>
    </xdr:to>
    <xdr:pic>
      <xdr:nvPicPr>
        <xdr:cNvPr id="2249" name="Obraz 2248">
          <a:extLst>
            <a:ext uri="{FF2B5EF4-FFF2-40B4-BE49-F238E27FC236}">
              <a16:creationId xmlns:a16="http://schemas.microsoft.com/office/drawing/2014/main" id="{A0B70471-4E25-D417-928A-354A41F650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09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658</xdr:row>
      <xdr:rowOff>760942</xdr:rowOff>
    </xdr:from>
    <xdr:to>
      <xdr:col>0</xdr:col>
      <xdr:colOff>871538</xdr:colOff>
      <xdr:row>659</xdr:row>
      <xdr:rowOff>760942</xdr:rowOff>
    </xdr:to>
    <xdr:pic>
      <xdr:nvPicPr>
        <xdr:cNvPr id="2252" name="Obraz 2251">
          <a:extLst>
            <a:ext uri="{FF2B5EF4-FFF2-40B4-BE49-F238E27FC236}">
              <a16:creationId xmlns:a16="http://schemas.microsoft.com/office/drawing/2014/main" id="{B55E8B25-CEDF-612E-03A6-AEC6D3F503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16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659</xdr:row>
      <xdr:rowOff>760942</xdr:rowOff>
    </xdr:from>
    <xdr:to>
      <xdr:col>0</xdr:col>
      <xdr:colOff>871538</xdr:colOff>
      <xdr:row>660</xdr:row>
      <xdr:rowOff>760942</xdr:rowOff>
    </xdr:to>
    <xdr:pic>
      <xdr:nvPicPr>
        <xdr:cNvPr id="2255" name="Obraz 2254">
          <a:extLst>
            <a:ext uri="{FF2B5EF4-FFF2-40B4-BE49-F238E27FC236}">
              <a16:creationId xmlns:a16="http://schemas.microsoft.com/office/drawing/2014/main" id="{D9361C84-06E1-C2D4-DF2C-D16DE68F93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24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660</xdr:row>
      <xdr:rowOff>760942</xdr:rowOff>
    </xdr:from>
    <xdr:to>
      <xdr:col>0</xdr:col>
      <xdr:colOff>871538</xdr:colOff>
      <xdr:row>661</xdr:row>
      <xdr:rowOff>760942</xdr:rowOff>
    </xdr:to>
    <xdr:pic>
      <xdr:nvPicPr>
        <xdr:cNvPr id="2258" name="Obraz 2257">
          <a:extLst>
            <a:ext uri="{FF2B5EF4-FFF2-40B4-BE49-F238E27FC236}">
              <a16:creationId xmlns:a16="http://schemas.microsoft.com/office/drawing/2014/main" id="{C3961296-AEB9-7B5E-FD5C-159310BEBF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32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661</xdr:row>
      <xdr:rowOff>760942</xdr:rowOff>
    </xdr:from>
    <xdr:to>
      <xdr:col>0</xdr:col>
      <xdr:colOff>871538</xdr:colOff>
      <xdr:row>662</xdr:row>
      <xdr:rowOff>760942</xdr:rowOff>
    </xdr:to>
    <xdr:pic>
      <xdr:nvPicPr>
        <xdr:cNvPr id="2262" name="Obraz 2261">
          <a:extLst>
            <a:ext uri="{FF2B5EF4-FFF2-40B4-BE49-F238E27FC236}">
              <a16:creationId xmlns:a16="http://schemas.microsoft.com/office/drawing/2014/main" id="{23B6CA2A-13F6-3D92-9DAA-1E8F06D896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39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662</xdr:row>
      <xdr:rowOff>760942</xdr:rowOff>
    </xdr:from>
    <xdr:to>
      <xdr:col>0</xdr:col>
      <xdr:colOff>871538</xdr:colOff>
      <xdr:row>663</xdr:row>
      <xdr:rowOff>760942</xdr:rowOff>
    </xdr:to>
    <xdr:pic>
      <xdr:nvPicPr>
        <xdr:cNvPr id="2265" name="Obraz 2264">
          <a:extLst>
            <a:ext uri="{FF2B5EF4-FFF2-40B4-BE49-F238E27FC236}">
              <a16:creationId xmlns:a16="http://schemas.microsoft.com/office/drawing/2014/main" id="{653B40CF-2EEA-E4B6-7032-BC9D3885C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47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663</xdr:row>
      <xdr:rowOff>760942</xdr:rowOff>
    </xdr:from>
    <xdr:to>
      <xdr:col>0</xdr:col>
      <xdr:colOff>871538</xdr:colOff>
      <xdr:row>664</xdr:row>
      <xdr:rowOff>760942</xdr:rowOff>
    </xdr:to>
    <xdr:pic>
      <xdr:nvPicPr>
        <xdr:cNvPr id="2268" name="Obraz 2267">
          <a:extLst>
            <a:ext uri="{FF2B5EF4-FFF2-40B4-BE49-F238E27FC236}">
              <a16:creationId xmlns:a16="http://schemas.microsoft.com/office/drawing/2014/main" id="{86AAF594-C0CD-705D-2177-BC87EFAE37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55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664</xdr:row>
      <xdr:rowOff>760942</xdr:rowOff>
    </xdr:from>
    <xdr:to>
      <xdr:col>0</xdr:col>
      <xdr:colOff>871538</xdr:colOff>
      <xdr:row>665</xdr:row>
      <xdr:rowOff>760942</xdr:rowOff>
    </xdr:to>
    <xdr:pic>
      <xdr:nvPicPr>
        <xdr:cNvPr id="2271" name="Obraz 2270">
          <a:extLst>
            <a:ext uri="{FF2B5EF4-FFF2-40B4-BE49-F238E27FC236}">
              <a16:creationId xmlns:a16="http://schemas.microsoft.com/office/drawing/2014/main" id="{74089ADF-253D-4556-74A6-28A68116D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62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665</xdr:row>
      <xdr:rowOff>760942</xdr:rowOff>
    </xdr:from>
    <xdr:to>
      <xdr:col>0</xdr:col>
      <xdr:colOff>871538</xdr:colOff>
      <xdr:row>666</xdr:row>
      <xdr:rowOff>760942</xdr:rowOff>
    </xdr:to>
    <xdr:pic>
      <xdr:nvPicPr>
        <xdr:cNvPr id="2274" name="Obraz 2273">
          <a:extLst>
            <a:ext uri="{FF2B5EF4-FFF2-40B4-BE49-F238E27FC236}">
              <a16:creationId xmlns:a16="http://schemas.microsoft.com/office/drawing/2014/main" id="{9284D7D0-2D84-072C-6ABB-B55A59A337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70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666</xdr:row>
      <xdr:rowOff>760942</xdr:rowOff>
    </xdr:from>
    <xdr:to>
      <xdr:col>0</xdr:col>
      <xdr:colOff>871538</xdr:colOff>
      <xdr:row>667</xdr:row>
      <xdr:rowOff>760942</xdr:rowOff>
    </xdr:to>
    <xdr:pic>
      <xdr:nvPicPr>
        <xdr:cNvPr id="2278" name="Obraz 2277">
          <a:extLst>
            <a:ext uri="{FF2B5EF4-FFF2-40B4-BE49-F238E27FC236}">
              <a16:creationId xmlns:a16="http://schemas.microsoft.com/office/drawing/2014/main" id="{4C837F6B-BA5E-6FBF-3660-B38247DA63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77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667</xdr:row>
      <xdr:rowOff>760942</xdr:rowOff>
    </xdr:from>
    <xdr:to>
      <xdr:col>0</xdr:col>
      <xdr:colOff>871538</xdr:colOff>
      <xdr:row>668</xdr:row>
      <xdr:rowOff>760942</xdr:rowOff>
    </xdr:to>
    <xdr:pic>
      <xdr:nvPicPr>
        <xdr:cNvPr id="2281" name="Obraz 2280">
          <a:extLst>
            <a:ext uri="{FF2B5EF4-FFF2-40B4-BE49-F238E27FC236}">
              <a16:creationId xmlns:a16="http://schemas.microsoft.com/office/drawing/2014/main" id="{F9E2E4EA-C983-8918-249D-15AA6C137D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85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668</xdr:row>
      <xdr:rowOff>760942</xdr:rowOff>
    </xdr:from>
    <xdr:to>
      <xdr:col>0</xdr:col>
      <xdr:colOff>871538</xdr:colOff>
      <xdr:row>669</xdr:row>
      <xdr:rowOff>760942</xdr:rowOff>
    </xdr:to>
    <xdr:pic>
      <xdr:nvPicPr>
        <xdr:cNvPr id="2284" name="Obraz 2283">
          <a:extLst>
            <a:ext uri="{FF2B5EF4-FFF2-40B4-BE49-F238E27FC236}">
              <a16:creationId xmlns:a16="http://schemas.microsoft.com/office/drawing/2014/main" id="{5E38EB0B-90A6-32FC-32BA-3FC56F9BB8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093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669</xdr:row>
      <xdr:rowOff>760942</xdr:rowOff>
    </xdr:from>
    <xdr:to>
      <xdr:col>0</xdr:col>
      <xdr:colOff>871538</xdr:colOff>
      <xdr:row>670</xdr:row>
      <xdr:rowOff>760942</xdr:rowOff>
    </xdr:to>
    <xdr:pic>
      <xdr:nvPicPr>
        <xdr:cNvPr id="2287" name="Obraz 2286">
          <a:extLst>
            <a:ext uri="{FF2B5EF4-FFF2-40B4-BE49-F238E27FC236}">
              <a16:creationId xmlns:a16="http://schemas.microsoft.com/office/drawing/2014/main" id="{6E0DEB0C-BF13-3698-D685-83BF59C9ED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00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670</xdr:row>
      <xdr:rowOff>760942</xdr:rowOff>
    </xdr:from>
    <xdr:to>
      <xdr:col>0</xdr:col>
      <xdr:colOff>871538</xdr:colOff>
      <xdr:row>671</xdr:row>
      <xdr:rowOff>760942</xdr:rowOff>
    </xdr:to>
    <xdr:pic>
      <xdr:nvPicPr>
        <xdr:cNvPr id="2290" name="Obraz 2289">
          <a:extLst>
            <a:ext uri="{FF2B5EF4-FFF2-40B4-BE49-F238E27FC236}">
              <a16:creationId xmlns:a16="http://schemas.microsoft.com/office/drawing/2014/main" id="{60626083-92AE-8C05-C789-797B9B9594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08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671</xdr:row>
      <xdr:rowOff>760942</xdr:rowOff>
    </xdr:from>
    <xdr:to>
      <xdr:col>0</xdr:col>
      <xdr:colOff>871538</xdr:colOff>
      <xdr:row>672</xdr:row>
      <xdr:rowOff>760942</xdr:rowOff>
    </xdr:to>
    <xdr:pic>
      <xdr:nvPicPr>
        <xdr:cNvPr id="2294" name="Obraz 2293">
          <a:extLst>
            <a:ext uri="{FF2B5EF4-FFF2-40B4-BE49-F238E27FC236}">
              <a16:creationId xmlns:a16="http://schemas.microsoft.com/office/drawing/2014/main" id="{615F379B-4907-EE6F-AFF2-7F972D8D46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15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672</xdr:row>
      <xdr:rowOff>760942</xdr:rowOff>
    </xdr:from>
    <xdr:to>
      <xdr:col>0</xdr:col>
      <xdr:colOff>871538</xdr:colOff>
      <xdr:row>673</xdr:row>
      <xdr:rowOff>760942</xdr:rowOff>
    </xdr:to>
    <xdr:pic>
      <xdr:nvPicPr>
        <xdr:cNvPr id="2297" name="Obraz 2296">
          <a:extLst>
            <a:ext uri="{FF2B5EF4-FFF2-40B4-BE49-F238E27FC236}">
              <a16:creationId xmlns:a16="http://schemas.microsoft.com/office/drawing/2014/main" id="{46CBE6DA-B84B-6B2F-B0FD-11D5E23821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23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673</xdr:row>
      <xdr:rowOff>760942</xdr:rowOff>
    </xdr:from>
    <xdr:to>
      <xdr:col>0</xdr:col>
      <xdr:colOff>871538</xdr:colOff>
      <xdr:row>674</xdr:row>
      <xdr:rowOff>760942</xdr:rowOff>
    </xdr:to>
    <xdr:pic>
      <xdr:nvPicPr>
        <xdr:cNvPr id="2300" name="Obraz 2299">
          <a:extLst>
            <a:ext uri="{FF2B5EF4-FFF2-40B4-BE49-F238E27FC236}">
              <a16:creationId xmlns:a16="http://schemas.microsoft.com/office/drawing/2014/main" id="{821D866F-1902-1ACD-4AF7-CB5D29E4C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31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674</xdr:row>
      <xdr:rowOff>760942</xdr:rowOff>
    </xdr:from>
    <xdr:to>
      <xdr:col>0</xdr:col>
      <xdr:colOff>871538</xdr:colOff>
      <xdr:row>675</xdr:row>
      <xdr:rowOff>760942</xdr:rowOff>
    </xdr:to>
    <xdr:pic>
      <xdr:nvPicPr>
        <xdr:cNvPr id="2303" name="Obraz 2302">
          <a:extLst>
            <a:ext uri="{FF2B5EF4-FFF2-40B4-BE49-F238E27FC236}">
              <a16:creationId xmlns:a16="http://schemas.microsoft.com/office/drawing/2014/main" id="{11A4B10A-83C0-0061-B40D-ADD2A15733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38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675</xdr:row>
      <xdr:rowOff>760942</xdr:rowOff>
    </xdr:from>
    <xdr:to>
      <xdr:col>0</xdr:col>
      <xdr:colOff>871538</xdr:colOff>
      <xdr:row>676</xdr:row>
      <xdr:rowOff>760942</xdr:rowOff>
    </xdr:to>
    <xdr:pic>
      <xdr:nvPicPr>
        <xdr:cNvPr id="2306" name="Obraz 2305">
          <a:extLst>
            <a:ext uri="{FF2B5EF4-FFF2-40B4-BE49-F238E27FC236}">
              <a16:creationId xmlns:a16="http://schemas.microsoft.com/office/drawing/2014/main" id="{DE623545-6849-3A32-C797-258D609E1D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46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676</xdr:row>
      <xdr:rowOff>760942</xdr:rowOff>
    </xdr:from>
    <xdr:to>
      <xdr:col>0</xdr:col>
      <xdr:colOff>871538</xdr:colOff>
      <xdr:row>677</xdr:row>
      <xdr:rowOff>760942</xdr:rowOff>
    </xdr:to>
    <xdr:pic>
      <xdr:nvPicPr>
        <xdr:cNvPr id="2310" name="Obraz 2309">
          <a:extLst>
            <a:ext uri="{FF2B5EF4-FFF2-40B4-BE49-F238E27FC236}">
              <a16:creationId xmlns:a16="http://schemas.microsoft.com/office/drawing/2014/main" id="{11E5A9DF-5C7E-1879-65A0-7A27777F9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54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677</xdr:row>
      <xdr:rowOff>760942</xdr:rowOff>
    </xdr:from>
    <xdr:to>
      <xdr:col>0</xdr:col>
      <xdr:colOff>871538</xdr:colOff>
      <xdr:row>678</xdr:row>
      <xdr:rowOff>760942</xdr:rowOff>
    </xdr:to>
    <xdr:pic>
      <xdr:nvPicPr>
        <xdr:cNvPr id="2313" name="Obraz 2312">
          <a:extLst>
            <a:ext uri="{FF2B5EF4-FFF2-40B4-BE49-F238E27FC236}">
              <a16:creationId xmlns:a16="http://schemas.microsoft.com/office/drawing/2014/main" id="{FE82C699-5105-151D-20E2-D7D3DEDBBB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61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678</xdr:row>
      <xdr:rowOff>760942</xdr:rowOff>
    </xdr:from>
    <xdr:to>
      <xdr:col>0</xdr:col>
      <xdr:colOff>871538</xdr:colOff>
      <xdr:row>679</xdr:row>
      <xdr:rowOff>760942</xdr:rowOff>
    </xdr:to>
    <xdr:pic>
      <xdr:nvPicPr>
        <xdr:cNvPr id="2316" name="Obraz 2315">
          <a:extLst>
            <a:ext uri="{FF2B5EF4-FFF2-40B4-BE49-F238E27FC236}">
              <a16:creationId xmlns:a16="http://schemas.microsoft.com/office/drawing/2014/main" id="{CC2D850D-023A-5A30-6F48-F4D8177A43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69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679</xdr:row>
      <xdr:rowOff>760942</xdr:rowOff>
    </xdr:from>
    <xdr:to>
      <xdr:col>0</xdr:col>
      <xdr:colOff>871538</xdr:colOff>
      <xdr:row>680</xdr:row>
      <xdr:rowOff>760942</xdr:rowOff>
    </xdr:to>
    <xdr:pic>
      <xdr:nvPicPr>
        <xdr:cNvPr id="2319" name="Obraz 2318">
          <a:extLst>
            <a:ext uri="{FF2B5EF4-FFF2-40B4-BE49-F238E27FC236}">
              <a16:creationId xmlns:a16="http://schemas.microsoft.com/office/drawing/2014/main" id="{58FE01AD-148F-C20B-B1B4-D9645F9073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76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680</xdr:row>
      <xdr:rowOff>760942</xdr:rowOff>
    </xdr:from>
    <xdr:to>
      <xdr:col>0</xdr:col>
      <xdr:colOff>871538</xdr:colOff>
      <xdr:row>681</xdr:row>
      <xdr:rowOff>760942</xdr:rowOff>
    </xdr:to>
    <xdr:pic>
      <xdr:nvPicPr>
        <xdr:cNvPr id="2322" name="Obraz 2321">
          <a:extLst>
            <a:ext uri="{FF2B5EF4-FFF2-40B4-BE49-F238E27FC236}">
              <a16:creationId xmlns:a16="http://schemas.microsoft.com/office/drawing/2014/main" id="{80BA6AAC-E66D-6E8A-42AB-DAB2646A27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84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681</xdr:row>
      <xdr:rowOff>760942</xdr:rowOff>
    </xdr:from>
    <xdr:to>
      <xdr:col>0</xdr:col>
      <xdr:colOff>871538</xdr:colOff>
      <xdr:row>682</xdr:row>
      <xdr:rowOff>760942</xdr:rowOff>
    </xdr:to>
    <xdr:pic>
      <xdr:nvPicPr>
        <xdr:cNvPr id="2326" name="Obraz 2325">
          <a:extLst>
            <a:ext uri="{FF2B5EF4-FFF2-40B4-BE49-F238E27FC236}">
              <a16:creationId xmlns:a16="http://schemas.microsoft.com/office/drawing/2014/main" id="{A58D8549-23D3-E0D7-5285-053D804EF7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92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682</xdr:row>
      <xdr:rowOff>760942</xdr:rowOff>
    </xdr:from>
    <xdr:to>
      <xdr:col>0</xdr:col>
      <xdr:colOff>871538</xdr:colOff>
      <xdr:row>683</xdr:row>
      <xdr:rowOff>760942</xdr:rowOff>
    </xdr:to>
    <xdr:pic>
      <xdr:nvPicPr>
        <xdr:cNvPr id="2329" name="Obraz 2328">
          <a:extLst>
            <a:ext uri="{FF2B5EF4-FFF2-40B4-BE49-F238E27FC236}">
              <a16:creationId xmlns:a16="http://schemas.microsoft.com/office/drawing/2014/main" id="{94FFE23C-2793-460D-49CF-82441A57FF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199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683</xdr:row>
      <xdr:rowOff>760942</xdr:rowOff>
    </xdr:from>
    <xdr:to>
      <xdr:col>0</xdr:col>
      <xdr:colOff>871538</xdr:colOff>
      <xdr:row>684</xdr:row>
      <xdr:rowOff>760942</xdr:rowOff>
    </xdr:to>
    <xdr:pic>
      <xdr:nvPicPr>
        <xdr:cNvPr id="2332" name="Obraz 2331">
          <a:extLst>
            <a:ext uri="{FF2B5EF4-FFF2-40B4-BE49-F238E27FC236}">
              <a16:creationId xmlns:a16="http://schemas.microsoft.com/office/drawing/2014/main" id="{E31DDE74-F3D5-0439-F830-3400BEBCCF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07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684</xdr:row>
      <xdr:rowOff>760942</xdr:rowOff>
    </xdr:from>
    <xdr:to>
      <xdr:col>0</xdr:col>
      <xdr:colOff>871538</xdr:colOff>
      <xdr:row>685</xdr:row>
      <xdr:rowOff>760942</xdr:rowOff>
    </xdr:to>
    <xdr:pic>
      <xdr:nvPicPr>
        <xdr:cNvPr id="2335" name="Obraz 2334">
          <a:extLst>
            <a:ext uri="{FF2B5EF4-FFF2-40B4-BE49-F238E27FC236}">
              <a16:creationId xmlns:a16="http://schemas.microsoft.com/office/drawing/2014/main" id="{56753B51-2040-DEFB-1834-1380FA3FB4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15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685</xdr:row>
      <xdr:rowOff>760942</xdr:rowOff>
    </xdr:from>
    <xdr:to>
      <xdr:col>0</xdr:col>
      <xdr:colOff>871538</xdr:colOff>
      <xdr:row>686</xdr:row>
      <xdr:rowOff>760942</xdr:rowOff>
    </xdr:to>
    <xdr:pic>
      <xdr:nvPicPr>
        <xdr:cNvPr id="2338" name="Obraz 2337">
          <a:extLst>
            <a:ext uri="{FF2B5EF4-FFF2-40B4-BE49-F238E27FC236}">
              <a16:creationId xmlns:a16="http://schemas.microsoft.com/office/drawing/2014/main" id="{1B42AAD8-85B6-630D-A511-84A2FCAC6D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22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686</xdr:row>
      <xdr:rowOff>760942</xdr:rowOff>
    </xdr:from>
    <xdr:to>
      <xdr:col>0</xdr:col>
      <xdr:colOff>871538</xdr:colOff>
      <xdr:row>687</xdr:row>
      <xdr:rowOff>760942</xdr:rowOff>
    </xdr:to>
    <xdr:pic>
      <xdr:nvPicPr>
        <xdr:cNvPr id="2342" name="Obraz 2341">
          <a:extLst>
            <a:ext uri="{FF2B5EF4-FFF2-40B4-BE49-F238E27FC236}">
              <a16:creationId xmlns:a16="http://schemas.microsoft.com/office/drawing/2014/main" id="{920ADA94-A1D4-94CF-A8E9-3A748A916F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30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687</xdr:row>
      <xdr:rowOff>760942</xdr:rowOff>
    </xdr:from>
    <xdr:to>
      <xdr:col>0</xdr:col>
      <xdr:colOff>871538</xdr:colOff>
      <xdr:row>688</xdr:row>
      <xdr:rowOff>760942</xdr:rowOff>
    </xdr:to>
    <xdr:pic>
      <xdr:nvPicPr>
        <xdr:cNvPr id="2345" name="Obraz 2344">
          <a:extLst>
            <a:ext uri="{FF2B5EF4-FFF2-40B4-BE49-F238E27FC236}">
              <a16:creationId xmlns:a16="http://schemas.microsoft.com/office/drawing/2014/main" id="{802E36D4-A48D-75F2-5C3F-5CE85297F3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37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688</xdr:row>
      <xdr:rowOff>760942</xdr:rowOff>
    </xdr:from>
    <xdr:to>
      <xdr:col>0</xdr:col>
      <xdr:colOff>871538</xdr:colOff>
      <xdr:row>689</xdr:row>
      <xdr:rowOff>760942</xdr:rowOff>
    </xdr:to>
    <xdr:pic>
      <xdr:nvPicPr>
        <xdr:cNvPr id="2348" name="Obraz 2347">
          <a:extLst>
            <a:ext uri="{FF2B5EF4-FFF2-40B4-BE49-F238E27FC236}">
              <a16:creationId xmlns:a16="http://schemas.microsoft.com/office/drawing/2014/main" id="{445B23FE-57B9-11B5-446B-8BC47D0521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45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689</xdr:row>
      <xdr:rowOff>760942</xdr:rowOff>
    </xdr:from>
    <xdr:to>
      <xdr:col>0</xdr:col>
      <xdr:colOff>871538</xdr:colOff>
      <xdr:row>690</xdr:row>
      <xdr:rowOff>760942</xdr:rowOff>
    </xdr:to>
    <xdr:pic>
      <xdr:nvPicPr>
        <xdr:cNvPr id="2351" name="Obraz 2350">
          <a:extLst>
            <a:ext uri="{FF2B5EF4-FFF2-40B4-BE49-F238E27FC236}">
              <a16:creationId xmlns:a16="http://schemas.microsoft.com/office/drawing/2014/main" id="{EE3289F8-BC89-D6C0-9F74-941EB02467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53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690</xdr:row>
      <xdr:rowOff>760942</xdr:rowOff>
    </xdr:from>
    <xdr:to>
      <xdr:col>0</xdr:col>
      <xdr:colOff>871538</xdr:colOff>
      <xdr:row>691</xdr:row>
      <xdr:rowOff>760942</xdr:rowOff>
    </xdr:to>
    <xdr:pic>
      <xdr:nvPicPr>
        <xdr:cNvPr id="2354" name="Obraz 2353">
          <a:extLst>
            <a:ext uri="{FF2B5EF4-FFF2-40B4-BE49-F238E27FC236}">
              <a16:creationId xmlns:a16="http://schemas.microsoft.com/office/drawing/2014/main" id="{6CEA2CF6-7CD5-3ADE-73AE-0720F2C7FF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60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691</xdr:row>
      <xdr:rowOff>760942</xdr:rowOff>
    </xdr:from>
    <xdr:to>
      <xdr:col>0</xdr:col>
      <xdr:colOff>871538</xdr:colOff>
      <xdr:row>692</xdr:row>
      <xdr:rowOff>760942</xdr:rowOff>
    </xdr:to>
    <xdr:pic>
      <xdr:nvPicPr>
        <xdr:cNvPr id="2358" name="Obraz 2357">
          <a:extLst>
            <a:ext uri="{FF2B5EF4-FFF2-40B4-BE49-F238E27FC236}">
              <a16:creationId xmlns:a16="http://schemas.microsoft.com/office/drawing/2014/main" id="{B129AAE0-93E5-CF0E-8CE9-2967E1C979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68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692</xdr:row>
      <xdr:rowOff>760942</xdr:rowOff>
    </xdr:from>
    <xdr:to>
      <xdr:col>0</xdr:col>
      <xdr:colOff>871538</xdr:colOff>
      <xdr:row>693</xdr:row>
      <xdr:rowOff>760942</xdr:rowOff>
    </xdr:to>
    <xdr:pic>
      <xdr:nvPicPr>
        <xdr:cNvPr id="2361" name="Obraz 2360">
          <a:extLst>
            <a:ext uri="{FF2B5EF4-FFF2-40B4-BE49-F238E27FC236}">
              <a16:creationId xmlns:a16="http://schemas.microsoft.com/office/drawing/2014/main" id="{B789A8BB-B4AC-4F5B-EC61-01854D2DFF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75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693</xdr:row>
      <xdr:rowOff>760942</xdr:rowOff>
    </xdr:from>
    <xdr:to>
      <xdr:col>0</xdr:col>
      <xdr:colOff>871538</xdr:colOff>
      <xdr:row>694</xdr:row>
      <xdr:rowOff>760942</xdr:rowOff>
    </xdr:to>
    <xdr:pic>
      <xdr:nvPicPr>
        <xdr:cNvPr id="2364" name="Obraz 2363">
          <a:extLst>
            <a:ext uri="{FF2B5EF4-FFF2-40B4-BE49-F238E27FC236}">
              <a16:creationId xmlns:a16="http://schemas.microsoft.com/office/drawing/2014/main" id="{6AA0550B-87A2-9192-B57C-E28E1D39DB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83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694</xdr:row>
      <xdr:rowOff>760942</xdr:rowOff>
    </xdr:from>
    <xdr:to>
      <xdr:col>0</xdr:col>
      <xdr:colOff>871538</xdr:colOff>
      <xdr:row>695</xdr:row>
      <xdr:rowOff>760942</xdr:rowOff>
    </xdr:to>
    <xdr:pic>
      <xdr:nvPicPr>
        <xdr:cNvPr id="2367" name="Obraz 2366">
          <a:extLst>
            <a:ext uri="{FF2B5EF4-FFF2-40B4-BE49-F238E27FC236}">
              <a16:creationId xmlns:a16="http://schemas.microsoft.com/office/drawing/2014/main" id="{355E3F15-2396-2CE3-6F5D-00AF0F6C6E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91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695</xdr:row>
      <xdr:rowOff>760942</xdr:rowOff>
    </xdr:from>
    <xdr:to>
      <xdr:col>0</xdr:col>
      <xdr:colOff>871538</xdr:colOff>
      <xdr:row>696</xdr:row>
      <xdr:rowOff>760942</xdr:rowOff>
    </xdr:to>
    <xdr:pic>
      <xdr:nvPicPr>
        <xdr:cNvPr id="2370" name="Obraz 2369">
          <a:extLst>
            <a:ext uri="{FF2B5EF4-FFF2-40B4-BE49-F238E27FC236}">
              <a16:creationId xmlns:a16="http://schemas.microsoft.com/office/drawing/2014/main" id="{C79EBB66-4883-B118-6FA1-BABF8BCD2C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298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696</xdr:row>
      <xdr:rowOff>760942</xdr:rowOff>
    </xdr:from>
    <xdr:to>
      <xdr:col>0</xdr:col>
      <xdr:colOff>871538</xdr:colOff>
      <xdr:row>697</xdr:row>
      <xdr:rowOff>760942</xdr:rowOff>
    </xdr:to>
    <xdr:pic>
      <xdr:nvPicPr>
        <xdr:cNvPr id="2374" name="Obraz 2373">
          <a:extLst>
            <a:ext uri="{FF2B5EF4-FFF2-40B4-BE49-F238E27FC236}">
              <a16:creationId xmlns:a16="http://schemas.microsoft.com/office/drawing/2014/main" id="{3D7C3BE7-6630-FAD5-FAB6-C12288E90A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06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697</xdr:row>
      <xdr:rowOff>760942</xdr:rowOff>
    </xdr:from>
    <xdr:to>
      <xdr:col>0</xdr:col>
      <xdr:colOff>871538</xdr:colOff>
      <xdr:row>698</xdr:row>
      <xdr:rowOff>760942</xdr:rowOff>
    </xdr:to>
    <xdr:pic>
      <xdr:nvPicPr>
        <xdr:cNvPr id="2377" name="Obraz 2376">
          <a:extLst>
            <a:ext uri="{FF2B5EF4-FFF2-40B4-BE49-F238E27FC236}">
              <a16:creationId xmlns:a16="http://schemas.microsoft.com/office/drawing/2014/main" id="{9106E23E-A6A0-4101-D43F-B9711E3F4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14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698</xdr:row>
      <xdr:rowOff>760942</xdr:rowOff>
    </xdr:from>
    <xdr:to>
      <xdr:col>0</xdr:col>
      <xdr:colOff>871538</xdr:colOff>
      <xdr:row>699</xdr:row>
      <xdr:rowOff>760942</xdr:rowOff>
    </xdr:to>
    <xdr:pic>
      <xdr:nvPicPr>
        <xdr:cNvPr id="2380" name="Obraz 2379">
          <a:extLst>
            <a:ext uri="{FF2B5EF4-FFF2-40B4-BE49-F238E27FC236}">
              <a16:creationId xmlns:a16="http://schemas.microsoft.com/office/drawing/2014/main" id="{68DAA4B3-0625-85E4-48EB-E0324FBAD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21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699</xdr:row>
      <xdr:rowOff>760942</xdr:rowOff>
    </xdr:from>
    <xdr:to>
      <xdr:col>0</xdr:col>
      <xdr:colOff>871538</xdr:colOff>
      <xdr:row>700</xdr:row>
      <xdr:rowOff>760942</xdr:rowOff>
    </xdr:to>
    <xdr:pic>
      <xdr:nvPicPr>
        <xdr:cNvPr id="2383" name="Obraz 2382">
          <a:extLst>
            <a:ext uri="{FF2B5EF4-FFF2-40B4-BE49-F238E27FC236}">
              <a16:creationId xmlns:a16="http://schemas.microsoft.com/office/drawing/2014/main" id="{ADD59949-FE58-AECE-7EE9-1333AC37FD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29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700</xdr:row>
      <xdr:rowOff>760942</xdr:rowOff>
    </xdr:from>
    <xdr:to>
      <xdr:col>0</xdr:col>
      <xdr:colOff>871538</xdr:colOff>
      <xdr:row>701</xdr:row>
      <xdr:rowOff>760942</xdr:rowOff>
    </xdr:to>
    <xdr:pic>
      <xdr:nvPicPr>
        <xdr:cNvPr id="2386" name="Obraz 2385">
          <a:extLst>
            <a:ext uri="{FF2B5EF4-FFF2-40B4-BE49-F238E27FC236}">
              <a16:creationId xmlns:a16="http://schemas.microsoft.com/office/drawing/2014/main" id="{18782FA9-9E1E-0DBD-F6B1-B496F47D0D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36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701</xdr:row>
      <xdr:rowOff>760942</xdr:rowOff>
    </xdr:from>
    <xdr:to>
      <xdr:col>0</xdr:col>
      <xdr:colOff>871538</xdr:colOff>
      <xdr:row>702</xdr:row>
      <xdr:rowOff>760942</xdr:rowOff>
    </xdr:to>
    <xdr:pic>
      <xdr:nvPicPr>
        <xdr:cNvPr id="2390" name="Obraz 2389">
          <a:extLst>
            <a:ext uri="{FF2B5EF4-FFF2-40B4-BE49-F238E27FC236}">
              <a16:creationId xmlns:a16="http://schemas.microsoft.com/office/drawing/2014/main" id="{25ED09D9-5227-D1D9-842F-11F0F75A4F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44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702</xdr:row>
      <xdr:rowOff>760942</xdr:rowOff>
    </xdr:from>
    <xdr:to>
      <xdr:col>0</xdr:col>
      <xdr:colOff>871538</xdr:colOff>
      <xdr:row>703</xdr:row>
      <xdr:rowOff>760942</xdr:rowOff>
    </xdr:to>
    <xdr:pic>
      <xdr:nvPicPr>
        <xdr:cNvPr id="2393" name="Obraz 2392">
          <a:extLst>
            <a:ext uri="{FF2B5EF4-FFF2-40B4-BE49-F238E27FC236}">
              <a16:creationId xmlns:a16="http://schemas.microsoft.com/office/drawing/2014/main" id="{2F6A43B3-554A-6F95-68AB-18278FA4A2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52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703</xdr:row>
      <xdr:rowOff>760942</xdr:rowOff>
    </xdr:from>
    <xdr:to>
      <xdr:col>0</xdr:col>
      <xdr:colOff>871538</xdr:colOff>
      <xdr:row>704</xdr:row>
      <xdr:rowOff>760942</xdr:rowOff>
    </xdr:to>
    <xdr:pic>
      <xdr:nvPicPr>
        <xdr:cNvPr id="2396" name="Obraz 2395">
          <a:extLst>
            <a:ext uri="{FF2B5EF4-FFF2-40B4-BE49-F238E27FC236}">
              <a16:creationId xmlns:a16="http://schemas.microsoft.com/office/drawing/2014/main" id="{AC413D0D-B87E-52E0-A7FE-FAFA39A2C9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59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704</xdr:row>
      <xdr:rowOff>760942</xdr:rowOff>
    </xdr:from>
    <xdr:to>
      <xdr:col>0</xdr:col>
      <xdr:colOff>871538</xdr:colOff>
      <xdr:row>705</xdr:row>
      <xdr:rowOff>760942</xdr:rowOff>
    </xdr:to>
    <xdr:pic>
      <xdr:nvPicPr>
        <xdr:cNvPr id="2399" name="Obraz 2398">
          <a:extLst>
            <a:ext uri="{FF2B5EF4-FFF2-40B4-BE49-F238E27FC236}">
              <a16:creationId xmlns:a16="http://schemas.microsoft.com/office/drawing/2014/main" id="{D461C4C7-CFB4-15AC-398B-8ED277261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67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705</xdr:row>
      <xdr:rowOff>760942</xdr:rowOff>
    </xdr:from>
    <xdr:to>
      <xdr:col>0</xdr:col>
      <xdr:colOff>871538</xdr:colOff>
      <xdr:row>706</xdr:row>
      <xdr:rowOff>760942</xdr:rowOff>
    </xdr:to>
    <xdr:pic>
      <xdr:nvPicPr>
        <xdr:cNvPr id="2402" name="Obraz 2401">
          <a:extLst>
            <a:ext uri="{FF2B5EF4-FFF2-40B4-BE49-F238E27FC236}">
              <a16:creationId xmlns:a16="http://schemas.microsoft.com/office/drawing/2014/main" id="{176B2AAA-753A-2204-BEF4-147966BE16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75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706</xdr:row>
      <xdr:rowOff>760942</xdr:rowOff>
    </xdr:from>
    <xdr:to>
      <xdr:col>0</xdr:col>
      <xdr:colOff>871538</xdr:colOff>
      <xdr:row>707</xdr:row>
      <xdr:rowOff>760942</xdr:rowOff>
    </xdr:to>
    <xdr:pic>
      <xdr:nvPicPr>
        <xdr:cNvPr id="2406" name="Obraz 2405">
          <a:extLst>
            <a:ext uri="{FF2B5EF4-FFF2-40B4-BE49-F238E27FC236}">
              <a16:creationId xmlns:a16="http://schemas.microsoft.com/office/drawing/2014/main" id="{064B1F62-6512-8B7D-0F4E-200A472B83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82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707</xdr:row>
      <xdr:rowOff>760942</xdr:rowOff>
    </xdr:from>
    <xdr:to>
      <xdr:col>0</xdr:col>
      <xdr:colOff>871538</xdr:colOff>
      <xdr:row>708</xdr:row>
      <xdr:rowOff>760942</xdr:rowOff>
    </xdr:to>
    <xdr:pic>
      <xdr:nvPicPr>
        <xdr:cNvPr id="2409" name="Obraz 2408">
          <a:extLst>
            <a:ext uri="{FF2B5EF4-FFF2-40B4-BE49-F238E27FC236}">
              <a16:creationId xmlns:a16="http://schemas.microsoft.com/office/drawing/2014/main" id="{3F51FDDD-D5F9-0FDA-0484-5B0D205DCF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90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708</xdr:row>
      <xdr:rowOff>760942</xdr:rowOff>
    </xdr:from>
    <xdr:to>
      <xdr:col>0</xdr:col>
      <xdr:colOff>871538</xdr:colOff>
      <xdr:row>709</xdr:row>
      <xdr:rowOff>760942</xdr:rowOff>
    </xdr:to>
    <xdr:pic>
      <xdr:nvPicPr>
        <xdr:cNvPr id="2412" name="Obraz 2411">
          <a:extLst>
            <a:ext uri="{FF2B5EF4-FFF2-40B4-BE49-F238E27FC236}">
              <a16:creationId xmlns:a16="http://schemas.microsoft.com/office/drawing/2014/main" id="{A73642A5-637F-2680-14F0-BBFD152726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397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709</xdr:row>
      <xdr:rowOff>760942</xdr:rowOff>
    </xdr:from>
    <xdr:to>
      <xdr:col>0</xdr:col>
      <xdr:colOff>871538</xdr:colOff>
      <xdr:row>710</xdr:row>
      <xdr:rowOff>760942</xdr:rowOff>
    </xdr:to>
    <xdr:pic>
      <xdr:nvPicPr>
        <xdr:cNvPr id="2415" name="Obraz 2414">
          <a:extLst>
            <a:ext uri="{FF2B5EF4-FFF2-40B4-BE49-F238E27FC236}">
              <a16:creationId xmlns:a16="http://schemas.microsoft.com/office/drawing/2014/main" id="{3AAC8629-411A-2238-6A4E-D8B61AB193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05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710</xdr:row>
      <xdr:rowOff>760942</xdr:rowOff>
    </xdr:from>
    <xdr:to>
      <xdr:col>0</xdr:col>
      <xdr:colOff>871538</xdr:colOff>
      <xdr:row>711</xdr:row>
      <xdr:rowOff>760942</xdr:rowOff>
    </xdr:to>
    <xdr:pic>
      <xdr:nvPicPr>
        <xdr:cNvPr id="2418" name="Obraz 2417">
          <a:extLst>
            <a:ext uri="{FF2B5EF4-FFF2-40B4-BE49-F238E27FC236}">
              <a16:creationId xmlns:a16="http://schemas.microsoft.com/office/drawing/2014/main" id="{19D1400A-54C2-A193-51B9-9AC73512C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13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711</xdr:row>
      <xdr:rowOff>760942</xdr:rowOff>
    </xdr:from>
    <xdr:to>
      <xdr:col>0</xdr:col>
      <xdr:colOff>871538</xdr:colOff>
      <xdr:row>712</xdr:row>
      <xdr:rowOff>760942</xdr:rowOff>
    </xdr:to>
    <xdr:pic>
      <xdr:nvPicPr>
        <xdr:cNvPr id="2422" name="Obraz 2421">
          <a:extLst>
            <a:ext uri="{FF2B5EF4-FFF2-40B4-BE49-F238E27FC236}">
              <a16:creationId xmlns:a16="http://schemas.microsoft.com/office/drawing/2014/main" id="{C261C470-1A4D-7ACA-3E79-6A68FDCE50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20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712</xdr:row>
      <xdr:rowOff>760942</xdr:rowOff>
    </xdr:from>
    <xdr:to>
      <xdr:col>0</xdr:col>
      <xdr:colOff>871538</xdr:colOff>
      <xdr:row>713</xdr:row>
      <xdr:rowOff>760942</xdr:rowOff>
    </xdr:to>
    <xdr:pic>
      <xdr:nvPicPr>
        <xdr:cNvPr id="2425" name="Obraz 2424">
          <a:extLst>
            <a:ext uri="{FF2B5EF4-FFF2-40B4-BE49-F238E27FC236}">
              <a16:creationId xmlns:a16="http://schemas.microsoft.com/office/drawing/2014/main" id="{691C6BB7-C6AB-18AC-5218-538B97AC8B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28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713</xdr:row>
      <xdr:rowOff>760942</xdr:rowOff>
    </xdr:from>
    <xdr:to>
      <xdr:col>0</xdr:col>
      <xdr:colOff>871538</xdr:colOff>
      <xdr:row>714</xdr:row>
      <xdr:rowOff>760942</xdr:rowOff>
    </xdr:to>
    <xdr:pic>
      <xdr:nvPicPr>
        <xdr:cNvPr id="2428" name="Obraz 2427">
          <a:extLst>
            <a:ext uri="{FF2B5EF4-FFF2-40B4-BE49-F238E27FC236}">
              <a16:creationId xmlns:a16="http://schemas.microsoft.com/office/drawing/2014/main" id="{E3301550-6EE3-9944-686D-EAF8B99F36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36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714</xdr:row>
      <xdr:rowOff>760942</xdr:rowOff>
    </xdr:from>
    <xdr:to>
      <xdr:col>0</xdr:col>
      <xdr:colOff>871538</xdr:colOff>
      <xdr:row>715</xdr:row>
      <xdr:rowOff>760942</xdr:rowOff>
    </xdr:to>
    <xdr:pic>
      <xdr:nvPicPr>
        <xdr:cNvPr id="2431" name="Obraz 2430">
          <a:extLst>
            <a:ext uri="{FF2B5EF4-FFF2-40B4-BE49-F238E27FC236}">
              <a16:creationId xmlns:a16="http://schemas.microsoft.com/office/drawing/2014/main" id="{AC4E2E9A-098C-CAF4-94EE-7DE6B5722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43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715</xdr:row>
      <xdr:rowOff>760942</xdr:rowOff>
    </xdr:from>
    <xdr:to>
      <xdr:col>0</xdr:col>
      <xdr:colOff>871538</xdr:colOff>
      <xdr:row>716</xdr:row>
      <xdr:rowOff>760942</xdr:rowOff>
    </xdr:to>
    <xdr:pic>
      <xdr:nvPicPr>
        <xdr:cNvPr id="2434" name="Obraz 2433">
          <a:extLst>
            <a:ext uri="{FF2B5EF4-FFF2-40B4-BE49-F238E27FC236}">
              <a16:creationId xmlns:a16="http://schemas.microsoft.com/office/drawing/2014/main" id="{C20CEF9B-7A68-6943-4A71-3F39D5CDA9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51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716</xdr:row>
      <xdr:rowOff>760942</xdr:rowOff>
    </xdr:from>
    <xdr:to>
      <xdr:col>0</xdr:col>
      <xdr:colOff>871538</xdr:colOff>
      <xdr:row>717</xdr:row>
      <xdr:rowOff>760942</xdr:rowOff>
    </xdr:to>
    <xdr:pic>
      <xdr:nvPicPr>
        <xdr:cNvPr id="2438" name="Obraz 2437">
          <a:extLst>
            <a:ext uri="{FF2B5EF4-FFF2-40B4-BE49-F238E27FC236}">
              <a16:creationId xmlns:a16="http://schemas.microsoft.com/office/drawing/2014/main" id="{611390A8-804E-BB79-C15D-79A0DC802D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58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717</xdr:row>
      <xdr:rowOff>760942</xdr:rowOff>
    </xdr:from>
    <xdr:to>
      <xdr:col>0</xdr:col>
      <xdr:colOff>871538</xdr:colOff>
      <xdr:row>718</xdr:row>
      <xdr:rowOff>760942</xdr:rowOff>
    </xdr:to>
    <xdr:pic>
      <xdr:nvPicPr>
        <xdr:cNvPr id="2441" name="Obraz 2440">
          <a:extLst>
            <a:ext uri="{FF2B5EF4-FFF2-40B4-BE49-F238E27FC236}">
              <a16:creationId xmlns:a16="http://schemas.microsoft.com/office/drawing/2014/main" id="{417ECF20-B5FB-FB59-7D22-76C8387B83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66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718</xdr:row>
      <xdr:rowOff>760942</xdr:rowOff>
    </xdr:from>
    <xdr:to>
      <xdr:col>0</xdr:col>
      <xdr:colOff>871538</xdr:colOff>
      <xdr:row>719</xdr:row>
      <xdr:rowOff>760942</xdr:rowOff>
    </xdr:to>
    <xdr:pic>
      <xdr:nvPicPr>
        <xdr:cNvPr id="2444" name="Obraz 2443">
          <a:extLst>
            <a:ext uri="{FF2B5EF4-FFF2-40B4-BE49-F238E27FC236}">
              <a16:creationId xmlns:a16="http://schemas.microsoft.com/office/drawing/2014/main" id="{286C9CBB-0640-C9AF-DF1B-EAB36CBCC4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74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719</xdr:row>
      <xdr:rowOff>760942</xdr:rowOff>
    </xdr:from>
    <xdr:to>
      <xdr:col>0</xdr:col>
      <xdr:colOff>871538</xdr:colOff>
      <xdr:row>720</xdr:row>
      <xdr:rowOff>760942</xdr:rowOff>
    </xdr:to>
    <xdr:pic>
      <xdr:nvPicPr>
        <xdr:cNvPr id="2447" name="Obraz 2446">
          <a:extLst>
            <a:ext uri="{FF2B5EF4-FFF2-40B4-BE49-F238E27FC236}">
              <a16:creationId xmlns:a16="http://schemas.microsoft.com/office/drawing/2014/main" id="{3F166403-92A6-C107-1771-EF8AE29BFE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81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720</xdr:row>
      <xdr:rowOff>760942</xdr:rowOff>
    </xdr:from>
    <xdr:to>
      <xdr:col>0</xdr:col>
      <xdr:colOff>871538</xdr:colOff>
      <xdr:row>721</xdr:row>
      <xdr:rowOff>760942</xdr:rowOff>
    </xdr:to>
    <xdr:pic>
      <xdr:nvPicPr>
        <xdr:cNvPr id="2450" name="Obraz 2449">
          <a:extLst>
            <a:ext uri="{FF2B5EF4-FFF2-40B4-BE49-F238E27FC236}">
              <a16:creationId xmlns:a16="http://schemas.microsoft.com/office/drawing/2014/main" id="{88E522C2-6987-77F2-96D5-107D0C9BF4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89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721</xdr:row>
      <xdr:rowOff>760942</xdr:rowOff>
    </xdr:from>
    <xdr:to>
      <xdr:col>0</xdr:col>
      <xdr:colOff>871538</xdr:colOff>
      <xdr:row>722</xdr:row>
      <xdr:rowOff>760942</xdr:rowOff>
    </xdr:to>
    <xdr:pic>
      <xdr:nvPicPr>
        <xdr:cNvPr id="2454" name="Obraz 2453">
          <a:extLst>
            <a:ext uri="{FF2B5EF4-FFF2-40B4-BE49-F238E27FC236}">
              <a16:creationId xmlns:a16="http://schemas.microsoft.com/office/drawing/2014/main" id="{0098BC8A-839B-9CF9-A54F-2998B17D7F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496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722</xdr:row>
      <xdr:rowOff>760942</xdr:rowOff>
    </xdr:from>
    <xdr:to>
      <xdr:col>0</xdr:col>
      <xdr:colOff>871538</xdr:colOff>
      <xdr:row>723</xdr:row>
      <xdr:rowOff>760942</xdr:rowOff>
    </xdr:to>
    <xdr:pic>
      <xdr:nvPicPr>
        <xdr:cNvPr id="2457" name="Obraz 2456">
          <a:extLst>
            <a:ext uri="{FF2B5EF4-FFF2-40B4-BE49-F238E27FC236}">
              <a16:creationId xmlns:a16="http://schemas.microsoft.com/office/drawing/2014/main" id="{0E00133A-8291-6624-49D8-96A56B8F60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04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723</xdr:row>
      <xdr:rowOff>760942</xdr:rowOff>
    </xdr:from>
    <xdr:to>
      <xdr:col>0</xdr:col>
      <xdr:colOff>871538</xdr:colOff>
      <xdr:row>724</xdr:row>
      <xdr:rowOff>760942</xdr:rowOff>
    </xdr:to>
    <xdr:pic>
      <xdr:nvPicPr>
        <xdr:cNvPr id="2460" name="Obraz 2459">
          <a:extLst>
            <a:ext uri="{FF2B5EF4-FFF2-40B4-BE49-F238E27FC236}">
              <a16:creationId xmlns:a16="http://schemas.microsoft.com/office/drawing/2014/main" id="{861A01DC-5988-3241-7D59-582260AE66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12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724</xdr:row>
      <xdr:rowOff>760942</xdr:rowOff>
    </xdr:from>
    <xdr:to>
      <xdr:col>0</xdr:col>
      <xdr:colOff>871538</xdr:colOff>
      <xdr:row>725</xdr:row>
      <xdr:rowOff>760942</xdr:rowOff>
    </xdr:to>
    <xdr:pic>
      <xdr:nvPicPr>
        <xdr:cNvPr id="2463" name="Obraz 2462">
          <a:extLst>
            <a:ext uri="{FF2B5EF4-FFF2-40B4-BE49-F238E27FC236}">
              <a16:creationId xmlns:a16="http://schemas.microsoft.com/office/drawing/2014/main" id="{DE4B4828-D363-6509-9942-84C9B0E566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19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725</xdr:row>
      <xdr:rowOff>760942</xdr:rowOff>
    </xdr:from>
    <xdr:to>
      <xdr:col>0</xdr:col>
      <xdr:colOff>871538</xdr:colOff>
      <xdr:row>726</xdr:row>
      <xdr:rowOff>760942</xdr:rowOff>
    </xdr:to>
    <xdr:pic>
      <xdr:nvPicPr>
        <xdr:cNvPr id="2466" name="Obraz 2465">
          <a:extLst>
            <a:ext uri="{FF2B5EF4-FFF2-40B4-BE49-F238E27FC236}">
              <a16:creationId xmlns:a16="http://schemas.microsoft.com/office/drawing/2014/main" id="{5F5262E8-8364-3B97-5ABF-37CDF60D13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27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726</xdr:row>
      <xdr:rowOff>760942</xdr:rowOff>
    </xdr:from>
    <xdr:to>
      <xdr:col>0</xdr:col>
      <xdr:colOff>871538</xdr:colOff>
      <xdr:row>727</xdr:row>
      <xdr:rowOff>760942</xdr:rowOff>
    </xdr:to>
    <xdr:pic>
      <xdr:nvPicPr>
        <xdr:cNvPr id="2470" name="Obraz 2469">
          <a:extLst>
            <a:ext uri="{FF2B5EF4-FFF2-40B4-BE49-F238E27FC236}">
              <a16:creationId xmlns:a16="http://schemas.microsoft.com/office/drawing/2014/main" id="{BAB118D7-68AD-9EE9-D85E-8C2C8092FC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35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727</xdr:row>
      <xdr:rowOff>760942</xdr:rowOff>
    </xdr:from>
    <xdr:to>
      <xdr:col>0</xdr:col>
      <xdr:colOff>871538</xdr:colOff>
      <xdr:row>728</xdr:row>
      <xdr:rowOff>760942</xdr:rowOff>
    </xdr:to>
    <xdr:pic>
      <xdr:nvPicPr>
        <xdr:cNvPr id="2473" name="Obraz 2472">
          <a:extLst>
            <a:ext uri="{FF2B5EF4-FFF2-40B4-BE49-F238E27FC236}">
              <a16:creationId xmlns:a16="http://schemas.microsoft.com/office/drawing/2014/main" id="{E0F8CB8A-F733-5EAA-0032-1F1A77084F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42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728</xdr:row>
      <xdr:rowOff>760942</xdr:rowOff>
    </xdr:from>
    <xdr:to>
      <xdr:col>0</xdr:col>
      <xdr:colOff>871538</xdr:colOff>
      <xdr:row>729</xdr:row>
      <xdr:rowOff>760942</xdr:rowOff>
    </xdr:to>
    <xdr:pic>
      <xdr:nvPicPr>
        <xdr:cNvPr id="2476" name="Obraz 2475">
          <a:extLst>
            <a:ext uri="{FF2B5EF4-FFF2-40B4-BE49-F238E27FC236}">
              <a16:creationId xmlns:a16="http://schemas.microsoft.com/office/drawing/2014/main" id="{8CBB6FA4-65A3-66B4-8ED3-1B401143B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50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729</xdr:row>
      <xdr:rowOff>760942</xdr:rowOff>
    </xdr:from>
    <xdr:to>
      <xdr:col>0</xdr:col>
      <xdr:colOff>871538</xdr:colOff>
      <xdr:row>730</xdr:row>
      <xdr:rowOff>760942</xdr:rowOff>
    </xdr:to>
    <xdr:pic>
      <xdr:nvPicPr>
        <xdr:cNvPr id="2479" name="Obraz 2478">
          <a:extLst>
            <a:ext uri="{FF2B5EF4-FFF2-40B4-BE49-F238E27FC236}">
              <a16:creationId xmlns:a16="http://schemas.microsoft.com/office/drawing/2014/main" id="{B7CBB320-D141-6494-6A5E-0DBD64C270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57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730</xdr:row>
      <xdr:rowOff>760942</xdr:rowOff>
    </xdr:from>
    <xdr:to>
      <xdr:col>0</xdr:col>
      <xdr:colOff>871538</xdr:colOff>
      <xdr:row>731</xdr:row>
      <xdr:rowOff>760942</xdr:rowOff>
    </xdr:to>
    <xdr:pic>
      <xdr:nvPicPr>
        <xdr:cNvPr id="2482" name="Obraz 2481">
          <a:extLst>
            <a:ext uri="{FF2B5EF4-FFF2-40B4-BE49-F238E27FC236}">
              <a16:creationId xmlns:a16="http://schemas.microsoft.com/office/drawing/2014/main" id="{24C75D7C-1EAE-16E9-14E7-96AC6C6FBF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65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731</xdr:row>
      <xdr:rowOff>760942</xdr:rowOff>
    </xdr:from>
    <xdr:to>
      <xdr:col>0</xdr:col>
      <xdr:colOff>871538</xdr:colOff>
      <xdr:row>732</xdr:row>
      <xdr:rowOff>760942</xdr:rowOff>
    </xdr:to>
    <xdr:pic>
      <xdr:nvPicPr>
        <xdr:cNvPr id="2486" name="Obraz 2485">
          <a:extLst>
            <a:ext uri="{FF2B5EF4-FFF2-40B4-BE49-F238E27FC236}">
              <a16:creationId xmlns:a16="http://schemas.microsoft.com/office/drawing/2014/main" id="{2F28459E-E9CB-7267-7705-2EDD1A02CE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73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732</xdr:row>
      <xdr:rowOff>760942</xdr:rowOff>
    </xdr:from>
    <xdr:to>
      <xdr:col>0</xdr:col>
      <xdr:colOff>871538</xdr:colOff>
      <xdr:row>733</xdr:row>
      <xdr:rowOff>760942</xdr:rowOff>
    </xdr:to>
    <xdr:pic>
      <xdr:nvPicPr>
        <xdr:cNvPr id="2489" name="Obraz 2488">
          <a:extLst>
            <a:ext uri="{FF2B5EF4-FFF2-40B4-BE49-F238E27FC236}">
              <a16:creationId xmlns:a16="http://schemas.microsoft.com/office/drawing/2014/main" id="{62529FC3-8E70-ABEE-9D38-7755420B29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80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733</xdr:row>
      <xdr:rowOff>760942</xdr:rowOff>
    </xdr:from>
    <xdr:to>
      <xdr:col>0</xdr:col>
      <xdr:colOff>871538</xdr:colOff>
      <xdr:row>734</xdr:row>
      <xdr:rowOff>760942</xdr:rowOff>
    </xdr:to>
    <xdr:pic>
      <xdr:nvPicPr>
        <xdr:cNvPr id="2492" name="Obraz 2491">
          <a:extLst>
            <a:ext uri="{FF2B5EF4-FFF2-40B4-BE49-F238E27FC236}">
              <a16:creationId xmlns:a16="http://schemas.microsoft.com/office/drawing/2014/main" id="{AA3E4FBC-AB0B-0F2F-AB7B-D92DF2C159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88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734</xdr:row>
      <xdr:rowOff>760942</xdr:rowOff>
    </xdr:from>
    <xdr:to>
      <xdr:col>0</xdr:col>
      <xdr:colOff>871538</xdr:colOff>
      <xdr:row>735</xdr:row>
      <xdr:rowOff>760942</xdr:rowOff>
    </xdr:to>
    <xdr:pic>
      <xdr:nvPicPr>
        <xdr:cNvPr id="2495" name="Obraz 2494">
          <a:extLst>
            <a:ext uri="{FF2B5EF4-FFF2-40B4-BE49-F238E27FC236}">
              <a16:creationId xmlns:a16="http://schemas.microsoft.com/office/drawing/2014/main" id="{598F28D2-ED21-E14F-BFB9-1D3DC5EA43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596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735</xdr:row>
      <xdr:rowOff>760942</xdr:rowOff>
    </xdr:from>
    <xdr:to>
      <xdr:col>0</xdr:col>
      <xdr:colOff>871538</xdr:colOff>
      <xdr:row>736</xdr:row>
      <xdr:rowOff>760942</xdr:rowOff>
    </xdr:to>
    <xdr:pic>
      <xdr:nvPicPr>
        <xdr:cNvPr id="2498" name="Obraz 2497">
          <a:extLst>
            <a:ext uri="{FF2B5EF4-FFF2-40B4-BE49-F238E27FC236}">
              <a16:creationId xmlns:a16="http://schemas.microsoft.com/office/drawing/2014/main" id="{353DACE8-D144-39DE-62D7-71B04CF0CD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603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736</xdr:row>
      <xdr:rowOff>760942</xdr:rowOff>
    </xdr:from>
    <xdr:to>
      <xdr:col>0</xdr:col>
      <xdr:colOff>871538</xdr:colOff>
      <xdr:row>737</xdr:row>
      <xdr:rowOff>760942</xdr:rowOff>
    </xdr:to>
    <xdr:pic>
      <xdr:nvPicPr>
        <xdr:cNvPr id="2502" name="Obraz 2501">
          <a:extLst>
            <a:ext uri="{FF2B5EF4-FFF2-40B4-BE49-F238E27FC236}">
              <a16:creationId xmlns:a16="http://schemas.microsoft.com/office/drawing/2014/main" id="{684A3CB4-4D77-2E84-AB88-50361D623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611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737</xdr:row>
      <xdr:rowOff>760942</xdr:rowOff>
    </xdr:from>
    <xdr:to>
      <xdr:col>0</xdr:col>
      <xdr:colOff>871538</xdr:colOff>
      <xdr:row>738</xdr:row>
      <xdr:rowOff>760942</xdr:rowOff>
    </xdr:to>
    <xdr:pic>
      <xdr:nvPicPr>
        <xdr:cNvPr id="2505" name="Obraz 2504">
          <a:extLst>
            <a:ext uri="{FF2B5EF4-FFF2-40B4-BE49-F238E27FC236}">
              <a16:creationId xmlns:a16="http://schemas.microsoft.com/office/drawing/2014/main" id="{38133D5D-CF73-069E-FFD4-33D63207F0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618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738</xdr:row>
      <xdr:rowOff>760942</xdr:rowOff>
    </xdr:from>
    <xdr:to>
      <xdr:col>0</xdr:col>
      <xdr:colOff>871538</xdr:colOff>
      <xdr:row>739</xdr:row>
      <xdr:rowOff>760942</xdr:rowOff>
    </xdr:to>
    <xdr:pic>
      <xdr:nvPicPr>
        <xdr:cNvPr id="2508" name="Obraz 2507">
          <a:extLst>
            <a:ext uri="{FF2B5EF4-FFF2-40B4-BE49-F238E27FC236}">
              <a16:creationId xmlns:a16="http://schemas.microsoft.com/office/drawing/2014/main" id="{E32BCAED-885B-1651-90BC-E637BF44E1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626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739</xdr:row>
      <xdr:rowOff>760942</xdr:rowOff>
    </xdr:from>
    <xdr:to>
      <xdr:col>0</xdr:col>
      <xdr:colOff>871538</xdr:colOff>
      <xdr:row>740</xdr:row>
      <xdr:rowOff>760942</xdr:rowOff>
    </xdr:to>
    <xdr:pic>
      <xdr:nvPicPr>
        <xdr:cNvPr id="2511" name="Obraz 2510">
          <a:extLst>
            <a:ext uri="{FF2B5EF4-FFF2-40B4-BE49-F238E27FC236}">
              <a16:creationId xmlns:a16="http://schemas.microsoft.com/office/drawing/2014/main" id="{A0E5BB41-6E98-CB52-19C5-6A3EECF479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634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740</xdr:row>
      <xdr:rowOff>760942</xdr:rowOff>
    </xdr:from>
    <xdr:to>
      <xdr:col>0</xdr:col>
      <xdr:colOff>871538</xdr:colOff>
      <xdr:row>741</xdr:row>
      <xdr:rowOff>760942</xdr:rowOff>
    </xdr:to>
    <xdr:pic>
      <xdr:nvPicPr>
        <xdr:cNvPr id="2514" name="Obraz 2513">
          <a:extLst>
            <a:ext uri="{FF2B5EF4-FFF2-40B4-BE49-F238E27FC236}">
              <a16:creationId xmlns:a16="http://schemas.microsoft.com/office/drawing/2014/main" id="{4D1E93FB-40A1-A9EA-06F6-25C29F069C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641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741</xdr:row>
      <xdr:rowOff>760942</xdr:rowOff>
    </xdr:from>
    <xdr:to>
      <xdr:col>0</xdr:col>
      <xdr:colOff>871538</xdr:colOff>
      <xdr:row>742</xdr:row>
      <xdr:rowOff>760942</xdr:rowOff>
    </xdr:to>
    <xdr:pic>
      <xdr:nvPicPr>
        <xdr:cNvPr id="2518" name="Obraz 2517">
          <a:extLst>
            <a:ext uri="{FF2B5EF4-FFF2-40B4-BE49-F238E27FC236}">
              <a16:creationId xmlns:a16="http://schemas.microsoft.com/office/drawing/2014/main" id="{0F9F507A-6369-4B8C-AEB7-3F9CC2F222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649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742</xdr:row>
      <xdr:rowOff>760942</xdr:rowOff>
    </xdr:from>
    <xdr:to>
      <xdr:col>0</xdr:col>
      <xdr:colOff>871538</xdr:colOff>
      <xdr:row>743</xdr:row>
      <xdr:rowOff>760942</xdr:rowOff>
    </xdr:to>
    <xdr:pic>
      <xdr:nvPicPr>
        <xdr:cNvPr id="2521" name="Obraz 2520">
          <a:extLst>
            <a:ext uri="{FF2B5EF4-FFF2-40B4-BE49-F238E27FC236}">
              <a16:creationId xmlns:a16="http://schemas.microsoft.com/office/drawing/2014/main" id="{A8E80352-36C3-26D5-9602-CACA44674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656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743</xdr:row>
      <xdr:rowOff>760942</xdr:rowOff>
    </xdr:from>
    <xdr:to>
      <xdr:col>0</xdr:col>
      <xdr:colOff>871538</xdr:colOff>
      <xdr:row>744</xdr:row>
      <xdr:rowOff>760942</xdr:rowOff>
    </xdr:to>
    <xdr:pic>
      <xdr:nvPicPr>
        <xdr:cNvPr id="2524" name="Obraz 2523">
          <a:extLst>
            <a:ext uri="{FF2B5EF4-FFF2-40B4-BE49-F238E27FC236}">
              <a16:creationId xmlns:a16="http://schemas.microsoft.com/office/drawing/2014/main" id="{93684C7A-F528-BB8D-42A2-181023CEC5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664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744</xdr:row>
      <xdr:rowOff>760942</xdr:rowOff>
    </xdr:from>
    <xdr:to>
      <xdr:col>0</xdr:col>
      <xdr:colOff>871538</xdr:colOff>
      <xdr:row>745</xdr:row>
      <xdr:rowOff>760942</xdr:rowOff>
    </xdr:to>
    <xdr:pic>
      <xdr:nvPicPr>
        <xdr:cNvPr id="2527" name="Obraz 2526">
          <a:extLst>
            <a:ext uri="{FF2B5EF4-FFF2-40B4-BE49-F238E27FC236}">
              <a16:creationId xmlns:a16="http://schemas.microsoft.com/office/drawing/2014/main" id="{FEBBB569-6D2F-C17F-3F8D-353234C24A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672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745</xdr:row>
      <xdr:rowOff>760942</xdr:rowOff>
    </xdr:from>
    <xdr:to>
      <xdr:col>0</xdr:col>
      <xdr:colOff>871538</xdr:colOff>
      <xdr:row>746</xdr:row>
      <xdr:rowOff>760942</xdr:rowOff>
    </xdr:to>
    <xdr:pic>
      <xdr:nvPicPr>
        <xdr:cNvPr id="2530" name="Obraz 2529">
          <a:extLst>
            <a:ext uri="{FF2B5EF4-FFF2-40B4-BE49-F238E27FC236}">
              <a16:creationId xmlns:a16="http://schemas.microsoft.com/office/drawing/2014/main" id="{5BE91497-5502-0AFD-8420-BAD1DF57C6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679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746</xdr:row>
      <xdr:rowOff>760942</xdr:rowOff>
    </xdr:from>
    <xdr:to>
      <xdr:col>0</xdr:col>
      <xdr:colOff>871538</xdr:colOff>
      <xdr:row>747</xdr:row>
      <xdr:rowOff>760942</xdr:rowOff>
    </xdr:to>
    <xdr:pic>
      <xdr:nvPicPr>
        <xdr:cNvPr id="2534" name="Obraz 2533">
          <a:extLst>
            <a:ext uri="{FF2B5EF4-FFF2-40B4-BE49-F238E27FC236}">
              <a16:creationId xmlns:a16="http://schemas.microsoft.com/office/drawing/2014/main" id="{C11B5A02-EA05-72C9-50AE-08FF9779A4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687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747</xdr:row>
      <xdr:rowOff>760942</xdr:rowOff>
    </xdr:from>
    <xdr:to>
      <xdr:col>0</xdr:col>
      <xdr:colOff>871538</xdr:colOff>
      <xdr:row>748</xdr:row>
      <xdr:rowOff>760942</xdr:rowOff>
    </xdr:to>
    <xdr:pic>
      <xdr:nvPicPr>
        <xdr:cNvPr id="2537" name="Obraz 2536">
          <a:extLst>
            <a:ext uri="{FF2B5EF4-FFF2-40B4-BE49-F238E27FC236}">
              <a16:creationId xmlns:a16="http://schemas.microsoft.com/office/drawing/2014/main" id="{F0EA23FE-B2AD-C4C7-4479-2D787AC0C5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695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748</xdr:row>
      <xdr:rowOff>760942</xdr:rowOff>
    </xdr:from>
    <xdr:to>
      <xdr:col>0</xdr:col>
      <xdr:colOff>871538</xdr:colOff>
      <xdr:row>749</xdr:row>
      <xdr:rowOff>760942</xdr:rowOff>
    </xdr:to>
    <xdr:pic>
      <xdr:nvPicPr>
        <xdr:cNvPr id="2540" name="Obraz 2539">
          <a:extLst>
            <a:ext uri="{FF2B5EF4-FFF2-40B4-BE49-F238E27FC236}">
              <a16:creationId xmlns:a16="http://schemas.microsoft.com/office/drawing/2014/main" id="{4FC84A80-4425-AE06-ED63-2EF531B3C7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02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749</xdr:row>
      <xdr:rowOff>760942</xdr:rowOff>
    </xdr:from>
    <xdr:to>
      <xdr:col>0</xdr:col>
      <xdr:colOff>871538</xdr:colOff>
      <xdr:row>750</xdr:row>
      <xdr:rowOff>760942</xdr:rowOff>
    </xdr:to>
    <xdr:pic>
      <xdr:nvPicPr>
        <xdr:cNvPr id="2543" name="Obraz 2542">
          <a:extLst>
            <a:ext uri="{FF2B5EF4-FFF2-40B4-BE49-F238E27FC236}">
              <a16:creationId xmlns:a16="http://schemas.microsoft.com/office/drawing/2014/main" id="{2104EDE5-D1C5-4D78-731B-82FBDED09F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10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750</xdr:row>
      <xdr:rowOff>760942</xdr:rowOff>
    </xdr:from>
    <xdr:to>
      <xdr:col>0</xdr:col>
      <xdr:colOff>871538</xdr:colOff>
      <xdr:row>751</xdr:row>
      <xdr:rowOff>760942</xdr:rowOff>
    </xdr:to>
    <xdr:pic>
      <xdr:nvPicPr>
        <xdr:cNvPr id="2546" name="Obraz 2545">
          <a:extLst>
            <a:ext uri="{FF2B5EF4-FFF2-40B4-BE49-F238E27FC236}">
              <a16:creationId xmlns:a16="http://schemas.microsoft.com/office/drawing/2014/main" id="{6DCB4436-47D5-980B-5E10-BF03EDD85F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17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751</xdr:row>
      <xdr:rowOff>760942</xdr:rowOff>
    </xdr:from>
    <xdr:to>
      <xdr:col>0</xdr:col>
      <xdr:colOff>871538</xdr:colOff>
      <xdr:row>752</xdr:row>
      <xdr:rowOff>760942</xdr:rowOff>
    </xdr:to>
    <xdr:pic>
      <xdr:nvPicPr>
        <xdr:cNvPr id="2550" name="Obraz 2549">
          <a:extLst>
            <a:ext uri="{FF2B5EF4-FFF2-40B4-BE49-F238E27FC236}">
              <a16:creationId xmlns:a16="http://schemas.microsoft.com/office/drawing/2014/main" id="{E51E3EC0-639B-5FA0-9059-D7FC4765A0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25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752</xdr:row>
      <xdr:rowOff>760942</xdr:rowOff>
    </xdr:from>
    <xdr:to>
      <xdr:col>0</xdr:col>
      <xdr:colOff>871538</xdr:colOff>
      <xdr:row>753</xdr:row>
      <xdr:rowOff>760942</xdr:rowOff>
    </xdr:to>
    <xdr:pic>
      <xdr:nvPicPr>
        <xdr:cNvPr id="2553" name="Obraz 2552">
          <a:extLst>
            <a:ext uri="{FF2B5EF4-FFF2-40B4-BE49-F238E27FC236}">
              <a16:creationId xmlns:a16="http://schemas.microsoft.com/office/drawing/2014/main" id="{783AC9A8-307E-93B0-7F06-36A37C9ED7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33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753</xdr:row>
      <xdr:rowOff>760942</xdr:rowOff>
    </xdr:from>
    <xdr:to>
      <xdr:col>0</xdr:col>
      <xdr:colOff>871538</xdr:colOff>
      <xdr:row>754</xdr:row>
      <xdr:rowOff>760942</xdr:rowOff>
    </xdr:to>
    <xdr:pic>
      <xdr:nvPicPr>
        <xdr:cNvPr id="2556" name="Obraz 2555">
          <a:extLst>
            <a:ext uri="{FF2B5EF4-FFF2-40B4-BE49-F238E27FC236}">
              <a16:creationId xmlns:a16="http://schemas.microsoft.com/office/drawing/2014/main" id="{538AA815-6452-0D19-AFA2-224A6A099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40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754</xdr:row>
      <xdr:rowOff>760942</xdr:rowOff>
    </xdr:from>
    <xdr:to>
      <xdr:col>0</xdr:col>
      <xdr:colOff>871538</xdr:colOff>
      <xdr:row>755</xdr:row>
      <xdr:rowOff>760942</xdr:rowOff>
    </xdr:to>
    <xdr:pic>
      <xdr:nvPicPr>
        <xdr:cNvPr id="2559" name="Obraz 2558">
          <a:extLst>
            <a:ext uri="{FF2B5EF4-FFF2-40B4-BE49-F238E27FC236}">
              <a16:creationId xmlns:a16="http://schemas.microsoft.com/office/drawing/2014/main" id="{15D87D66-0791-1725-841C-1EF0D54436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48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755</xdr:row>
      <xdr:rowOff>760942</xdr:rowOff>
    </xdr:from>
    <xdr:to>
      <xdr:col>0</xdr:col>
      <xdr:colOff>871538</xdr:colOff>
      <xdr:row>756</xdr:row>
      <xdr:rowOff>760942</xdr:rowOff>
    </xdr:to>
    <xdr:pic>
      <xdr:nvPicPr>
        <xdr:cNvPr id="2562" name="Obraz 2561">
          <a:extLst>
            <a:ext uri="{FF2B5EF4-FFF2-40B4-BE49-F238E27FC236}">
              <a16:creationId xmlns:a16="http://schemas.microsoft.com/office/drawing/2014/main" id="{FA1691AE-3232-576C-8A75-C2BDB143BB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56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756</xdr:row>
      <xdr:rowOff>760942</xdr:rowOff>
    </xdr:from>
    <xdr:to>
      <xdr:col>0</xdr:col>
      <xdr:colOff>871538</xdr:colOff>
      <xdr:row>757</xdr:row>
      <xdr:rowOff>760942</xdr:rowOff>
    </xdr:to>
    <xdr:pic>
      <xdr:nvPicPr>
        <xdr:cNvPr id="2565" name="Obraz 2564">
          <a:extLst>
            <a:ext uri="{FF2B5EF4-FFF2-40B4-BE49-F238E27FC236}">
              <a16:creationId xmlns:a16="http://schemas.microsoft.com/office/drawing/2014/main" id="{05D38A60-5775-DC13-C8EF-5FEC785F30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63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757</xdr:row>
      <xdr:rowOff>760942</xdr:rowOff>
    </xdr:from>
    <xdr:to>
      <xdr:col>0</xdr:col>
      <xdr:colOff>871538</xdr:colOff>
      <xdr:row>758</xdr:row>
      <xdr:rowOff>760942</xdr:rowOff>
    </xdr:to>
    <xdr:pic>
      <xdr:nvPicPr>
        <xdr:cNvPr id="2567" name="Obraz 2566">
          <a:extLst>
            <a:ext uri="{FF2B5EF4-FFF2-40B4-BE49-F238E27FC236}">
              <a16:creationId xmlns:a16="http://schemas.microsoft.com/office/drawing/2014/main" id="{4830F50E-FEF8-CC36-A33E-8FDC478FCF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71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758</xdr:row>
      <xdr:rowOff>760942</xdr:rowOff>
    </xdr:from>
    <xdr:to>
      <xdr:col>0</xdr:col>
      <xdr:colOff>871538</xdr:colOff>
      <xdr:row>759</xdr:row>
      <xdr:rowOff>760942</xdr:rowOff>
    </xdr:to>
    <xdr:pic>
      <xdr:nvPicPr>
        <xdr:cNvPr id="2569" name="Obraz 2568">
          <a:extLst>
            <a:ext uri="{FF2B5EF4-FFF2-40B4-BE49-F238E27FC236}">
              <a16:creationId xmlns:a16="http://schemas.microsoft.com/office/drawing/2014/main" id="{9D30A55F-B959-906E-F6B8-99CAB492EC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78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759</xdr:row>
      <xdr:rowOff>760942</xdr:rowOff>
    </xdr:from>
    <xdr:to>
      <xdr:col>0</xdr:col>
      <xdr:colOff>871538</xdr:colOff>
      <xdr:row>760</xdr:row>
      <xdr:rowOff>760942</xdr:rowOff>
    </xdr:to>
    <xdr:pic>
      <xdr:nvPicPr>
        <xdr:cNvPr id="2571" name="Obraz 2570">
          <a:extLst>
            <a:ext uri="{FF2B5EF4-FFF2-40B4-BE49-F238E27FC236}">
              <a16:creationId xmlns:a16="http://schemas.microsoft.com/office/drawing/2014/main" id="{B8EB81D8-3CFD-1FEB-98FA-148BA7002A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86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760</xdr:row>
      <xdr:rowOff>760942</xdr:rowOff>
    </xdr:from>
    <xdr:to>
      <xdr:col>0</xdr:col>
      <xdr:colOff>871538</xdr:colOff>
      <xdr:row>761</xdr:row>
      <xdr:rowOff>760942</xdr:rowOff>
    </xdr:to>
    <xdr:pic>
      <xdr:nvPicPr>
        <xdr:cNvPr id="2573" name="Obraz 2572">
          <a:extLst>
            <a:ext uri="{FF2B5EF4-FFF2-40B4-BE49-F238E27FC236}">
              <a16:creationId xmlns:a16="http://schemas.microsoft.com/office/drawing/2014/main" id="{F15A25D5-2C6F-2D61-CB4D-17F1462EF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794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761</xdr:row>
      <xdr:rowOff>760942</xdr:rowOff>
    </xdr:from>
    <xdr:to>
      <xdr:col>0</xdr:col>
      <xdr:colOff>871538</xdr:colOff>
      <xdr:row>762</xdr:row>
      <xdr:rowOff>760942</xdr:rowOff>
    </xdr:to>
    <xdr:pic>
      <xdr:nvPicPr>
        <xdr:cNvPr id="2575" name="Obraz 2574">
          <a:extLst>
            <a:ext uri="{FF2B5EF4-FFF2-40B4-BE49-F238E27FC236}">
              <a16:creationId xmlns:a16="http://schemas.microsoft.com/office/drawing/2014/main" id="{13D0CE89-029F-8849-EB19-8BF45B9B62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01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762</xdr:row>
      <xdr:rowOff>760942</xdr:rowOff>
    </xdr:from>
    <xdr:to>
      <xdr:col>0</xdr:col>
      <xdr:colOff>871538</xdr:colOff>
      <xdr:row>763</xdr:row>
      <xdr:rowOff>760942</xdr:rowOff>
    </xdr:to>
    <xdr:pic>
      <xdr:nvPicPr>
        <xdr:cNvPr id="2577" name="Obraz 2576">
          <a:extLst>
            <a:ext uri="{FF2B5EF4-FFF2-40B4-BE49-F238E27FC236}">
              <a16:creationId xmlns:a16="http://schemas.microsoft.com/office/drawing/2014/main" id="{A9C43656-1920-26D6-22B2-6E9E32BE32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09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763</xdr:row>
      <xdr:rowOff>760942</xdr:rowOff>
    </xdr:from>
    <xdr:to>
      <xdr:col>0</xdr:col>
      <xdr:colOff>871538</xdr:colOff>
      <xdr:row>764</xdr:row>
      <xdr:rowOff>760942</xdr:rowOff>
    </xdr:to>
    <xdr:pic>
      <xdr:nvPicPr>
        <xdr:cNvPr id="2579" name="Obraz 2578">
          <a:extLst>
            <a:ext uri="{FF2B5EF4-FFF2-40B4-BE49-F238E27FC236}">
              <a16:creationId xmlns:a16="http://schemas.microsoft.com/office/drawing/2014/main" id="{58557A1F-2F38-64DD-E6C1-AD2FF8CC0A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17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764</xdr:row>
      <xdr:rowOff>760942</xdr:rowOff>
    </xdr:from>
    <xdr:to>
      <xdr:col>0</xdr:col>
      <xdr:colOff>871538</xdr:colOff>
      <xdr:row>765</xdr:row>
      <xdr:rowOff>760942</xdr:rowOff>
    </xdr:to>
    <xdr:pic>
      <xdr:nvPicPr>
        <xdr:cNvPr id="2581" name="Obraz 2580">
          <a:extLst>
            <a:ext uri="{FF2B5EF4-FFF2-40B4-BE49-F238E27FC236}">
              <a16:creationId xmlns:a16="http://schemas.microsoft.com/office/drawing/2014/main" id="{5C664623-FD9D-10E4-D3CC-1FFEE750C6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24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765</xdr:row>
      <xdr:rowOff>760942</xdr:rowOff>
    </xdr:from>
    <xdr:to>
      <xdr:col>0</xdr:col>
      <xdr:colOff>871538</xdr:colOff>
      <xdr:row>766</xdr:row>
      <xdr:rowOff>760942</xdr:rowOff>
    </xdr:to>
    <xdr:pic>
      <xdr:nvPicPr>
        <xdr:cNvPr id="2583" name="Obraz 2582">
          <a:extLst>
            <a:ext uri="{FF2B5EF4-FFF2-40B4-BE49-F238E27FC236}">
              <a16:creationId xmlns:a16="http://schemas.microsoft.com/office/drawing/2014/main" id="{8CF99653-75FD-FC6F-DF74-991188E463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32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766</xdr:row>
      <xdr:rowOff>760942</xdr:rowOff>
    </xdr:from>
    <xdr:to>
      <xdr:col>0</xdr:col>
      <xdr:colOff>871538</xdr:colOff>
      <xdr:row>767</xdr:row>
      <xdr:rowOff>760942</xdr:rowOff>
    </xdr:to>
    <xdr:pic>
      <xdr:nvPicPr>
        <xdr:cNvPr id="2585" name="Obraz 2584">
          <a:extLst>
            <a:ext uri="{FF2B5EF4-FFF2-40B4-BE49-F238E27FC236}">
              <a16:creationId xmlns:a16="http://schemas.microsoft.com/office/drawing/2014/main" id="{8681215B-01FD-DC11-0FB8-39D222D60A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39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767</xdr:row>
      <xdr:rowOff>760942</xdr:rowOff>
    </xdr:from>
    <xdr:to>
      <xdr:col>0</xdr:col>
      <xdr:colOff>871538</xdr:colOff>
      <xdr:row>768</xdr:row>
      <xdr:rowOff>760942</xdr:rowOff>
    </xdr:to>
    <xdr:pic>
      <xdr:nvPicPr>
        <xdr:cNvPr id="2587" name="Obraz 2586">
          <a:extLst>
            <a:ext uri="{FF2B5EF4-FFF2-40B4-BE49-F238E27FC236}">
              <a16:creationId xmlns:a16="http://schemas.microsoft.com/office/drawing/2014/main" id="{99EF9A96-F4F0-5069-6711-AB501E9863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47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768</xdr:row>
      <xdr:rowOff>760942</xdr:rowOff>
    </xdr:from>
    <xdr:to>
      <xdr:col>0</xdr:col>
      <xdr:colOff>871538</xdr:colOff>
      <xdr:row>769</xdr:row>
      <xdr:rowOff>760942</xdr:rowOff>
    </xdr:to>
    <xdr:pic>
      <xdr:nvPicPr>
        <xdr:cNvPr id="2589" name="Obraz 2588">
          <a:extLst>
            <a:ext uri="{FF2B5EF4-FFF2-40B4-BE49-F238E27FC236}">
              <a16:creationId xmlns:a16="http://schemas.microsoft.com/office/drawing/2014/main" id="{934B3159-B5BD-2708-4084-A78411B1B7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55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769</xdr:row>
      <xdr:rowOff>760942</xdr:rowOff>
    </xdr:from>
    <xdr:to>
      <xdr:col>0</xdr:col>
      <xdr:colOff>871538</xdr:colOff>
      <xdr:row>770</xdr:row>
      <xdr:rowOff>760942</xdr:rowOff>
    </xdr:to>
    <xdr:pic>
      <xdr:nvPicPr>
        <xdr:cNvPr id="2591" name="Obraz 2590">
          <a:extLst>
            <a:ext uri="{FF2B5EF4-FFF2-40B4-BE49-F238E27FC236}">
              <a16:creationId xmlns:a16="http://schemas.microsoft.com/office/drawing/2014/main" id="{D6E567CB-632B-9C5A-BC3D-D31740985F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62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770</xdr:row>
      <xdr:rowOff>760942</xdr:rowOff>
    </xdr:from>
    <xdr:to>
      <xdr:col>0</xdr:col>
      <xdr:colOff>871538</xdr:colOff>
      <xdr:row>771</xdr:row>
      <xdr:rowOff>760942</xdr:rowOff>
    </xdr:to>
    <xdr:pic>
      <xdr:nvPicPr>
        <xdr:cNvPr id="2593" name="Obraz 2592">
          <a:extLst>
            <a:ext uri="{FF2B5EF4-FFF2-40B4-BE49-F238E27FC236}">
              <a16:creationId xmlns:a16="http://schemas.microsoft.com/office/drawing/2014/main" id="{49434ECB-8C25-69FF-4BA2-1979D95E6D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70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771</xdr:row>
      <xdr:rowOff>760942</xdr:rowOff>
    </xdr:from>
    <xdr:to>
      <xdr:col>0</xdr:col>
      <xdr:colOff>871538</xdr:colOff>
      <xdr:row>772</xdr:row>
      <xdr:rowOff>760942</xdr:rowOff>
    </xdr:to>
    <xdr:pic>
      <xdr:nvPicPr>
        <xdr:cNvPr id="2595" name="Obraz 2594">
          <a:extLst>
            <a:ext uri="{FF2B5EF4-FFF2-40B4-BE49-F238E27FC236}">
              <a16:creationId xmlns:a16="http://schemas.microsoft.com/office/drawing/2014/main" id="{CF2C02A6-3B70-135D-B4FF-9CADFC0ABA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77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772</xdr:row>
      <xdr:rowOff>760942</xdr:rowOff>
    </xdr:from>
    <xdr:to>
      <xdr:col>0</xdr:col>
      <xdr:colOff>871538</xdr:colOff>
      <xdr:row>773</xdr:row>
      <xdr:rowOff>760942</xdr:rowOff>
    </xdr:to>
    <xdr:pic>
      <xdr:nvPicPr>
        <xdr:cNvPr id="2597" name="Obraz 2596">
          <a:extLst>
            <a:ext uri="{FF2B5EF4-FFF2-40B4-BE49-F238E27FC236}">
              <a16:creationId xmlns:a16="http://schemas.microsoft.com/office/drawing/2014/main" id="{862239B6-80D6-762D-F814-531C3E5DC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85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773</xdr:row>
      <xdr:rowOff>760942</xdr:rowOff>
    </xdr:from>
    <xdr:to>
      <xdr:col>0</xdr:col>
      <xdr:colOff>871538</xdr:colOff>
      <xdr:row>774</xdr:row>
      <xdr:rowOff>760942</xdr:rowOff>
    </xdr:to>
    <xdr:pic>
      <xdr:nvPicPr>
        <xdr:cNvPr id="2599" name="Obraz 2598">
          <a:extLst>
            <a:ext uri="{FF2B5EF4-FFF2-40B4-BE49-F238E27FC236}">
              <a16:creationId xmlns:a16="http://schemas.microsoft.com/office/drawing/2014/main" id="{001E1700-EC86-C7B2-DADB-B895ABD72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893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774</xdr:row>
      <xdr:rowOff>760942</xdr:rowOff>
    </xdr:from>
    <xdr:to>
      <xdr:col>0</xdr:col>
      <xdr:colOff>871538</xdr:colOff>
      <xdr:row>775</xdr:row>
      <xdr:rowOff>760942</xdr:rowOff>
    </xdr:to>
    <xdr:pic>
      <xdr:nvPicPr>
        <xdr:cNvPr id="2601" name="Obraz 2600">
          <a:extLst>
            <a:ext uri="{FF2B5EF4-FFF2-40B4-BE49-F238E27FC236}">
              <a16:creationId xmlns:a16="http://schemas.microsoft.com/office/drawing/2014/main" id="{B2AB7E9D-1D4F-F88F-6A5D-37DD6F6AF0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00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775</xdr:row>
      <xdr:rowOff>760942</xdr:rowOff>
    </xdr:from>
    <xdr:to>
      <xdr:col>0</xdr:col>
      <xdr:colOff>871538</xdr:colOff>
      <xdr:row>776</xdr:row>
      <xdr:rowOff>760942</xdr:rowOff>
    </xdr:to>
    <xdr:pic>
      <xdr:nvPicPr>
        <xdr:cNvPr id="2603" name="Obraz 2602">
          <a:extLst>
            <a:ext uri="{FF2B5EF4-FFF2-40B4-BE49-F238E27FC236}">
              <a16:creationId xmlns:a16="http://schemas.microsoft.com/office/drawing/2014/main" id="{F8D4BD9A-CBB9-F2F5-9266-792747A9A4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08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776</xdr:row>
      <xdr:rowOff>760942</xdr:rowOff>
    </xdr:from>
    <xdr:to>
      <xdr:col>0</xdr:col>
      <xdr:colOff>871538</xdr:colOff>
      <xdr:row>777</xdr:row>
      <xdr:rowOff>760942</xdr:rowOff>
    </xdr:to>
    <xdr:pic>
      <xdr:nvPicPr>
        <xdr:cNvPr id="2605" name="Obraz 2604">
          <a:extLst>
            <a:ext uri="{FF2B5EF4-FFF2-40B4-BE49-F238E27FC236}">
              <a16:creationId xmlns:a16="http://schemas.microsoft.com/office/drawing/2014/main" id="{65A8A4BC-A777-5652-1648-07486F512D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16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777</xdr:row>
      <xdr:rowOff>760942</xdr:rowOff>
    </xdr:from>
    <xdr:to>
      <xdr:col>0</xdr:col>
      <xdr:colOff>871538</xdr:colOff>
      <xdr:row>778</xdr:row>
      <xdr:rowOff>760942</xdr:rowOff>
    </xdr:to>
    <xdr:pic>
      <xdr:nvPicPr>
        <xdr:cNvPr id="2607" name="Obraz 2606">
          <a:extLst>
            <a:ext uri="{FF2B5EF4-FFF2-40B4-BE49-F238E27FC236}">
              <a16:creationId xmlns:a16="http://schemas.microsoft.com/office/drawing/2014/main" id="{0DB93F28-E267-56DE-4324-A838040137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23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778</xdr:row>
      <xdr:rowOff>760942</xdr:rowOff>
    </xdr:from>
    <xdr:to>
      <xdr:col>0</xdr:col>
      <xdr:colOff>871538</xdr:colOff>
      <xdr:row>779</xdr:row>
      <xdr:rowOff>760942</xdr:rowOff>
    </xdr:to>
    <xdr:pic>
      <xdr:nvPicPr>
        <xdr:cNvPr id="2609" name="Obraz 2608">
          <a:extLst>
            <a:ext uri="{FF2B5EF4-FFF2-40B4-BE49-F238E27FC236}">
              <a16:creationId xmlns:a16="http://schemas.microsoft.com/office/drawing/2014/main" id="{38A4B469-10DD-B6B1-85F9-A6C9A504B2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31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779</xdr:row>
      <xdr:rowOff>760942</xdr:rowOff>
    </xdr:from>
    <xdr:to>
      <xdr:col>0</xdr:col>
      <xdr:colOff>871538</xdr:colOff>
      <xdr:row>780</xdr:row>
      <xdr:rowOff>760942</xdr:rowOff>
    </xdr:to>
    <xdr:pic>
      <xdr:nvPicPr>
        <xdr:cNvPr id="2611" name="Obraz 2610">
          <a:extLst>
            <a:ext uri="{FF2B5EF4-FFF2-40B4-BE49-F238E27FC236}">
              <a16:creationId xmlns:a16="http://schemas.microsoft.com/office/drawing/2014/main" id="{977F688C-A4E7-AA83-8953-29C66B81EC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38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780</xdr:row>
      <xdr:rowOff>760942</xdr:rowOff>
    </xdr:from>
    <xdr:to>
      <xdr:col>0</xdr:col>
      <xdr:colOff>871538</xdr:colOff>
      <xdr:row>781</xdr:row>
      <xdr:rowOff>760942</xdr:rowOff>
    </xdr:to>
    <xdr:pic>
      <xdr:nvPicPr>
        <xdr:cNvPr id="2613" name="Obraz 2612">
          <a:extLst>
            <a:ext uri="{FF2B5EF4-FFF2-40B4-BE49-F238E27FC236}">
              <a16:creationId xmlns:a16="http://schemas.microsoft.com/office/drawing/2014/main" id="{8ED58EB9-BF11-2A0B-4C7B-CB86059D28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46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781</xdr:row>
      <xdr:rowOff>760942</xdr:rowOff>
    </xdr:from>
    <xdr:to>
      <xdr:col>0</xdr:col>
      <xdr:colOff>871538</xdr:colOff>
      <xdr:row>782</xdr:row>
      <xdr:rowOff>760942</xdr:rowOff>
    </xdr:to>
    <xdr:pic>
      <xdr:nvPicPr>
        <xdr:cNvPr id="2615" name="Obraz 2614">
          <a:extLst>
            <a:ext uri="{FF2B5EF4-FFF2-40B4-BE49-F238E27FC236}">
              <a16:creationId xmlns:a16="http://schemas.microsoft.com/office/drawing/2014/main" id="{77481F0F-4D70-2774-9F92-E07D5F357C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54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782</xdr:row>
      <xdr:rowOff>760942</xdr:rowOff>
    </xdr:from>
    <xdr:to>
      <xdr:col>0</xdr:col>
      <xdr:colOff>871538</xdr:colOff>
      <xdr:row>783</xdr:row>
      <xdr:rowOff>760942</xdr:rowOff>
    </xdr:to>
    <xdr:pic>
      <xdr:nvPicPr>
        <xdr:cNvPr id="2617" name="Obraz 2616">
          <a:extLst>
            <a:ext uri="{FF2B5EF4-FFF2-40B4-BE49-F238E27FC236}">
              <a16:creationId xmlns:a16="http://schemas.microsoft.com/office/drawing/2014/main" id="{6DCEB053-6734-0B4D-8D60-2BE870BDE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61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783</xdr:row>
      <xdr:rowOff>760942</xdr:rowOff>
    </xdr:from>
    <xdr:to>
      <xdr:col>0</xdr:col>
      <xdr:colOff>871538</xdr:colOff>
      <xdr:row>784</xdr:row>
      <xdr:rowOff>760942</xdr:rowOff>
    </xdr:to>
    <xdr:pic>
      <xdr:nvPicPr>
        <xdr:cNvPr id="2619" name="Obraz 2618">
          <a:extLst>
            <a:ext uri="{FF2B5EF4-FFF2-40B4-BE49-F238E27FC236}">
              <a16:creationId xmlns:a16="http://schemas.microsoft.com/office/drawing/2014/main" id="{4E1BD170-BC64-3E77-84F9-8E7556AD8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69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784</xdr:row>
      <xdr:rowOff>760942</xdr:rowOff>
    </xdr:from>
    <xdr:to>
      <xdr:col>0</xdr:col>
      <xdr:colOff>871538</xdr:colOff>
      <xdr:row>785</xdr:row>
      <xdr:rowOff>760942</xdr:rowOff>
    </xdr:to>
    <xdr:pic>
      <xdr:nvPicPr>
        <xdr:cNvPr id="2621" name="Obraz 2620">
          <a:extLst>
            <a:ext uri="{FF2B5EF4-FFF2-40B4-BE49-F238E27FC236}">
              <a16:creationId xmlns:a16="http://schemas.microsoft.com/office/drawing/2014/main" id="{3FA82DA2-4387-1797-F6BC-B37A306E41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77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785</xdr:row>
      <xdr:rowOff>760942</xdr:rowOff>
    </xdr:from>
    <xdr:to>
      <xdr:col>0</xdr:col>
      <xdr:colOff>871538</xdr:colOff>
      <xdr:row>786</xdr:row>
      <xdr:rowOff>760942</xdr:rowOff>
    </xdr:to>
    <xdr:pic>
      <xdr:nvPicPr>
        <xdr:cNvPr id="2623" name="Obraz 2622">
          <a:extLst>
            <a:ext uri="{FF2B5EF4-FFF2-40B4-BE49-F238E27FC236}">
              <a16:creationId xmlns:a16="http://schemas.microsoft.com/office/drawing/2014/main" id="{C3FAC0E5-728B-FBE1-CD06-C282C82F8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84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786</xdr:row>
      <xdr:rowOff>760942</xdr:rowOff>
    </xdr:from>
    <xdr:to>
      <xdr:col>0</xdr:col>
      <xdr:colOff>871538</xdr:colOff>
      <xdr:row>787</xdr:row>
      <xdr:rowOff>760942</xdr:rowOff>
    </xdr:to>
    <xdr:pic>
      <xdr:nvPicPr>
        <xdr:cNvPr id="2625" name="Obraz 2624">
          <a:extLst>
            <a:ext uri="{FF2B5EF4-FFF2-40B4-BE49-F238E27FC236}">
              <a16:creationId xmlns:a16="http://schemas.microsoft.com/office/drawing/2014/main" id="{50668909-4C88-A0D9-FD64-0E76B676DD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92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787</xdr:row>
      <xdr:rowOff>760942</xdr:rowOff>
    </xdr:from>
    <xdr:to>
      <xdr:col>0</xdr:col>
      <xdr:colOff>871538</xdr:colOff>
      <xdr:row>788</xdr:row>
      <xdr:rowOff>760942</xdr:rowOff>
    </xdr:to>
    <xdr:pic>
      <xdr:nvPicPr>
        <xdr:cNvPr id="2627" name="Obraz 2626">
          <a:extLst>
            <a:ext uri="{FF2B5EF4-FFF2-40B4-BE49-F238E27FC236}">
              <a16:creationId xmlns:a16="http://schemas.microsoft.com/office/drawing/2014/main" id="{91DD120F-239E-6D11-DA47-309A22E049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5999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788</xdr:row>
      <xdr:rowOff>760942</xdr:rowOff>
    </xdr:from>
    <xdr:to>
      <xdr:col>0</xdr:col>
      <xdr:colOff>871538</xdr:colOff>
      <xdr:row>789</xdr:row>
      <xdr:rowOff>760942</xdr:rowOff>
    </xdr:to>
    <xdr:pic>
      <xdr:nvPicPr>
        <xdr:cNvPr id="2629" name="Obraz 2628">
          <a:extLst>
            <a:ext uri="{FF2B5EF4-FFF2-40B4-BE49-F238E27FC236}">
              <a16:creationId xmlns:a16="http://schemas.microsoft.com/office/drawing/2014/main" id="{40628D73-287F-9A2C-5554-3DFF800A2B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07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789</xdr:row>
      <xdr:rowOff>760942</xdr:rowOff>
    </xdr:from>
    <xdr:to>
      <xdr:col>0</xdr:col>
      <xdr:colOff>871538</xdr:colOff>
      <xdr:row>790</xdr:row>
      <xdr:rowOff>760942</xdr:rowOff>
    </xdr:to>
    <xdr:pic>
      <xdr:nvPicPr>
        <xdr:cNvPr id="2631" name="Obraz 2630">
          <a:extLst>
            <a:ext uri="{FF2B5EF4-FFF2-40B4-BE49-F238E27FC236}">
              <a16:creationId xmlns:a16="http://schemas.microsoft.com/office/drawing/2014/main" id="{2E7AAE27-B738-363B-46BE-F0339C065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15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790</xdr:row>
      <xdr:rowOff>760942</xdr:rowOff>
    </xdr:from>
    <xdr:to>
      <xdr:col>0</xdr:col>
      <xdr:colOff>871538</xdr:colOff>
      <xdr:row>791</xdr:row>
      <xdr:rowOff>760942</xdr:rowOff>
    </xdr:to>
    <xdr:pic>
      <xdr:nvPicPr>
        <xdr:cNvPr id="2633" name="Obraz 2632">
          <a:extLst>
            <a:ext uri="{FF2B5EF4-FFF2-40B4-BE49-F238E27FC236}">
              <a16:creationId xmlns:a16="http://schemas.microsoft.com/office/drawing/2014/main" id="{A3B2D836-C551-BD3D-DCDC-3D75306FEA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22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791</xdr:row>
      <xdr:rowOff>760942</xdr:rowOff>
    </xdr:from>
    <xdr:to>
      <xdr:col>0</xdr:col>
      <xdr:colOff>871538</xdr:colOff>
      <xdr:row>792</xdr:row>
      <xdr:rowOff>760942</xdr:rowOff>
    </xdr:to>
    <xdr:pic>
      <xdr:nvPicPr>
        <xdr:cNvPr id="2635" name="Obraz 2634">
          <a:extLst>
            <a:ext uri="{FF2B5EF4-FFF2-40B4-BE49-F238E27FC236}">
              <a16:creationId xmlns:a16="http://schemas.microsoft.com/office/drawing/2014/main" id="{94EC4533-1BC0-27B8-36CB-236A456D4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30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792</xdr:row>
      <xdr:rowOff>760942</xdr:rowOff>
    </xdr:from>
    <xdr:to>
      <xdr:col>0</xdr:col>
      <xdr:colOff>871538</xdr:colOff>
      <xdr:row>793</xdr:row>
      <xdr:rowOff>760942</xdr:rowOff>
    </xdr:to>
    <xdr:pic>
      <xdr:nvPicPr>
        <xdr:cNvPr id="2637" name="Obraz 2636">
          <a:extLst>
            <a:ext uri="{FF2B5EF4-FFF2-40B4-BE49-F238E27FC236}">
              <a16:creationId xmlns:a16="http://schemas.microsoft.com/office/drawing/2014/main" id="{FBD905D6-2689-A049-7385-85FFE2AEA9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37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793</xdr:row>
      <xdr:rowOff>760942</xdr:rowOff>
    </xdr:from>
    <xdr:to>
      <xdr:col>0</xdr:col>
      <xdr:colOff>871538</xdr:colOff>
      <xdr:row>794</xdr:row>
      <xdr:rowOff>760942</xdr:rowOff>
    </xdr:to>
    <xdr:pic>
      <xdr:nvPicPr>
        <xdr:cNvPr id="2639" name="Obraz 2638">
          <a:extLst>
            <a:ext uri="{FF2B5EF4-FFF2-40B4-BE49-F238E27FC236}">
              <a16:creationId xmlns:a16="http://schemas.microsoft.com/office/drawing/2014/main" id="{17C5FEED-56A1-F360-FC13-E61862E68F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45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794</xdr:row>
      <xdr:rowOff>760942</xdr:rowOff>
    </xdr:from>
    <xdr:to>
      <xdr:col>0</xdr:col>
      <xdr:colOff>871538</xdr:colOff>
      <xdr:row>795</xdr:row>
      <xdr:rowOff>760942</xdr:rowOff>
    </xdr:to>
    <xdr:pic>
      <xdr:nvPicPr>
        <xdr:cNvPr id="2641" name="Obraz 2640">
          <a:extLst>
            <a:ext uri="{FF2B5EF4-FFF2-40B4-BE49-F238E27FC236}">
              <a16:creationId xmlns:a16="http://schemas.microsoft.com/office/drawing/2014/main" id="{E6942717-55A1-94E8-4D30-BD324CA7B4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53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795</xdr:row>
      <xdr:rowOff>760942</xdr:rowOff>
    </xdr:from>
    <xdr:to>
      <xdr:col>0</xdr:col>
      <xdr:colOff>871538</xdr:colOff>
      <xdr:row>796</xdr:row>
      <xdr:rowOff>760942</xdr:rowOff>
    </xdr:to>
    <xdr:pic>
      <xdr:nvPicPr>
        <xdr:cNvPr id="2643" name="Obraz 2642">
          <a:extLst>
            <a:ext uri="{FF2B5EF4-FFF2-40B4-BE49-F238E27FC236}">
              <a16:creationId xmlns:a16="http://schemas.microsoft.com/office/drawing/2014/main" id="{476832C9-67C3-7D3A-9372-93477D4989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60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796</xdr:row>
      <xdr:rowOff>760942</xdr:rowOff>
    </xdr:from>
    <xdr:to>
      <xdr:col>0</xdr:col>
      <xdr:colOff>871538</xdr:colOff>
      <xdr:row>797</xdr:row>
      <xdr:rowOff>760942</xdr:rowOff>
    </xdr:to>
    <xdr:pic>
      <xdr:nvPicPr>
        <xdr:cNvPr id="2645" name="Obraz 2644">
          <a:extLst>
            <a:ext uri="{FF2B5EF4-FFF2-40B4-BE49-F238E27FC236}">
              <a16:creationId xmlns:a16="http://schemas.microsoft.com/office/drawing/2014/main" id="{E8130DEE-2ED2-C85C-ECDC-98DDE39E7E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68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797</xdr:row>
      <xdr:rowOff>760942</xdr:rowOff>
    </xdr:from>
    <xdr:to>
      <xdr:col>0</xdr:col>
      <xdr:colOff>871538</xdr:colOff>
      <xdr:row>798</xdr:row>
      <xdr:rowOff>760942</xdr:rowOff>
    </xdr:to>
    <xdr:pic>
      <xdr:nvPicPr>
        <xdr:cNvPr id="2647" name="Obraz 2646">
          <a:extLst>
            <a:ext uri="{FF2B5EF4-FFF2-40B4-BE49-F238E27FC236}">
              <a16:creationId xmlns:a16="http://schemas.microsoft.com/office/drawing/2014/main" id="{2073FB14-E7DB-485A-9092-7A63543006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76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798</xdr:row>
      <xdr:rowOff>760942</xdr:rowOff>
    </xdr:from>
    <xdr:to>
      <xdr:col>0</xdr:col>
      <xdr:colOff>871538</xdr:colOff>
      <xdr:row>799</xdr:row>
      <xdr:rowOff>760942</xdr:rowOff>
    </xdr:to>
    <xdr:pic>
      <xdr:nvPicPr>
        <xdr:cNvPr id="2649" name="Obraz 2648">
          <a:extLst>
            <a:ext uri="{FF2B5EF4-FFF2-40B4-BE49-F238E27FC236}">
              <a16:creationId xmlns:a16="http://schemas.microsoft.com/office/drawing/2014/main" id="{684CC499-FF33-853A-7FBA-CFDF81CC3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83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799</xdr:row>
      <xdr:rowOff>760942</xdr:rowOff>
    </xdr:from>
    <xdr:to>
      <xdr:col>0</xdr:col>
      <xdr:colOff>871538</xdr:colOff>
      <xdr:row>800</xdr:row>
      <xdr:rowOff>760942</xdr:rowOff>
    </xdr:to>
    <xdr:pic>
      <xdr:nvPicPr>
        <xdr:cNvPr id="2651" name="Obraz 2650">
          <a:extLst>
            <a:ext uri="{FF2B5EF4-FFF2-40B4-BE49-F238E27FC236}">
              <a16:creationId xmlns:a16="http://schemas.microsoft.com/office/drawing/2014/main" id="{FC17CEB4-B6CC-3286-61A2-BD6B29A73F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91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800</xdr:row>
      <xdr:rowOff>760942</xdr:rowOff>
    </xdr:from>
    <xdr:to>
      <xdr:col>0</xdr:col>
      <xdr:colOff>871538</xdr:colOff>
      <xdr:row>801</xdr:row>
      <xdr:rowOff>760942</xdr:rowOff>
    </xdr:to>
    <xdr:pic>
      <xdr:nvPicPr>
        <xdr:cNvPr id="2653" name="Obraz 2652">
          <a:extLst>
            <a:ext uri="{FF2B5EF4-FFF2-40B4-BE49-F238E27FC236}">
              <a16:creationId xmlns:a16="http://schemas.microsoft.com/office/drawing/2014/main" id="{CCFEF0C7-E853-0B25-45F1-5370539235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098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801</xdr:row>
      <xdr:rowOff>760942</xdr:rowOff>
    </xdr:from>
    <xdr:to>
      <xdr:col>0</xdr:col>
      <xdr:colOff>871538</xdr:colOff>
      <xdr:row>802</xdr:row>
      <xdr:rowOff>760942</xdr:rowOff>
    </xdr:to>
    <xdr:pic>
      <xdr:nvPicPr>
        <xdr:cNvPr id="2655" name="Obraz 2654">
          <a:extLst>
            <a:ext uri="{FF2B5EF4-FFF2-40B4-BE49-F238E27FC236}">
              <a16:creationId xmlns:a16="http://schemas.microsoft.com/office/drawing/2014/main" id="{13852169-98C1-7A9F-8B3A-687CDC693D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06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802</xdr:row>
      <xdr:rowOff>760942</xdr:rowOff>
    </xdr:from>
    <xdr:to>
      <xdr:col>0</xdr:col>
      <xdr:colOff>871538</xdr:colOff>
      <xdr:row>803</xdr:row>
      <xdr:rowOff>760942</xdr:rowOff>
    </xdr:to>
    <xdr:pic>
      <xdr:nvPicPr>
        <xdr:cNvPr id="2657" name="Obraz 2656">
          <a:extLst>
            <a:ext uri="{FF2B5EF4-FFF2-40B4-BE49-F238E27FC236}">
              <a16:creationId xmlns:a16="http://schemas.microsoft.com/office/drawing/2014/main" id="{A0E3D887-88A8-C532-8CA0-96FDA1B48E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14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803</xdr:row>
      <xdr:rowOff>760942</xdr:rowOff>
    </xdr:from>
    <xdr:to>
      <xdr:col>0</xdr:col>
      <xdr:colOff>871538</xdr:colOff>
      <xdr:row>804</xdr:row>
      <xdr:rowOff>760942</xdr:rowOff>
    </xdr:to>
    <xdr:pic>
      <xdr:nvPicPr>
        <xdr:cNvPr id="2659" name="Obraz 2658">
          <a:extLst>
            <a:ext uri="{FF2B5EF4-FFF2-40B4-BE49-F238E27FC236}">
              <a16:creationId xmlns:a16="http://schemas.microsoft.com/office/drawing/2014/main" id="{2662A45C-A0F8-960F-3081-7C05C6D4FD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21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804</xdr:row>
      <xdr:rowOff>760942</xdr:rowOff>
    </xdr:from>
    <xdr:to>
      <xdr:col>0</xdr:col>
      <xdr:colOff>871538</xdr:colOff>
      <xdr:row>805</xdr:row>
      <xdr:rowOff>760942</xdr:rowOff>
    </xdr:to>
    <xdr:pic>
      <xdr:nvPicPr>
        <xdr:cNvPr id="2661" name="Obraz 2660">
          <a:extLst>
            <a:ext uri="{FF2B5EF4-FFF2-40B4-BE49-F238E27FC236}">
              <a16:creationId xmlns:a16="http://schemas.microsoft.com/office/drawing/2014/main" id="{E8031919-EF05-39A6-1A3D-FD184D1F5F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29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805</xdr:row>
      <xdr:rowOff>760942</xdr:rowOff>
    </xdr:from>
    <xdr:to>
      <xdr:col>0</xdr:col>
      <xdr:colOff>871538</xdr:colOff>
      <xdr:row>806</xdr:row>
      <xdr:rowOff>760942</xdr:rowOff>
    </xdr:to>
    <xdr:pic>
      <xdr:nvPicPr>
        <xdr:cNvPr id="2663" name="Obraz 2662">
          <a:extLst>
            <a:ext uri="{FF2B5EF4-FFF2-40B4-BE49-F238E27FC236}">
              <a16:creationId xmlns:a16="http://schemas.microsoft.com/office/drawing/2014/main" id="{18A05906-571A-0737-50D4-70F685D33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37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806</xdr:row>
      <xdr:rowOff>760942</xdr:rowOff>
    </xdr:from>
    <xdr:to>
      <xdr:col>0</xdr:col>
      <xdr:colOff>871538</xdr:colOff>
      <xdr:row>807</xdr:row>
      <xdr:rowOff>760942</xdr:rowOff>
    </xdr:to>
    <xdr:pic>
      <xdr:nvPicPr>
        <xdr:cNvPr id="2665" name="Obraz 2664">
          <a:extLst>
            <a:ext uri="{FF2B5EF4-FFF2-40B4-BE49-F238E27FC236}">
              <a16:creationId xmlns:a16="http://schemas.microsoft.com/office/drawing/2014/main" id="{65D416D8-6641-B6FF-C2B9-E3E6B05DD8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44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807</xdr:row>
      <xdr:rowOff>760942</xdr:rowOff>
    </xdr:from>
    <xdr:to>
      <xdr:col>0</xdr:col>
      <xdr:colOff>871538</xdr:colOff>
      <xdr:row>808</xdr:row>
      <xdr:rowOff>760942</xdr:rowOff>
    </xdr:to>
    <xdr:pic>
      <xdr:nvPicPr>
        <xdr:cNvPr id="2667" name="Obraz 2666">
          <a:extLst>
            <a:ext uri="{FF2B5EF4-FFF2-40B4-BE49-F238E27FC236}">
              <a16:creationId xmlns:a16="http://schemas.microsoft.com/office/drawing/2014/main" id="{5B6FAF1F-0677-2028-9C2C-E3096940C6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52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808</xdr:row>
      <xdr:rowOff>760942</xdr:rowOff>
    </xdr:from>
    <xdr:to>
      <xdr:col>0</xdr:col>
      <xdr:colOff>871538</xdr:colOff>
      <xdr:row>809</xdr:row>
      <xdr:rowOff>760942</xdr:rowOff>
    </xdr:to>
    <xdr:pic>
      <xdr:nvPicPr>
        <xdr:cNvPr id="2669" name="Obraz 2668">
          <a:extLst>
            <a:ext uri="{FF2B5EF4-FFF2-40B4-BE49-F238E27FC236}">
              <a16:creationId xmlns:a16="http://schemas.microsoft.com/office/drawing/2014/main" id="{42E96429-B494-8487-29B9-C795F162A3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59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809</xdr:row>
      <xdr:rowOff>760942</xdr:rowOff>
    </xdr:from>
    <xdr:to>
      <xdr:col>0</xdr:col>
      <xdr:colOff>871538</xdr:colOff>
      <xdr:row>810</xdr:row>
      <xdr:rowOff>760942</xdr:rowOff>
    </xdr:to>
    <xdr:pic>
      <xdr:nvPicPr>
        <xdr:cNvPr id="2671" name="Obraz 2670">
          <a:extLst>
            <a:ext uri="{FF2B5EF4-FFF2-40B4-BE49-F238E27FC236}">
              <a16:creationId xmlns:a16="http://schemas.microsoft.com/office/drawing/2014/main" id="{26FD0CB5-D076-96E4-4281-1CC4514B34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67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810</xdr:row>
      <xdr:rowOff>760942</xdr:rowOff>
    </xdr:from>
    <xdr:to>
      <xdr:col>0</xdr:col>
      <xdr:colOff>871538</xdr:colOff>
      <xdr:row>811</xdr:row>
      <xdr:rowOff>760942</xdr:rowOff>
    </xdr:to>
    <xdr:pic>
      <xdr:nvPicPr>
        <xdr:cNvPr id="2673" name="Obraz 2672">
          <a:extLst>
            <a:ext uri="{FF2B5EF4-FFF2-40B4-BE49-F238E27FC236}">
              <a16:creationId xmlns:a16="http://schemas.microsoft.com/office/drawing/2014/main" id="{C74C042C-A3C8-FC80-5C24-EEF3665DDF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75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811</xdr:row>
      <xdr:rowOff>760942</xdr:rowOff>
    </xdr:from>
    <xdr:to>
      <xdr:col>0</xdr:col>
      <xdr:colOff>871538</xdr:colOff>
      <xdr:row>812</xdr:row>
      <xdr:rowOff>760942</xdr:rowOff>
    </xdr:to>
    <xdr:pic>
      <xdr:nvPicPr>
        <xdr:cNvPr id="2675" name="Obraz 2674">
          <a:extLst>
            <a:ext uri="{FF2B5EF4-FFF2-40B4-BE49-F238E27FC236}">
              <a16:creationId xmlns:a16="http://schemas.microsoft.com/office/drawing/2014/main" id="{E2E8837E-FD90-A3AD-4377-9A9B721E1D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82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812</xdr:row>
      <xdr:rowOff>760942</xdr:rowOff>
    </xdr:from>
    <xdr:to>
      <xdr:col>0</xdr:col>
      <xdr:colOff>871538</xdr:colOff>
      <xdr:row>813</xdr:row>
      <xdr:rowOff>760942</xdr:rowOff>
    </xdr:to>
    <xdr:pic>
      <xdr:nvPicPr>
        <xdr:cNvPr id="2677" name="Obraz 2676">
          <a:extLst>
            <a:ext uri="{FF2B5EF4-FFF2-40B4-BE49-F238E27FC236}">
              <a16:creationId xmlns:a16="http://schemas.microsoft.com/office/drawing/2014/main" id="{263F62FF-F6A4-1AFB-AB4C-DA139B224C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90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813</xdr:row>
      <xdr:rowOff>760942</xdr:rowOff>
    </xdr:from>
    <xdr:to>
      <xdr:col>0</xdr:col>
      <xdr:colOff>871538</xdr:colOff>
      <xdr:row>814</xdr:row>
      <xdr:rowOff>760942</xdr:rowOff>
    </xdr:to>
    <xdr:pic>
      <xdr:nvPicPr>
        <xdr:cNvPr id="2679" name="Obraz 2678">
          <a:extLst>
            <a:ext uri="{FF2B5EF4-FFF2-40B4-BE49-F238E27FC236}">
              <a16:creationId xmlns:a16="http://schemas.microsoft.com/office/drawing/2014/main" id="{B77037C1-9C11-56B6-3F29-C28298CDDB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198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814</xdr:row>
      <xdr:rowOff>760942</xdr:rowOff>
    </xdr:from>
    <xdr:to>
      <xdr:col>0</xdr:col>
      <xdr:colOff>871538</xdr:colOff>
      <xdr:row>815</xdr:row>
      <xdr:rowOff>760942</xdr:rowOff>
    </xdr:to>
    <xdr:pic>
      <xdr:nvPicPr>
        <xdr:cNvPr id="2681" name="Obraz 2680">
          <a:extLst>
            <a:ext uri="{FF2B5EF4-FFF2-40B4-BE49-F238E27FC236}">
              <a16:creationId xmlns:a16="http://schemas.microsoft.com/office/drawing/2014/main" id="{60F2BAAC-6C2B-AABB-4E16-A7989DB89D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05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815</xdr:row>
      <xdr:rowOff>760942</xdr:rowOff>
    </xdr:from>
    <xdr:to>
      <xdr:col>0</xdr:col>
      <xdr:colOff>871538</xdr:colOff>
      <xdr:row>816</xdr:row>
      <xdr:rowOff>760942</xdr:rowOff>
    </xdr:to>
    <xdr:pic>
      <xdr:nvPicPr>
        <xdr:cNvPr id="2683" name="Obraz 2682">
          <a:extLst>
            <a:ext uri="{FF2B5EF4-FFF2-40B4-BE49-F238E27FC236}">
              <a16:creationId xmlns:a16="http://schemas.microsoft.com/office/drawing/2014/main" id="{88F116BB-907C-973B-D3E6-67A3E4C0A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13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816</xdr:row>
      <xdr:rowOff>760942</xdr:rowOff>
    </xdr:from>
    <xdr:to>
      <xdr:col>0</xdr:col>
      <xdr:colOff>871538</xdr:colOff>
      <xdr:row>817</xdr:row>
      <xdr:rowOff>760942</xdr:rowOff>
    </xdr:to>
    <xdr:pic>
      <xdr:nvPicPr>
        <xdr:cNvPr id="2685" name="Obraz 2684">
          <a:extLst>
            <a:ext uri="{FF2B5EF4-FFF2-40B4-BE49-F238E27FC236}">
              <a16:creationId xmlns:a16="http://schemas.microsoft.com/office/drawing/2014/main" id="{2AE7F17B-DCDF-4830-DEB0-87A86C1636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20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817</xdr:row>
      <xdr:rowOff>760942</xdr:rowOff>
    </xdr:from>
    <xdr:to>
      <xdr:col>0</xdr:col>
      <xdr:colOff>871538</xdr:colOff>
      <xdr:row>818</xdr:row>
      <xdr:rowOff>760942</xdr:rowOff>
    </xdr:to>
    <xdr:pic>
      <xdr:nvPicPr>
        <xdr:cNvPr id="2687" name="Obraz 2686">
          <a:extLst>
            <a:ext uri="{FF2B5EF4-FFF2-40B4-BE49-F238E27FC236}">
              <a16:creationId xmlns:a16="http://schemas.microsoft.com/office/drawing/2014/main" id="{13A799D3-0CCF-DBCE-C7D2-D3713DEF8E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28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818</xdr:row>
      <xdr:rowOff>760942</xdr:rowOff>
    </xdr:from>
    <xdr:to>
      <xdr:col>0</xdr:col>
      <xdr:colOff>871538</xdr:colOff>
      <xdr:row>819</xdr:row>
      <xdr:rowOff>760942</xdr:rowOff>
    </xdr:to>
    <xdr:pic>
      <xdr:nvPicPr>
        <xdr:cNvPr id="2689" name="Obraz 2688">
          <a:extLst>
            <a:ext uri="{FF2B5EF4-FFF2-40B4-BE49-F238E27FC236}">
              <a16:creationId xmlns:a16="http://schemas.microsoft.com/office/drawing/2014/main" id="{FA4B5765-1D28-6F96-676F-4450BCAA23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36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819</xdr:row>
      <xdr:rowOff>760942</xdr:rowOff>
    </xdr:from>
    <xdr:to>
      <xdr:col>0</xdr:col>
      <xdr:colOff>871538</xdr:colOff>
      <xdr:row>820</xdr:row>
      <xdr:rowOff>760942</xdr:rowOff>
    </xdr:to>
    <xdr:pic>
      <xdr:nvPicPr>
        <xdr:cNvPr id="2691" name="Obraz 2690">
          <a:extLst>
            <a:ext uri="{FF2B5EF4-FFF2-40B4-BE49-F238E27FC236}">
              <a16:creationId xmlns:a16="http://schemas.microsoft.com/office/drawing/2014/main" id="{8C879A6D-EE43-4534-6E6E-3E23201B4B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43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820</xdr:row>
      <xdr:rowOff>760942</xdr:rowOff>
    </xdr:from>
    <xdr:to>
      <xdr:col>0</xdr:col>
      <xdr:colOff>871538</xdr:colOff>
      <xdr:row>821</xdr:row>
      <xdr:rowOff>760942</xdr:rowOff>
    </xdr:to>
    <xdr:pic>
      <xdr:nvPicPr>
        <xdr:cNvPr id="2693" name="Obraz 2692">
          <a:extLst>
            <a:ext uri="{FF2B5EF4-FFF2-40B4-BE49-F238E27FC236}">
              <a16:creationId xmlns:a16="http://schemas.microsoft.com/office/drawing/2014/main" id="{A54FB8AE-7A0F-4228-81B7-04D8A5E71D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51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821</xdr:row>
      <xdr:rowOff>760942</xdr:rowOff>
    </xdr:from>
    <xdr:to>
      <xdr:col>0</xdr:col>
      <xdr:colOff>871538</xdr:colOff>
      <xdr:row>822</xdr:row>
      <xdr:rowOff>760942</xdr:rowOff>
    </xdr:to>
    <xdr:pic>
      <xdr:nvPicPr>
        <xdr:cNvPr id="2695" name="Obraz 2694">
          <a:extLst>
            <a:ext uri="{FF2B5EF4-FFF2-40B4-BE49-F238E27FC236}">
              <a16:creationId xmlns:a16="http://schemas.microsoft.com/office/drawing/2014/main" id="{10C991ED-E0AE-49B9-C302-70C7D917B0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58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822</xdr:row>
      <xdr:rowOff>760942</xdr:rowOff>
    </xdr:from>
    <xdr:to>
      <xdr:col>0</xdr:col>
      <xdr:colOff>871538</xdr:colOff>
      <xdr:row>823</xdr:row>
      <xdr:rowOff>760942</xdr:rowOff>
    </xdr:to>
    <xdr:pic>
      <xdr:nvPicPr>
        <xdr:cNvPr id="2697" name="Obraz 2696">
          <a:extLst>
            <a:ext uri="{FF2B5EF4-FFF2-40B4-BE49-F238E27FC236}">
              <a16:creationId xmlns:a16="http://schemas.microsoft.com/office/drawing/2014/main" id="{7D7A8A91-1728-5049-331F-8BBB911408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66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823</xdr:row>
      <xdr:rowOff>760942</xdr:rowOff>
    </xdr:from>
    <xdr:to>
      <xdr:col>0</xdr:col>
      <xdr:colOff>871538</xdr:colOff>
      <xdr:row>824</xdr:row>
      <xdr:rowOff>760942</xdr:rowOff>
    </xdr:to>
    <xdr:pic>
      <xdr:nvPicPr>
        <xdr:cNvPr id="2699" name="Obraz 2698">
          <a:extLst>
            <a:ext uri="{FF2B5EF4-FFF2-40B4-BE49-F238E27FC236}">
              <a16:creationId xmlns:a16="http://schemas.microsoft.com/office/drawing/2014/main" id="{83C0485E-A928-534E-87F8-42AB69E6D4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74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824</xdr:row>
      <xdr:rowOff>760942</xdr:rowOff>
    </xdr:from>
    <xdr:to>
      <xdr:col>0</xdr:col>
      <xdr:colOff>871538</xdr:colOff>
      <xdr:row>825</xdr:row>
      <xdr:rowOff>760942</xdr:rowOff>
    </xdr:to>
    <xdr:pic>
      <xdr:nvPicPr>
        <xdr:cNvPr id="2701" name="Obraz 2700">
          <a:extLst>
            <a:ext uri="{FF2B5EF4-FFF2-40B4-BE49-F238E27FC236}">
              <a16:creationId xmlns:a16="http://schemas.microsoft.com/office/drawing/2014/main" id="{C6CE4983-3DB1-11F5-BD9D-F6E2805834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81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825</xdr:row>
      <xdr:rowOff>760942</xdr:rowOff>
    </xdr:from>
    <xdr:to>
      <xdr:col>0</xdr:col>
      <xdr:colOff>871538</xdr:colOff>
      <xdr:row>826</xdr:row>
      <xdr:rowOff>760942</xdr:rowOff>
    </xdr:to>
    <xdr:pic>
      <xdr:nvPicPr>
        <xdr:cNvPr id="2703" name="Obraz 2702">
          <a:extLst>
            <a:ext uri="{FF2B5EF4-FFF2-40B4-BE49-F238E27FC236}">
              <a16:creationId xmlns:a16="http://schemas.microsoft.com/office/drawing/2014/main" id="{B976D2CE-16B6-AC5D-8581-EFC99E7677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89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826</xdr:row>
      <xdr:rowOff>760942</xdr:rowOff>
    </xdr:from>
    <xdr:to>
      <xdr:col>0</xdr:col>
      <xdr:colOff>871538</xdr:colOff>
      <xdr:row>827</xdr:row>
      <xdr:rowOff>760942</xdr:rowOff>
    </xdr:to>
    <xdr:pic>
      <xdr:nvPicPr>
        <xdr:cNvPr id="2705" name="Obraz 2704">
          <a:extLst>
            <a:ext uri="{FF2B5EF4-FFF2-40B4-BE49-F238E27FC236}">
              <a16:creationId xmlns:a16="http://schemas.microsoft.com/office/drawing/2014/main" id="{071A33CB-76D3-703D-009D-EF792CDFB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297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827</xdr:row>
      <xdr:rowOff>760942</xdr:rowOff>
    </xdr:from>
    <xdr:to>
      <xdr:col>0</xdr:col>
      <xdr:colOff>871538</xdr:colOff>
      <xdr:row>828</xdr:row>
      <xdr:rowOff>760942</xdr:rowOff>
    </xdr:to>
    <xdr:pic>
      <xdr:nvPicPr>
        <xdr:cNvPr id="2707" name="Obraz 2706">
          <a:extLst>
            <a:ext uri="{FF2B5EF4-FFF2-40B4-BE49-F238E27FC236}">
              <a16:creationId xmlns:a16="http://schemas.microsoft.com/office/drawing/2014/main" id="{1B618391-3CB8-4058-85A2-CF3E127B93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04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828</xdr:row>
      <xdr:rowOff>760942</xdr:rowOff>
    </xdr:from>
    <xdr:to>
      <xdr:col>0</xdr:col>
      <xdr:colOff>871538</xdr:colOff>
      <xdr:row>829</xdr:row>
      <xdr:rowOff>760942</xdr:rowOff>
    </xdr:to>
    <xdr:pic>
      <xdr:nvPicPr>
        <xdr:cNvPr id="2709" name="Obraz 2708">
          <a:extLst>
            <a:ext uri="{FF2B5EF4-FFF2-40B4-BE49-F238E27FC236}">
              <a16:creationId xmlns:a16="http://schemas.microsoft.com/office/drawing/2014/main" id="{218A48DC-F31C-66EC-E6D6-FE21878E68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12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829</xdr:row>
      <xdr:rowOff>760942</xdr:rowOff>
    </xdr:from>
    <xdr:to>
      <xdr:col>0</xdr:col>
      <xdr:colOff>871538</xdr:colOff>
      <xdr:row>830</xdr:row>
      <xdr:rowOff>760942</xdr:rowOff>
    </xdr:to>
    <xdr:pic>
      <xdr:nvPicPr>
        <xdr:cNvPr id="2711" name="Obraz 2710">
          <a:extLst>
            <a:ext uri="{FF2B5EF4-FFF2-40B4-BE49-F238E27FC236}">
              <a16:creationId xmlns:a16="http://schemas.microsoft.com/office/drawing/2014/main" id="{64673BF0-98CE-F6E0-E876-0A493846E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19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830</xdr:row>
      <xdr:rowOff>760942</xdr:rowOff>
    </xdr:from>
    <xdr:to>
      <xdr:col>0</xdr:col>
      <xdr:colOff>871538</xdr:colOff>
      <xdr:row>831</xdr:row>
      <xdr:rowOff>760942</xdr:rowOff>
    </xdr:to>
    <xdr:pic>
      <xdr:nvPicPr>
        <xdr:cNvPr id="2713" name="Obraz 2712">
          <a:extLst>
            <a:ext uri="{FF2B5EF4-FFF2-40B4-BE49-F238E27FC236}">
              <a16:creationId xmlns:a16="http://schemas.microsoft.com/office/drawing/2014/main" id="{D0467281-52C0-3A03-B16B-EAA1BF7B5A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27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832</xdr:row>
      <xdr:rowOff>760942</xdr:rowOff>
    </xdr:from>
    <xdr:to>
      <xdr:col>0</xdr:col>
      <xdr:colOff>871538</xdr:colOff>
      <xdr:row>833</xdr:row>
      <xdr:rowOff>760942</xdr:rowOff>
    </xdr:to>
    <xdr:pic>
      <xdr:nvPicPr>
        <xdr:cNvPr id="2715" name="Obraz 2714">
          <a:extLst>
            <a:ext uri="{FF2B5EF4-FFF2-40B4-BE49-F238E27FC236}">
              <a16:creationId xmlns:a16="http://schemas.microsoft.com/office/drawing/2014/main" id="{60792030-FE4A-4FEF-9CE0-2653CAFDD5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42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833</xdr:row>
      <xdr:rowOff>760942</xdr:rowOff>
    </xdr:from>
    <xdr:to>
      <xdr:col>0</xdr:col>
      <xdr:colOff>871538</xdr:colOff>
      <xdr:row>834</xdr:row>
      <xdr:rowOff>760942</xdr:rowOff>
    </xdr:to>
    <xdr:pic>
      <xdr:nvPicPr>
        <xdr:cNvPr id="2717" name="Obraz 2716">
          <a:extLst>
            <a:ext uri="{FF2B5EF4-FFF2-40B4-BE49-F238E27FC236}">
              <a16:creationId xmlns:a16="http://schemas.microsoft.com/office/drawing/2014/main" id="{28CC95B1-6E8E-338A-3D41-6FF1E87D81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50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834</xdr:row>
      <xdr:rowOff>760942</xdr:rowOff>
    </xdr:from>
    <xdr:to>
      <xdr:col>0</xdr:col>
      <xdr:colOff>871538</xdr:colOff>
      <xdr:row>835</xdr:row>
      <xdr:rowOff>760942</xdr:rowOff>
    </xdr:to>
    <xdr:pic>
      <xdr:nvPicPr>
        <xdr:cNvPr id="2719" name="Obraz 2718">
          <a:extLst>
            <a:ext uri="{FF2B5EF4-FFF2-40B4-BE49-F238E27FC236}">
              <a16:creationId xmlns:a16="http://schemas.microsoft.com/office/drawing/2014/main" id="{FD03602D-0950-113A-DDA9-3754DECCD1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58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835</xdr:row>
      <xdr:rowOff>760942</xdr:rowOff>
    </xdr:from>
    <xdr:to>
      <xdr:col>0</xdr:col>
      <xdr:colOff>871538</xdr:colOff>
      <xdr:row>836</xdr:row>
      <xdr:rowOff>760942</xdr:rowOff>
    </xdr:to>
    <xdr:pic>
      <xdr:nvPicPr>
        <xdr:cNvPr id="2721" name="Obraz 2720">
          <a:extLst>
            <a:ext uri="{FF2B5EF4-FFF2-40B4-BE49-F238E27FC236}">
              <a16:creationId xmlns:a16="http://schemas.microsoft.com/office/drawing/2014/main" id="{75209D80-FCDF-5805-5897-5982420A8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65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836</xdr:row>
      <xdr:rowOff>760942</xdr:rowOff>
    </xdr:from>
    <xdr:to>
      <xdr:col>0</xdr:col>
      <xdr:colOff>871538</xdr:colOff>
      <xdr:row>837</xdr:row>
      <xdr:rowOff>760942</xdr:rowOff>
    </xdr:to>
    <xdr:pic>
      <xdr:nvPicPr>
        <xdr:cNvPr id="2723" name="Obraz 2722">
          <a:extLst>
            <a:ext uri="{FF2B5EF4-FFF2-40B4-BE49-F238E27FC236}">
              <a16:creationId xmlns:a16="http://schemas.microsoft.com/office/drawing/2014/main" id="{07A3A3D7-C54B-BE48-9836-C70E4656FB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73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837</xdr:row>
      <xdr:rowOff>760942</xdr:rowOff>
    </xdr:from>
    <xdr:to>
      <xdr:col>0</xdr:col>
      <xdr:colOff>871538</xdr:colOff>
      <xdr:row>838</xdr:row>
      <xdr:rowOff>760942</xdr:rowOff>
    </xdr:to>
    <xdr:pic>
      <xdr:nvPicPr>
        <xdr:cNvPr id="2725" name="Obraz 2724">
          <a:extLst>
            <a:ext uri="{FF2B5EF4-FFF2-40B4-BE49-F238E27FC236}">
              <a16:creationId xmlns:a16="http://schemas.microsoft.com/office/drawing/2014/main" id="{E11BCDD8-8C39-22BF-18C6-7C2DB650EF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80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838</xdr:row>
      <xdr:rowOff>760942</xdr:rowOff>
    </xdr:from>
    <xdr:to>
      <xdr:col>0</xdr:col>
      <xdr:colOff>871538</xdr:colOff>
      <xdr:row>839</xdr:row>
      <xdr:rowOff>760942</xdr:rowOff>
    </xdr:to>
    <xdr:pic>
      <xdr:nvPicPr>
        <xdr:cNvPr id="2727" name="Obraz 2726">
          <a:extLst>
            <a:ext uri="{FF2B5EF4-FFF2-40B4-BE49-F238E27FC236}">
              <a16:creationId xmlns:a16="http://schemas.microsoft.com/office/drawing/2014/main" id="{BD3202C9-033F-57A1-C1A9-28050701AF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88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839</xdr:row>
      <xdr:rowOff>760942</xdr:rowOff>
    </xdr:from>
    <xdr:to>
      <xdr:col>0</xdr:col>
      <xdr:colOff>871538</xdr:colOff>
      <xdr:row>840</xdr:row>
      <xdr:rowOff>760942</xdr:rowOff>
    </xdr:to>
    <xdr:pic>
      <xdr:nvPicPr>
        <xdr:cNvPr id="2729" name="Obraz 2728">
          <a:extLst>
            <a:ext uri="{FF2B5EF4-FFF2-40B4-BE49-F238E27FC236}">
              <a16:creationId xmlns:a16="http://schemas.microsoft.com/office/drawing/2014/main" id="{A2578EF6-2567-01BD-E1F2-F84D1B46C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396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840</xdr:row>
      <xdr:rowOff>760942</xdr:rowOff>
    </xdr:from>
    <xdr:to>
      <xdr:col>0</xdr:col>
      <xdr:colOff>871538</xdr:colOff>
      <xdr:row>841</xdr:row>
      <xdr:rowOff>760942</xdr:rowOff>
    </xdr:to>
    <xdr:pic>
      <xdr:nvPicPr>
        <xdr:cNvPr id="2731" name="Obraz 2730">
          <a:extLst>
            <a:ext uri="{FF2B5EF4-FFF2-40B4-BE49-F238E27FC236}">
              <a16:creationId xmlns:a16="http://schemas.microsoft.com/office/drawing/2014/main" id="{97C30287-62D0-521D-238B-2BF496AB10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03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841</xdr:row>
      <xdr:rowOff>760942</xdr:rowOff>
    </xdr:from>
    <xdr:to>
      <xdr:col>0</xdr:col>
      <xdr:colOff>871538</xdr:colOff>
      <xdr:row>842</xdr:row>
      <xdr:rowOff>760942</xdr:rowOff>
    </xdr:to>
    <xdr:pic>
      <xdr:nvPicPr>
        <xdr:cNvPr id="2733" name="Obraz 2732">
          <a:extLst>
            <a:ext uri="{FF2B5EF4-FFF2-40B4-BE49-F238E27FC236}">
              <a16:creationId xmlns:a16="http://schemas.microsoft.com/office/drawing/2014/main" id="{86BF3661-7588-A826-F593-585F8A1444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11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842</xdr:row>
      <xdr:rowOff>760942</xdr:rowOff>
    </xdr:from>
    <xdr:to>
      <xdr:col>0</xdr:col>
      <xdr:colOff>871538</xdr:colOff>
      <xdr:row>843</xdr:row>
      <xdr:rowOff>760942</xdr:rowOff>
    </xdr:to>
    <xdr:pic>
      <xdr:nvPicPr>
        <xdr:cNvPr id="2735" name="Obraz 2734">
          <a:extLst>
            <a:ext uri="{FF2B5EF4-FFF2-40B4-BE49-F238E27FC236}">
              <a16:creationId xmlns:a16="http://schemas.microsoft.com/office/drawing/2014/main" id="{08F480FB-F3E7-BA23-BCA0-E542107EF8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18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843</xdr:row>
      <xdr:rowOff>760942</xdr:rowOff>
    </xdr:from>
    <xdr:to>
      <xdr:col>0</xdr:col>
      <xdr:colOff>871538</xdr:colOff>
      <xdr:row>844</xdr:row>
      <xdr:rowOff>760942</xdr:rowOff>
    </xdr:to>
    <xdr:pic>
      <xdr:nvPicPr>
        <xdr:cNvPr id="2737" name="Obraz 2736">
          <a:extLst>
            <a:ext uri="{FF2B5EF4-FFF2-40B4-BE49-F238E27FC236}">
              <a16:creationId xmlns:a16="http://schemas.microsoft.com/office/drawing/2014/main" id="{E1A31BC4-E451-D94F-8F51-F1E48408BF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26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844</xdr:row>
      <xdr:rowOff>760942</xdr:rowOff>
    </xdr:from>
    <xdr:to>
      <xdr:col>0</xdr:col>
      <xdr:colOff>871538</xdr:colOff>
      <xdr:row>845</xdr:row>
      <xdr:rowOff>760942</xdr:rowOff>
    </xdr:to>
    <xdr:pic>
      <xdr:nvPicPr>
        <xdr:cNvPr id="2739" name="Obraz 2738">
          <a:extLst>
            <a:ext uri="{FF2B5EF4-FFF2-40B4-BE49-F238E27FC236}">
              <a16:creationId xmlns:a16="http://schemas.microsoft.com/office/drawing/2014/main" id="{0C1B855E-C8C4-9835-C1FF-9B9A33D02D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34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845</xdr:row>
      <xdr:rowOff>760942</xdr:rowOff>
    </xdr:from>
    <xdr:to>
      <xdr:col>0</xdr:col>
      <xdr:colOff>871538</xdr:colOff>
      <xdr:row>846</xdr:row>
      <xdr:rowOff>760942</xdr:rowOff>
    </xdr:to>
    <xdr:pic>
      <xdr:nvPicPr>
        <xdr:cNvPr id="2741" name="Obraz 2740">
          <a:extLst>
            <a:ext uri="{FF2B5EF4-FFF2-40B4-BE49-F238E27FC236}">
              <a16:creationId xmlns:a16="http://schemas.microsoft.com/office/drawing/2014/main" id="{1ADE4D26-2D4A-235C-C6E7-B50A7595E2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41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846</xdr:row>
      <xdr:rowOff>760942</xdr:rowOff>
    </xdr:from>
    <xdr:to>
      <xdr:col>0</xdr:col>
      <xdr:colOff>871538</xdr:colOff>
      <xdr:row>847</xdr:row>
      <xdr:rowOff>760942</xdr:rowOff>
    </xdr:to>
    <xdr:pic>
      <xdr:nvPicPr>
        <xdr:cNvPr id="2743" name="Obraz 2742">
          <a:extLst>
            <a:ext uri="{FF2B5EF4-FFF2-40B4-BE49-F238E27FC236}">
              <a16:creationId xmlns:a16="http://schemas.microsoft.com/office/drawing/2014/main" id="{18B66308-4BFB-BFBB-A8FF-7B05AD47E7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49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847</xdr:row>
      <xdr:rowOff>760942</xdr:rowOff>
    </xdr:from>
    <xdr:to>
      <xdr:col>0</xdr:col>
      <xdr:colOff>871538</xdr:colOff>
      <xdr:row>848</xdr:row>
      <xdr:rowOff>760942</xdr:rowOff>
    </xdr:to>
    <xdr:pic>
      <xdr:nvPicPr>
        <xdr:cNvPr id="2745" name="Obraz 2744">
          <a:extLst>
            <a:ext uri="{FF2B5EF4-FFF2-40B4-BE49-F238E27FC236}">
              <a16:creationId xmlns:a16="http://schemas.microsoft.com/office/drawing/2014/main" id="{471F0C3D-8C68-69D0-E5D7-79D0CA3CDD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57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848</xdr:row>
      <xdr:rowOff>760942</xdr:rowOff>
    </xdr:from>
    <xdr:to>
      <xdr:col>0</xdr:col>
      <xdr:colOff>871538</xdr:colOff>
      <xdr:row>849</xdr:row>
      <xdr:rowOff>760942</xdr:rowOff>
    </xdr:to>
    <xdr:pic>
      <xdr:nvPicPr>
        <xdr:cNvPr id="2747" name="Obraz 2746">
          <a:extLst>
            <a:ext uri="{FF2B5EF4-FFF2-40B4-BE49-F238E27FC236}">
              <a16:creationId xmlns:a16="http://schemas.microsoft.com/office/drawing/2014/main" id="{CDD62A00-99D5-CA87-5683-F51BD2D483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64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849</xdr:row>
      <xdr:rowOff>760942</xdr:rowOff>
    </xdr:from>
    <xdr:to>
      <xdr:col>0</xdr:col>
      <xdr:colOff>871538</xdr:colOff>
      <xdr:row>850</xdr:row>
      <xdr:rowOff>760942</xdr:rowOff>
    </xdr:to>
    <xdr:pic>
      <xdr:nvPicPr>
        <xdr:cNvPr id="2749" name="Obraz 2748">
          <a:extLst>
            <a:ext uri="{FF2B5EF4-FFF2-40B4-BE49-F238E27FC236}">
              <a16:creationId xmlns:a16="http://schemas.microsoft.com/office/drawing/2014/main" id="{E9AC7744-C6E7-70BD-BF5F-566FCEE438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72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850</xdr:row>
      <xdr:rowOff>760942</xdr:rowOff>
    </xdr:from>
    <xdr:to>
      <xdr:col>0</xdr:col>
      <xdr:colOff>871538</xdr:colOff>
      <xdr:row>851</xdr:row>
      <xdr:rowOff>760942</xdr:rowOff>
    </xdr:to>
    <xdr:pic>
      <xdr:nvPicPr>
        <xdr:cNvPr id="2751" name="Obraz 2750">
          <a:extLst>
            <a:ext uri="{FF2B5EF4-FFF2-40B4-BE49-F238E27FC236}">
              <a16:creationId xmlns:a16="http://schemas.microsoft.com/office/drawing/2014/main" id="{28111B69-BF21-2754-89AB-13FC5268AE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79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851</xdr:row>
      <xdr:rowOff>760942</xdr:rowOff>
    </xdr:from>
    <xdr:to>
      <xdr:col>0</xdr:col>
      <xdr:colOff>871538</xdr:colOff>
      <xdr:row>852</xdr:row>
      <xdr:rowOff>760942</xdr:rowOff>
    </xdr:to>
    <xdr:pic>
      <xdr:nvPicPr>
        <xdr:cNvPr id="2753" name="Obraz 2752">
          <a:extLst>
            <a:ext uri="{FF2B5EF4-FFF2-40B4-BE49-F238E27FC236}">
              <a16:creationId xmlns:a16="http://schemas.microsoft.com/office/drawing/2014/main" id="{82C6389C-3F9E-DC96-D349-33C9590EFD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87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852</xdr:row>
      <xdr:rowOff>760942</xdr:rowOff>
    </xdr:from>
    <xdr:to>
      <xdr:col>0</xdr:col>
      <xdr:colOff>871538</xdr:colOff>
      <xdr:row>853</xdr:row>
      <xdr:rowOff>760942</xdr:rowOff>
    </xdr:to>
    <xdr:pic>
      <xdr:nvPicPr>
        <xdr:cNvPr id="2755" name="Obraz 2754">
          <a:extLst>
            <a:ext uri="{FF2B5EF4-FFF2-40B4-BE49-F238E27FC236}">
              <a16:creationId xmlns:a16="http://schemas.microsoft.com/office/drawing/2014/main" id="{233148DD-FCDD-26C9-2359-62584B9AD3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495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853</xdr:row>
      <xdr:rowOff>760942</xdr:rowOff>
    </xdr:from>
    <xdr:to>
      <xdr:col>0</xdr:col>
      <xdr:colOff>871538</xdr:colOff>
      <xdr:row>854</xdr:row>
      <xdr:rowOff>760942</xdr:rowOff>
    </xdr:to>
    <xdr:pic>
      <xdr:nvPicPr>
        <xdr:cNvPr id="2757" name="Obraz 2756">
          <a:extLst>
            <a:ext uri="{FF2B5EF4-FFF2-40B4-BE49-F238E27FC236}">
              <a16:creationId xmlns:a16="http://schemas.microsoft.com/office/drawing/2014/main" id="{974E5BFE-68AB-5304-5887-543E0D823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02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854</xdr:row>
      <xdr:rowOff>760942</xdr:rowOff>
    </xdr:from>
    <xdr:to>
      <xdr:col>0</xdr:col>
      <xdr:colOff>871538</xdr:colOff>
      <xdr:row>855</xdr:row>
      <xdr:rowOff>760942</xdr:rowOff>
    </xdr:to>
    <xdr:pic>
      <xdr:nvPicPr>
        <xdr:cNvPr id="2759" name="Obraz 2758">
          <a:extLst>
            <a:ext uri="{FF2B5EF4-FFF2-40B4-BE49-F238E27FC236}">
              <a16:creationId xmlns:a16="http://schemas.microsoft.com/office/drawing/2014/main" id="{D1101494-8F9E-7E10-3193-1326FD5D2C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10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855</xdr:row>
      <xdr:rowOff>760942</xdr:rowOff>
    </xdr:from>
    <xdr:to>
      <xdr:col>0</xdr:col>
      <xdr:colOff>871538</xdr:colOff>
      <xdr:row>856</xdr:row>
      <xdr:rowOff>760942</xdr:rowOff>
    </xdr:to>
    <xdr:pic>
      <xdr:nvPicPr>
        <xdr:cNvPr id="2761" name="Obraz 2760">
          <a:extLst>
            <a:ext uri="{FF2B5EF4-FFF2-40B4-BE49-F238E27FC236}">
              <a16:creationId xmlns:a16="http://schemas.microsoft.com/office/drawing/2014/main" id="{5A8CE0C3-9AEB-F52B-EB17-405453B2A4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18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856</xdr:row>
      <xdr:rowOff>760942</xdr:rowOff>
    </xdr:from>
    <xdr:to>
      <xdr:col>0</xdr:col>
      <xdr:colOff>871538</xdr:colOff>
      <xdr:row>857</xdr:row>
      <xdr:rowOff>760942</xdr:rowOff>
    </xdr:to>
    <xdr:pic>
      <xdr:nvPicPr>
        <xdr:cNvPr id="2763" name="Obraz 2762">
          <a:extLst>
            <a:ext uri="{FF2B5EF4-FFF2-40B4-BE49-F238E27FC236}">
              <a16:creationId xmlns:a16="http://schemas.microsoft.com/office/drawing/2014/main" id="{7F769308-94AC-788E-59ED-3A30392B3F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25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858</xdr:row>
      <xdr:rowOff>760942</xdr:rowOff>
    </xdr:from>
    <xdr:to>
      <xdr:col>0</xdr:col>
      <xdr:colOff>871538</xdr:colOff>
      <xdr:row>859</xdr:row>
      <xdr:rowOff>760942</xdr:rowOff>
    </xdr:to>
    <xdr:pic>
      <xdr:nvPicPr>
        <xdr:cNvPr id="2765" name="Obraz 2764">
          <a:extLst>
            <a:ext uri="{FF2B5EF4-FFF2-40B4-BE49-F238E27FC236}">
              <a16:creationId xmlns:a16="http://schemas.microsoft.com/office/drawing/2014/main" id="{C6C96C6E-C507-5B28-86CF-FD7B377945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40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860</xdr:row>
      <xdr:rowOff>760942</xdr:rowOff>
    </xdr:from>
    <xdr:to>
      <xdr:col>0</xdr:col>
      <xdr:colOff>871538</xdr:colOff>
      <xdr:row>861</xdr:row>
      <xdr:rowOff>760942</xdr:rowOff>
    </xdr:to>
    <xdr:pic>
      <xdr:nvPicPr>
        <xdr:cNvPr id="2767" name="Obraz 2766">
          <a:extLst>
            <a:ext uri="{FF2B5EF4-FFF2-40B4-BE49-F238E27FC236}">
              <a16:creationId xmlns:a16="http://schemas.microsoft.com/office/drawing/2014/main" id="{D6FC4125-1F6B-E014-4608-863B878E12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56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861</xdr:row>
      <xdr:rowOff>760942</xdr:rowOff>
    </xdr:from>
    <xdr:to>
      <xdr:col>0</xdr:col>
      <xdr:colOff>871538</xdr:colOff>
      <xdr:row>862</xdr:row>
      <xdr:rowOff>760942</xdr:rowOff>
    </xdr:to>
    <xdr:pic>
      <xdr:nvPicPr>
        <xdr:cNvPr id="2769" name="Obraz 2768">
          <a:extLst>
            <a:ext uri="{FF2B5EF4-FFF2-40B4-BE49-F238E27FC236}">
              <a16:creationId xmlns:a16="http://schemas.microsoft.com/office/drawing/2014/main" id="{C79C3C99-DB54-5ED5-5EF9-774C20BAB4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63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862</xdr:row>
      <xdr:rowOff>760942</xdr:rowOff>
    </xdr:from>
    <xdr:to>
      <xdr:col>0</xdr:col>
      <xdr:colOff>871538</xdr:colOff>
      <xdr:row>863</xdr:row>
      <xdr:rowOff>760942</xdr:rowOff>
    </xdr:to>
    <xdr:pic>
      <xdr:nvPicPr>
        <xdr:cNvPr id="2771" name="Obraz 2770">
          <a:extLst>
            <a:ext uri="{FF2B5EF4-FFF2-40B4-BE49-F238E27FC236}">
              <a16:creationId xmlns:a16="http://schemas.microsoft.com/office/drawing/2014/main" id="{515BD535-5476-52E1-DF12-5516A83505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71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863</xdr:row>
      <xdr:rowOff>760942</xdr:rowOff>
    </xdr:from>
    <xdr:to>
      <xdr:col>0</xdr:col>
      <xdr:colOff>871538</xdr:colOff>
      <xdr:row>864</xdr:row>
      <xdr:rowOff>760942</xdr:rowOff>
    </xdr:to>
    <xdr:pic>
      <xdr:nvPicPr>
        <xdr:cNvPr id="2773" name="Obraz 2772">
          <a:extLst>
            <a:ext uri="{FF2B5EF4-FFF2-40B4-BE49-F238E27FC236}">
              <a16:creationId xmlns:a16="http://schemas.microsoft.com/office/drawing/2014/main" id="{57D2A508-5439-76BE-1549-B760DDD05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79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864</xdr:row>
      <xdr:rowOff>760942</xdr:rowOff>
    </xdr:from>
    <xdr:to>
      <xdr:col>0</xdr:col>
      <xdr:colOff>871538</xdr:colOff>
      <xdr:row>865</xdr:row>
      <xdr:rowOff>760942</xdr:rowOff>
    </xdr:to>
    <xdr:pic>
      <xdr:nvPicPr>
        <xdr:cNvPr id="2775" name="Obraz 2774">
          <a:extLst>
            <a:ext uri="{FF2B5EF4-FFF2-40B4-BE49-F238E27FC236}">
              <a16:creationId xmlns:a16="http://schemas.microsoft.com/office/drawing/2014/main" id="{9C60039D-43E1-AC6F-7984-FCEEC28E13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86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865</xdr:row>
      <xdr:rowOff>760942</xdr:rowOff>
    </xdr:from>
    <xdr:to>
      <xdr:col>0</xdr:col>
      <xdr:colOff>871538</xdr:colOff>
      <xdr:row>866</xdr:row>
      <xdr:rowOff>760942</xdr:rowOff>
    </xdr:to>
    <xdr:pic>
      <xdr:nvPicPr>
        <xdr:cNvPr id="2777" name="Obraz 2776">
          <a:extLst>
            <a:ext uri="{FF2B5EF4-FFF2-40B4-BE49-F238E27FC236}">
              <a16:creationId xmlns:a16="http://schemas.microsoft.com/office/drawing/2014/main" id="{EF1A4BD0-7A19-8D24-4886-D67D032D40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594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866</xdr:row>
      <xdr:rowOff>760942</xdr:rowOff>
    </xdr:from>
    <xdr:to>
      <xdr:col>0</xdr:col>
      <xdr:colOff>871538</xdr:colOff>
      <xdr:row>867</xdr:row>
      <xdr:rowOff>760942</xdr:rowOff>
    </xdr:to>
    <xdr:pic>
      <xdr:nvPicPr>
        <xdr:cNvPr id="2779" name="Obraz 2778">
          <a:extLst>
            <a:ext uri="{FF2B5EF4-FFF2-40B4-BE49-F238E27FC236}">
              <a16:creationId xmlns:a16="http://schemas.microsoft.com/office/drawing/2014/main" id="{60047636-734C-A1F4-564F-3CA87B1F60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01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867</xdr:row>
      <xdr:rowOff>760942</xdr:rowOff>
    </xdr:from>
    <xdr:to>
      <xdr:col>0</xdr:col>
      <xdr:colOff>871538</xdr:colOff>
      <xdr:row>868</xdr:row>
      <xdr:rowOff>760942</xdr:rowOff>
    </xdr:to>
    <xdr:pic>
      <xdr:nvPicPr>
        <xdr:cNvPr id="2781" name="Obraz 2780">
          <a:extLst>
            <a:ext uri="{FF2B5EF4-FFF2-40B4-BE49-F238E27FC236}">
              <a16:creationId xmlns:a16="http://schemas.microsoft.com/office/drawing/2014/main" id="{F93987AA-3A6E-EC2E-53A6-63030ADEE9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09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868</xdr:row>
      <xdr:rowOff>760942</xdr:rowOff>
    </xdr:from>
    <xdr:to>
      <xdr:col>0</xdr:col>
      <xdr:colOff>871538</xdr:colOff>
      <xdr:row>869</xdr:row>
      <xdr:rowOff>760942</xdr:rowOff>
    </xdr:to>
    <xdr:pic>
      <xdr:nvPicPr>
        <xdr:cNvPr id="2783" name="Obraz 2782">
          <a:extLst>
            <a:ext uri="{FF2B5EF4-FFF2-40B4-BE49-F238E27FC236}">
              <a16:creationId xmlns:a16="http://schemas.microsoft.com/office/drawing/2014/main" id="{01645180-8B95-D7E0-95D7-22EA044FB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17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869</xdr:row>
      <xdr:rowOff>760942</xdr:rowOff>
    </xdr:from>
    <xdr:to>
      <xdr:col>0</xdr:col>
      <xdr:colOff>871538</xdr:colOff>
      <xdr:row>870</xdr:row>
      <xdr:rowOff>760942</xdr:rowOff>
    </xdr:to>
    <xdr:pic>
      <xdr:nvPicPr>
        <xdr:cNvPr id="2785" name="Obraz 2784">
          <a:extLst>
            <a:ext uri="{FF2B5EF4-FFF2-40B4-BE49-F238E27FC236}">
              <a16:creationId xmlns:a16="http://schemas.microsoft.com/office/drawing/2014/main" id="{BDB8C381-7F9E-E154-901B-36CA96D3FE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24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870</xdr:row>
      <xdr:rowOff>760942</xdr:rowOff>
    </xdr:from>
    <xdr:to>
      <xdr:col>0</xdr:col>
      <xdr:colOff>871538</xdr:colOff>
      <xdr:row>871</xdr:row>
      <xdr:rowOff>760942</xdr:rowOff>
    </xdr:to>
    <xdr:pic>
      <xdr:nvPicPr>
        <xdr:cNvPr id="2787" name="Obraz 2786">
          <a:extLst>
            <a:ext uri="{FF2B5EF4-FFF2-40B4-BE49-F238E27FC236}">
              <a16:creationId xmlns:a16="http://schemas.microsoft.com/office/drawing/2014/main" id="{33AC29FB-91BE-FCA5-65B0-8334F55EAE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32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871</xdr:row>
      <xdr:rowOff>760942</xdr:rowOff>
    </xdr:from>
    <xdr:to>
      <xdr:col>0</xdr:col>
      <xdr:colOff>871538</xdr:colOff>
      <xdr:row>872</xdr:row>
      <xdr:rowOff>760942</xdr:rowOff>
    </xdr:to>
    <xdr:pic>
      <xdr:nvPicPr>
        <xdr:cNvPr id="2789" name="Obraz 2788">
          <a:extLst>
            <a:ext uri="{FF2B5EF4-FFF2-40B4-BE49-F238E27FC236}">
              <a16:creationId xmlns:a16="http://schemas.microsoft.com/office/drawing/2014/main" id="{D034D82E-6E80-FCC9-119C-ED4C2BEDCB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39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872</xdr:row>
      <xdr:rowOff>760942</xdr:rowOff>
    </xdr:from>
    <xdr:to>
      <xdr:col>0</xdr:col>
      <xdr:colOff>871538</xdr:colOff>
      <xdr:row>873</xdr:row>
      <xdr:rowOff>760942</xdr:rowOff>
    </xdr:to>
    <xdr:pic>
      <xdr:nvPicPr>
        <xdr:cNvPr id="2791" name="Obraz 2790">
          <a:extLst>
            <a:ext uri="{FF2B5EF4-FFF2-40B4-BE49-F238E27FC236}">
              <a16:creationId xmlns:a16="http://schemas.microsoft.com/office/drawing/2014/main" id="{DC243B2A-76C2-D6FB-BC57-9A378FF871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47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873</xdr:row>
      <xdr:rowOff>760942</xdr:rowOff>
    </xdr:from>
    <xdr:to>
      <xdr:col>0</xdr:col>
      <xdr:colOff>871538</xdr:colOff>
      <xdr:row>874</xdr:row>
      <xdr:rowOff>760942</xdr:rowOff>
    </xdr:to>
    <xdr:pic>
      <xdr:nvPicPr>
        <xdr:cNvPr id="2793" name="Obraz 2792">
          <a:extLst>
            <a:ext uri="{FF2B5EF4-FFF2-40B4-BE49-F238E27FC236}">
              <a16:creationId xmlns:a16="http://schemas.microsoft.com/office/drawing/2014/main" id="{0CF793CF-5DE1-7A92-1D29-1C3E6A99B9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55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874</xdr:row>
      <xdr:rowOff>760942</xdr:rowOff>
    </xdr:from>
    <xdr:to>
      <xdr:col>0</xdr:col>
      <xdr:colOff>871538</xdr:colOff>
      <xdr:row>875</xdr:row>
      <xdr:rowOff>760942</xdr:rowOff>
    </xdr:to>
    <xdr:pic>
      <xdr:nvPicPr>
        <xdr:cNvPr id="2795" name="Obraz 2794">
          <a:extLst>
            <a:ext uri="{FF2B5EF4-FFF2-40B4-BE49-F238E27FC236}">
              <a16:creationId xmlns:a16="http://schemas.microsoft.com/office/drawing/2014/main" id="{AAC41685-068C-1D74-C711-EF717EBD6E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62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875</xdr:row>
      <xdr:rowOff>760942</xdr:rowOff>
    </xdr:from>
    <xdr:to>
      <xdr:col>0</xdr:col>
      <xdr:colOff>871538</xdr:colOff>
      <xdr:row>876</xdr:row>
      <xdr:rowOff>760942</xdr:rowOff>
    </xdr:to>
    <xdr:pic>
      <xdr:nvPicPr>
        <xdr:cNvPr id="2797" name="Obraz 2796">
          <a:extLst>
            <a:ext uri="{FF2B5EF4-FFF2-40B4-BE49-F238E27FC236}">
              <a16:creationId xmlns:a16="http://schemas.microsoft.com/office/drawing/2014/main" id="{871B82A2-964B-0E9B-F885-71F77816BC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70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876</xdr:row>
      <xdr:rowOff>760942</xdr:rowOff>
    </xdr:from>
    <xdr:to>
      <xdr:col>0</xdr:col>
      <xdr:colOff>871538</xdr:colOff>
      <xdr:row>877</xdr:row>
      <xdr:rowOff>760942</xdr:rowOff>
    </xdr:to>
    <xdr:pic>
      <xdr:nvPicPr>
        <xdr:cNvPr id="2799" name="Obraz 2798">
          <a:extLst>
            <a:ext uri="{FF2B5EF4-FFF2-40B4-BE49-F238E27FC236}">
              <a16:creationId xmlns:a16="http://schemas.microsoft.com/office/drawing/2014/main" id="{0EBC69B4-2159-A9E3-4C96-EE69AD215B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78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877</xdr:row>
      <xdr:rowOff>760942</xdr:rowOff>
    </xdr:from>
    <xdr:to>
      <xdr:col>0</xdr:col>
      <xdr:colOff>871538</xdr:colOff>
      <xdr:row>878</xdr:row>
      <xdr:rowOff>760942</xdr:rowOff>
    </xdr:to>
    <xdr:pic>
      <xdr:nvPicPr>
        <xdr:cNvPr id="2801" name="Obraz 2800">
          <a:extLst>
            <a:ext uri="{FF2B5EF4-FFF2-40B4-BE49-F238E27FC236}">
              <a16:creationId xmlns:a16="http://schemas.microsoft.com/office/drawing/2014/main" id="{597FF8B2-207F-30B7-278F-6CB074ED1B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85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878</xdr:row>
      <xdr:rowOff>760942</xdr:rowOff>
    </xdr:from>
    <xdr:to>
      <xdr:col>0</xdr:col>
      <xdr:colOff>871538</xdr:colOff>
      <xdr:row>879</xdr:row>
      <xdr:rowOff>760942</xdr:rowOff>
    </xdr:to>
    <xdr:pic>
      <xdr:nvPicPr>
        <xdr:cNvPr id="2803" name="Obraz 2802">
          <a:extLst>
            <a:ext uri="{FF2B5EF4-FFF2-40B4-BE49-F238E27FC236}">
              <a16:creationId xmlns:a16="http://schemas.microsoft.com/office/drawing/2014/main" id="{EE7F23DE-E722-4F0D-7687-47FE05576F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693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879</xdr:row>
      <xdr:rowOff>760942</xdr:rowOff>
    </xdr:from>
    <xdr:to>
      <xdr:col>0</xdr:col>
      <xdr:colOff>871538</xdr:colOff>
      <xdr:row>880</xdr:row>
      <xdr:rowOff>760942</xdr:rowOff>
    </xdr:to>
    <xdr:pic>
      <xdr:nvPicPr>
        <xdr:cNvPr id="2805" name="Obraz 2804">
          <a:extLst>
            <a:ext uri="{FF2B5EF4-FFF2-40B4-BE49-F238E27FC236}">
              <a16:creationId xmlns:a16="http://schemas.microsoft.com/office/drawing/2014/main" id="{3276D1A8-6188-6D52-EEE2-8AE698F62D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00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880</xdr:row>
      <xdr:rowOff>760942</xdr:rowOff>
    </xdr:from>
    <xdr:to>
      <xdr:col>0</xdr:col>
      <xdr:colOff>871538</xdr:colOff>
      <xdr:row>881</xdr:row>
      <xdr:rowOff>760942</xdr:rowOff>
    </xdr:to>
    <xdr:pic>
      <xdr:nvPicPr>
        <xdr:cNvPr id="2807" name="Obraz 2806">
          <a:extLst>
            <a:ext uri="{FF2B5EF4-FFF2-40B4-BE49-F238E27FC236}">
              <a16:creationId xmlns:a16="http://schemas.microsoft.com/office/drawing/2014/main" id="{8D3C0277-DA9E-E972-FA7F-5660B0F7DF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08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881</xdr:row>
      <xdr:rowOff>760942</xdr:rowOff>
    </xdr:from>
    <xdr:to>
      <xdr:col>0</xdr:col>
      <xdr:colOff>871538</xdr:colOff>
      <xdr:row>882</xdr:row>
      <xdr:rowOff>760942</xdr:rowOff>
    </xdr:to>
    <xdr:pic>
      <xdr:nvPicPr>
        <xdr:cNvPr id="2809" name="Obraz 2808">
          <a:extLst>
            <a:ext uri="{FF2B5EF4-FFF2-40B4-BE49-F238E27FC236}">
              <a16:creationId xmlns:a16="http://schemas.microsoft.com/office/drawing/2014/main" id="{9B064F45-6516-15FB-8518-E9E77650E0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16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882</xdr:row>
      <xdr:rowOff>760942</xdr:rowOff>
    </xdr:from>
    <xdr:to>
      <xdr:col>0</xdr:col>
      <xdr:colOff>871538</xdr:colOff>
      <xdr:row>883</xdr:row>
      <xdr:rowOff>760942</xdr:rowOff>
    </xdr:to>
    <xdr:pic>
      <xdr:nvPicPr>
        <xdr:cNvPr id="2811" name="Obraz 2810">
          <a:extLst>
            <a:ext uri="{FF2B5EF4-FFF2-40B4-BE49-F238E27FC236}">
              <a16:creationId xmlns:a16="http://schemas.microsoft.com/office/drawing/2014/main" id="{63F53DAF-0BBE-C6D1-787A-D4A8728623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23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883</xdr:row>
      <xdr:rowOff>760942</xdr:rowOff>
    </xdr:from>
    <xdr:to>
      <xdr:col>0</xdr:col>
      <xdr:colOff>871538</xdr:colOff>
      <xdr:row>884</xdr:row>
      <xdr:rowOff>760942</xdr:rowOff>
    </xdr:to>
    <xdr:pic>
      <xdr:nvPicPr>
        <xdr:cNvPr id="2813" name="Obraz 2812">
          <a:extLst>
            <a:ext uri="{FF2B5EF4-FFF2-40B4-BE49-F238E27FC236}">
              <a16:creationId xmlns:a16="http://schemas.microsoft.com/office/drawing/2014/main" id="{CE146811-B64D-23E7-2ECD-CC327BAB10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31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884</xdr:row>
      <xdr:rowOff>760942</xdr:rowOff>
    </xdr:from>
    <xdr:to>
      <xdr:col>0</xdr:col>
      <xdr:colOff>871538</xdr:colOff>
      <xdr:row>885</xdr:row>
      <xdr:rowOff>760942</xdr:rowOff>
    </xdr:to>
    <xdr:pic>
      <xdr:nvPicPr>
        <xdr:cNvPr id="2815" name="Obraz 2814">
          <a:extLst>
            <a:ext uri="{FF2B5EF4-FFF2-40B4-BE49-F238E27FC236}">
              <a16:creationId xmlns:a16="http://schemas.microsoft.com/office/drawing/2014/main" id="{F87510E8-659C-4BED-1F6D-85A0710C22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39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885</xdr:row>
      <xdr:rowOff>760942</xdr:rowOff>
    </xdr:from>
    <xdr:to>
      <xdr:col>0</xdr:col>
      <xdr:colOff>871538</xdr:colOff>
      <xdr:row>886</xdr:row>
      <xdr:rowOff>760942</xdr:rowOff>
    </xdr:to>
    <xdr:pic>
      <xdr:nvPicPr>
        <xdr:cNvPr id="2817" name="Obraz 2816">
          <a:extLst>
            <a:ext uri="{FF2B5EF4-FFF2-40B4-BE49-F238E27FC236}">
              <a16:creationId xmlns:a16="http://schemas.microsoft.com/office/drawing/2014/main" id="{29700D08-E14C-2D34-29E6-D7AD1D8FC9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46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886</xdr:row>
      <xdr:rowOff>760942</xdr:rowOff>
    </xdr:from>
    <xdr:to>
      <xdr:col>0</xdr:col>
      <xdr:colOff>871538</xdr:colOff>
      <xdr:row>887</xdr:row>
      <xdr:rowOff>760942</xdr:rowOff>
    </xdr:to>
    <xdr:pic>
      <xdr:nvPicPr>
        <xdr:cNvPr id="2819" name="Obraz 2818">
          <a:extLst>
            <a:ext uri="{FF2B5EF4-FFF2-40B4-BE49-F238E27FC236}">
              <a16:creationId xmlns:a16="http://schemas.microsoft.com/office/drawing/2014/main" id="{1089A748-E38D-9DB1-332D-C8C310C387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54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887</xdr:row>
      <xdr:rowOff>760942</xdr:rowOff>
    </xdr:from>
    <xdr:to>
      <xdr:col>0</xdr:col>
      <xdr:colOff>871538</xdr:colOff>
      <xdr:row>888</xdr:row>
      <xdr:rowOff>760942</xdr:rowOff>
    </xdr:to>
    <xdr:pic>
      <xdr:nvPicPr>
        <xdr:cNvPr id="2821" name="Obraz 2820">
          <a:extLst>
            <a:ext uri="{FF2B5EF4-FFF2-40B4-BE49-F238E27FC236}">
              <a16:creationId xmlns:a16="http://schemas.microsoft.com/office/drawing/2014/main" id="{D5129CC9-5DFB-D621-B706-309EA8C8F9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61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888</xdr:row>
      <xdr:rowOff>760942</xdr:rowOff>
    </xdr:from>
    <xdr:to>
      <xdr:col>0</xdr:col>
      <xdr:colOff>871538</xdr:colOff>
      <xdr:row>889</xdr:row>
      <xdr:rowOff>760942</xdr:rowOff>
    </xdr:to>
    <xdr:pic>
      <xdr:nvPicPr>
        <xdr:cNvPr id="2823" name="Obraz 2822">
          <a:extLst>
            <a:ext uri="{FF2B5EF4-FFF2-40B4-BE49-F238E27FC236}">
              <a16:creationId xmlns:a16="http://schemas.microsoft.com/office/drawing/2014/main" id="{3888209A-7C1F-18C6-7AF2-22B848ABE5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69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889</xdr:row>
      <xdr:rowOff>760942</xdr:rowOff>
    </xdr:from>
    <xdr:to>
      <xdr:col>0</xdr:col>
      <xdr:colOff>871538</xdr:colOff>
      <xdr:row>890</xdr:row>
      <xdr:rowOff>760942</xdr:rowOff>
    </xdr:to>
    <xdr:pic>
      <xdr:nvPicPr>
        <xdr:cNvPr id="2825" name="Obraz 2824">
          <a:extLst>
            <a:ext uri="{FF2B5EF4-FFF2-40B4-BE49-F238E27FC236}">
              <a16:creationId xmlns:a16="http://schemas.microsoft.com/office/drawing/2014/main" id="{F615310F-151C-F0CD-E211-588331302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77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890</xdr:row>
      <xdr:rowOff>760942</xdr:rowOff>
    </xdr:from>
    <xdr:to>
      <xdr:col>0</xdr:col>
      <xdr:colOff>871538</xdr:colOff>
      <xdr:row>891</xdr:row>
      <xdr:rowOff>760942</xdr:rowOff>
    </xdr:to>
    <xdr:pic>
      <xdr:nvPicPr>
        <xdr:cNvPr id="2827" name="Obraz 2826">
          <a:extLst>
            <a:ext uri="{FF2B5EF4-FFF2-40B4-BE49-F238E27FC236}">
              <a16:creationId xmlns:a16="http://schemas.microsoft.com/office/drawing/2014/main" id="{FE5BF7E8-477E-2BCE-DE56-1B86CBB8B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84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891</xdr:row>
      <xdr:rowOff>760942</xdr:rowOff>
    </xdr:from>
    <xdr:to>
      <xdr:col>0</xdr:col>
      <xdr:colOff>871538</xdr:colOff>
      <xdr:row>892</xdr:row>
      <xdr:rowOff>760942</xdr:rowOff>
    </xdr:to>
    <xdr:pic>
      <xdr:nvPicPr>
        <xdr:cNvPr id="2829" name="Obraz 2828">
          <a:extLst>
            <a:ext uri="{FF2B5EF4-FFF2-40B4-BE49-F238E27FC236}">
              <a16:creationId xmlns:a16="http://schemas.microsoft.com/office/drawing/2014/main" id="{CD3397EF-2A8D-CEC2-C96F-D3680EEB4C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92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892</xdr:row>
      <xdr:rowOff>760942</xdr:rowOff>
    </xdr:from>
    <xdr:to>
      <xdr:col>0</xdr:col>
      <xdr:colOff>871538</xdr:colOff>
      <xdr:row>893</xdr:row>
      <xdr:rowOff>760942</xdr:rowOff>
    </xdr:to>
    <xdr:pic>
      <xdr:nvPicPr>
        <xdr:cNvPr id="2831" name="Obraz 2830">
          <a:extLst>
            <a:ext uri="{FF2B5EF4-FFF2-40B4-BE49-F238E27FC236}">
              <a16:creationId xmlns:a16="http://schemas.microsoft.com/office/drawing/2014/main" id="{EDC6E38A-67F6-CBDB-89B8-9FDE1CC8A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799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893</xdr:row>
      <xdr:rowOff>760942</xdr:rowOff>
    </xdr:from>
    <xdr:to>
      <xdr:col>0</xdr:col>
      <xdr:colOff>871538</xdr:colOff>
      <xdr:row>894</xdr:row>
      <xdr:rowOff>760942</xdr:rowOff>
    </xdr:to>
    <xdr:pic>
      <xdr:nvPicPr>
        <xdr:cNvPr id="2833" name="Obraz 2832">
          <a:extLst>
            <a:ext uri="{FF2B5EF4-FFF2-40B4-BE49-F238E27FC236}">
              <a16:creationId xmlns:a16="http://schemas.microsoft.com/office/drawing/2014/main" id="{136BA8AC-5A84-2231-3228-AD99B28826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07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894</xdr:row>
      <xdr:rowOff>760942</xdr:rowOff>
    </xdr:from>
    <xdr:to>
      <xdr:col>0</xdr:col>
      <xdr:colOff>871538</xdr:colOff>
      <xdr:row>895</xdr:row>
      <xdr:rowOff>760942</xdr:rowOff>
    </xdr:to>
    <xdr:pic>
      <xdr:nvPicPr>
        <xdr:cNvPr id="2835" name="Obraz 2834">
          <a:extLst>
            <a:ext uri="{FF2B5EF4-FFF2-40B4-BE49-F238E27FC236}">
              <a16:creationId xmlns:a16="http://schemas.microsoft.com/office/drawing/2014/main" id="{DF544B8E-1328-DB44-6423-BEB53F858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15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895</xdr:row>
      <xdr:rowOff>760942</xdr:rowOff>
    </xdr:from>
    <xdr:to>
      <xdr:col>0</xdr:col>
      <xdr:colOff>871538</xdr:colOff>
      <xdr:row>896</xdr:row>
      <xdr:rowOff>760942</xdr:rowOff>
    </xdr:to>
    <xdr:pic>
      <xdr:nvPicPr>
        <xdr:cNvPr id="2837" name="Obraz 2836">
          <a:extLst>
            <a:ext uri="{FF2B5EF4-FFF2-40B4-BE49-F238E27FC236}">
              <a16:creationId xmlns:a16="http://schemas.microsoft.com/office/drawing/2014/main" id="{EB415A19-4D83-D05A-FFFF-DF682BB370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22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896</xdr:row>
      <xdr:rowOff>760942</xdr:rowOff>
    </xdr:from>
    <xdr:to>
      <xdr:col>0</xdr:col>
      <xdr:colOff>871538</xdr:colOff>
      <xdr:row>897</xdr:row>
      <xdr:rowOff>760942</xdr:rowOff>
    </xdr:to>
    <xdr:pic>
      <xdr:nvPicPr>
        <xdr:cNvPr id="2839" name="Obraz 2838">
          <a:extLst>
            <a:ext uri="{FF2B5EF4-FFF2-40B4-BE49-F238E27FC236}">
              <a16:creationId xmlns:a16="http://schemas.microsoft.com/office/drawing/2014/main" id="{CC248495-9860-FA80-9EAA-028D904392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30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897</xdr:row>
      <xdr:rowOff>760942</xdr:rowOff>
    </xdr:from>
    <xdr:to>
      <xdr:col>0</xdr:col>
      <xdr:colOff>871538</xdr:colOff>
      <xdr:row>898</xdr:row>
      <xdr:rowOff>760942</xdr:rowOff>
    </xdr:to>
    <xdr:pic>
      <xdr:nvPicPr>
        <xdr:cNvPr id="2841" name="Obraz 2840">
          <a:extLst>
            <a:ext uri="{FF2B5EF4-FFF2-40B4-BE49-F238E27FC236}">
              <a16:creationId xmlns:a16="http://schemas.microsoft.com/office/drawing/2014/main" id="{7E8271B9-E324-1BFC-4E98-625B637FB6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38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898</xdr:row>
      <xdr:rowOff>760942</xdr:rowOff>
    </xdr:from>
    <xdr:to>
      <xdr:col>0</xdr:col>
      <xdr:colOff>871538</xdr:colOff>
      <xdr:row>899</xdr:row>
      <xdr:rowOff>760942</xdr:rowOff>
    </xdr:to>
    <xdr:pic>
      <xdr:nvPicPr>
        <xdr:cNvPr id="2843" name="Obraz 2842">
          <a:extLst>
            <a:ext uri="{FF2B5EF4-FFF2-40B4-BE49-F238E27FC236}">
              <a16:creationId xmlns:a16="http://schemas.microsoft.com/office/drawing/2014/main" id="{3285C8C0-01D6-E8AE-0428-292A54A93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45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899</xdr:row>
      <xdr:rowOff>760942</xdr:rowOff>
    </xdr:from>
    <xdr:to>
      <xdr:col>0</xdr:col>
      <xdr:colOff>871538</xdr:colOff>
      <xdr:row>900</xdr:row>
      <xdr:rowOff>760942</xdr:rowOff>
    </xdr:to>
    <xdr:pic>
      <xdr:nvPicPr>
        <xdr:cNvPr id="2845" name="Obraz 2844">
          <a:extLst>
            <a:ext uri="{FF2B5EF4-FFF2-40B4-BE49-F238E27FC236}">
              <a16:creationId xmlns:a16="http://schemas.microsoft.com/office/drawing/2014/main" id="{27D93E50-FAB4-96DD-2593-474335C8B7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53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900</xdr:row>
      <xdr:rowOff>760942</xdr:rowOff>
    </xdr:from>
    <xdr:to>
      <xdr:col>0</xdr:col>
      <xdr:colOff>871538</xdr:colOff>
      <xdr:row>901</xdr:row>
      <xdr:rowOff>760942</xdr:rowOff>
    </xdr:to>
    <xdr:pic>
      <xdr:nvPicPr>
        <xdr:cNvPr id="2847" name="Obraz 2846">
          <a:extLst>
            <a:ext uri="{FF2B5EF4-FFF2-40B4-BE49-F238E27FC236}">
              <a16:creationId xmlns:a16="http://schemas.microsoft.com/office/drawing/2014/main" id="{D7AE4706-CC17-4167-B0F6-39BC188F03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60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901</xdr:row>
      <xdr:rowOff>760942</xdr:rowOff>
    </xdr:from>
    <xdr:to>
      <xdr:col>0</xdr:col>
      <xdr:colOff>871538</xdr:colOff>
      <xdr:row>902</xdr:row>
      <xdr:rowOff>760942</xdr:rowOff>
    </xdr:to>
    <xdr:pic>
      <xdr:nvPicPr>
        <xdr:cNvPr id="2849" name="Obraz 2848">
          <a:extLst>
            <a:ext uri="{FF2B5EF4-FFF2-40B4-BE49-F238E27FC236}">
              <a16:creationId xmlns:a16="http://schemas.microsoft.com/office/drawing/2014/main" id="{88197B80-5EEA-567C-84E8-A49BA2C210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68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902</xdr:row>
      <xdr:rowOff>760942</xdr:rowOff>
    </xdr:from>
    <xdr:to>
      <xdr:col>0</xdr:col>
      <xdr:colOff>871538</xdr:colOff>
      <xdr:row>903</xdr:row>
      <xdr:rowOff>760942</xdr:rowOff>
    </xdr:to>
    <xdr:pic>
      <xdr:nvPicPr>
        <xdr:cNvPr id="2851" name="Obraz 2850">
          <a:extLst>
            <a:ext uri="{FF2B5EF4-FFF2-40B4-BE49-F238E27FC236}">
              <a16:creationId xmlns:a16="http://schemas.microsoft.com/office/drawing/2014/main" id="{61E91FBD-86E6-998B-87BB-DDEE5D96EE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76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903</xdr:row>
      <xdr:rowOff>760942</xdr:rowOff>
    </xdr:from>
    <xdr:to>
      <xdr:col>0</xdr:col>
      <xdr:colOff>871538</xdr:colOff>
      <xdr:row>904</xdr:row>
      <xdr:rowOff>760942</xdr:rowOff>
    </xdr:to>
    <xdr:pic>
      <xdr:nvPicPr>
        <xdr:cNvPr id="2853" name="Obraz 2852">
          <a:extLst>
            <a:ext uri="{FF2B5EF4-FFF2-40B4-BE49-F238E27FC236}">
              <a16:creationId xmlns:a16="http://schemas.microsoft.com/office/drawing/2014/main" id="{46F0DD20-7732-BE2E-58E9-17130785E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83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904</xdr:row>
      <xdr:rowOff>760942</xdr:rowOff>
    </xdr:from>
    <xdr:to>
      <xdr:col>0</xdr:col>
      <xdr:colOff>871538</xdr:colOff>
      <xdr:row>905</xdr:row>
      <xdr:rowOff>760942</xdr:rowOff>
    </xdr:to>
    <xdr:pic>
      <xdr:nvPicPr>
        <xdr:cNvPr id="2855" name="Obraz 2854">
          <a:extLst>
            <a:ext uri="{FF2B5EF4-FFF2-40B4-BE49-F238E27FC236}">
              <a16:creationId xmlns:a16="http://schemas.microsoft.com/office/drawing/2014/main" id="{4603EC84-4FF8-99CE-960F-D8777631D4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91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905</xdr:row>
      <xdr:rowOff>760942</xdr:rowOff>
    </xdr:from>
    <xdr:to>
      <xdr:col>0</xdr:col>
      <xdr:colOff>871538</xdr:colOff>
      <xdr:row>906</xdr:row>
      <xdr:rowOff>760942</xdr:rowOff>
    </xdr:to>
    <xdr:pic>
      <xdr:nvPicPr>
        <xdr:cNvPr id="2857" name="Obraz 2856">
          <a:extLst>
            <a:ext uri="{FF2B5EF4-FFF2-40B4-BE49-F238E27FC236}">
              <a16:creationId xmlns:a16="http://schemas.microsoft.com/office/drawing/2014/main" id="{5FE8B8F8-0324-CE33-4D36-653A09D48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899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906</xdr:row>
      <xdr:rowOff>760942</xdr:rowOff>
    </xdr:from>
    <xdr:to>
      <xdr:col>0</xdr:col>
      <xdr:colOff>871538</xdr:colOff>
      <xdr:row>907</xdr:row>
      <xdr:rowOff>760942</xdr:rowOff>
    </xdr:to>
    <xdr:pic>
      <xdr:nvPicPr>
        <xdr:cNvPr id="2859" name="Obraz 2858">
          <a:extLst>
            <a:ext uri="{FF2B5EF4-FFF2-40B4-BE49-F238E27FC236}">
              <a16:creationId xmlns:a16="http://schemas.microsoft.com/office/drawing/2014/main" id="{909605BE-B280-B09B-E0C4-BF7C739013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06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907</xdr:row>
      <xdr:rowOff>760942</xdr:rowOff>
    </xdr:from>
    <xdr:to>
      <xdr:col>0</xdr:col>
      <xdr:colOff>871538</xdr:colOff>
      <xdr:row>908</xdr:row>
      <xdr:rowOff>760942</xdr:rowOff>
    </xdr:to>
    <xdr:pic>
      <xdr:nvPicPr>
        <xdr:cNvPr id="2861" name="Obraz 2860">
          <a:extLst>
            <a:ext uri="{FF2B5EF4-FFF2-40B4-BE49-F238E27FC236}">
              <a16:creationId xmlns:a16="http://schemas.microsoft.com/office/drawing/2014/main" id="{975FABF8-7D34-13C4-8092-164C3674E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14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908</xdr:row>
      <xdr:rowOff>760942</xdr:rowOff>
    </xdr:from>
    <xdr:to>
      <xdr:col>0</xdr:col>
      <xdr:colOff>871538</xdr:colOff>
      <xdr:row>909</xdr:row>
      <xdr:rowOff>760942</xdr:rowOff>
    </xdr:to>
    <xdr:pic>
      <xdr:nvPicPr>
        <xdr:cNvPr id="2863" name="Obraz 2862">
          <a:extLst>
            <a:ext uri="{FF2B5EF4-FFF2-40B4-BE49-F238E27FC236}">
              <a16:creationId xmlns:a16="http://schemas.microsoft.com/office/drawing/2014/main" id="{1129286D-0CD6-2257-ACEF-69B3F57879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21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909</xdr:row>
      <xdr:rowOff>760942</xdr:rowOff>
    </xdr:from>
    <xdr:to>
      <xdr:col>0</xdr:col>
      <xdr:colOff>871538</xdr:colOff>
      <xdr:row>910</xdr:row>
      <xdr:rowOff>760942</xdr:rowOff>
    </xdr:to>
    <xdr:pic>
      <xdr:nvPicPr>
        <xdr:cNvPr id="2865" name="Obraz 2864">
          <a:extLst>
            <a:ext uri="{FF2B5EF4-FFF2-40B4-BE49-F238E27FC236}">
              <a16:creationId xmlns:a16="http://schemas.microsoft.com/office/drawing/2014/main" id="{7C3419E1-4730-DAB7-CFBF-BB97FF148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29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910</xdr:row>
      <xdr:rowOff>760942</xdr:rowOff>
    </xdr:from>
    <xdr:to>
      <xdr:col>0</xdr:col>
      <xdr:colOff>871538</xdr:colOff>
      <xdr:row>911</xdr:row>
      <xdr:rowOff>760942</xdr:rowOff>
    </xdr:to>
    <xdr:pic>
      <xdr:nvPicPr>
        <xdr:cNvPr id="2867" name="Obraz 2866">
          <a:extLst>
            <a:ext uri="{FF2B5EF4-FFF2-40B4-BE49-F238E27FC236}">
              <a16:creationId xmlns:a16="http://schemas.microsoft.com/office/drawing/2014/main" id="{130369D9-ACF5-A16D-FCBB-4282C135F1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37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911</xdr:row>
      <xdr:rowOff>760942</xdr:rowOff>
    </xdr:from>
    <xdr:to>
      <xdr:col>0</xdr:col>
      <xdr:colOff>871538</xdr:colOff>
      <xdr:row>912</xdr:row>
      <xdr:rowOff>760942</xdr:rowOff>
    </xdr:to>
    <xdr:pic>
      <xdr:nvPicPr>
        <xdr:cNvPr id="2869" name="Obraz 2868">
          <a:extLst>
            <a:ext uri="{FF2B5EF4-FFF2-40B4-BE49-F238E27FC236}">
              <a16:creationId xmlns:a16="http://schemas.microsoft.com/office/drawing/2014/main" id="{44AE3B0A-7167-4B72-CC78-618279602A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44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912</xdr:row>
      <xdr:rowOff>760942</xdr:rowOff>
    </xdr:from>
    <xdr:to>
      <xdr:col>0</xdr:col>
      <xdr:colOff>871538</xdr:colOff>
      <xdr:row>913</xdr:row>
      <xdr:rowOff>760942</xdr:rowOff>
    </xdr:to>
    <xdr:pic>
      <xdr:nvPicPr>
        <xdr:cNvPr id="2871" name="Obraz 2870">
          <a:extLst>
            <a:ext uri="{FF2B5EF4-FFF2-40B4-BE49-F238E27FC236}">
              <a16:creationId xmlns:a16="http://schemas.microsoft.com/office/drawing/2014/main" id="{F921A65E-D1A1-AB45-E945-EB37BF0DE9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52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913</xdr:row>
      <xdr:rowOff>760942</xdr:rowOff>
    </xdr:from>
    <xdr:to>
      <xdr:col>0</xdr:col>
      <xdr:colOff>871538</xdr:colOff>
      <xdr:row>914</xdr:row>
      <xdr:rowOff>760942</xdr:rowOff>
    </xdr:to>
    <xdr:pic>
      <xdr:nvPicPr>
        <xdr:cNvPr id="2873" name="Obraz 2872">
          <a:extLst>
            <a:ext uri="{FF2B5EF4-FFF2-40B4-BE49-F238E27FC236}">
              <a16:creationId xmlns:a16="http://schemas.microsoft.com/office/drawing/2014/main" id="{5BE8A959-789A-520E-AAB6-18CB23B7B5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60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914</xdr:row>
      <xdr:rowOff>760942</xdr:rowOff>
    </xdr:from>
    <xdr:to>
      <xdr:col>0</xdr:col>
      <xdr:colOff>871538</xdr:colOff>
      <xdr:row>915</xdr:row>
      <xdr:rowOff>760942</xdr:rowOff>
    </xdr:to>
    <xdr:pic>
      <xdr:nvPicPr>
        <xdr:cNvPr id="2875" name="Obraz 2874">
          <a:extLst>
            <a:ext uri="{FF2B5EF4-FFF2-40B4-BE49-F238E27FC236}">
              <a16:creationId xmlns:a16="http://schemas.microsoft.com/office/drawing/2014/main" id="{B78F277D-D272-DB4E-8829-6A172F8DB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67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915</xdr:row>
      <xdr:rowOff>760942</xdr:rowOff>
    </xdr:from>
    <xdr:to>
      <xdr:col>0</xdr:col>
      <xdr:colOff>871538</xdr:colOff>
      <xdr:row>916</xdr:row>
      <xdr:rowOff>760942</xdr:rowOff>
    </xdr:to>
    <xdr:pic>
      <xdr:nvPicPr>
        <xdr:cNvPr id="2877" name="Obraz 2876">
          <a:extLst>
            <a:ext uri="{FF2B5EF4-FFF2-40B4-BE49-F238E27FC236}">
              <a16:creationId xmlns:a16="http://schemas.microsoft.com/office/drawing/2014/main" id="{11325FC2-CC5C-27FE-D97A-088E084A47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75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916</xdr:row>
      <xdr:rowOff>760942</xdr:rowOff>
    </xdr:from>
    <xdr:to>
      <xdr:col>0</xdr:col>
      <xdr:colOff>871538</xdr:colOff>
      <xdr:row>917</xdr:row>
      <xdr:rowOff>760942</xdr:rowOff>
    </xdr:to>
    <xdr:pic>
      <xdr:nvPicPr>
        <xdr:cNvPr id="2879" name="Obraz 2878">
          <a:extLst>
            <a:ext uri="{FF2B5EF4-FFF2-40B4-BE49-F238E27FC236}">
              <a16:creationId xmlns:a16="http://schemas.microsoft.com/office/drawing/2014/main" id="{93FE48CF-7FB5-6DA0-5DD1-35F6A15C3A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82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917</xdr:row>
      <xdr:rowOff>760942</xdr:rowOff>
    </xdr:from>
    <xdr:to>
      <xdr:col>0</xdr:col>
      <xdr:colOff>871538</xdr:colOff>
      <xdr:row>918</xdr:row>
      <xdr:rowOff>760942</xdr:rowOff>
    </xdr:to>
    <xdr:pic>
      <xdr:nvPicPr>
        <xdr:cNvPr id="2881" name="Obraz 2880">
          <a:extLst>
            <a:ext uri="{FF2B5EF4-FFF2-40B4-BE49-F238E27FC236}">
              <a16:creationId xmlns:a16="http://schemas.microsoft.com/office/drawing/2014/main" id="{9E0B9427-80CA-1B09-24E0-C17D55588B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90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918</xdr:row>
      <xdr:rowOff>760942</xdr:rowOff>
    </xdr:from>
    <xdr:to>
      <xdr:col>0</xdr:col>
      <xdr:colOff>871538</xdr:colOff>
      <xdr:row>919</xdr:row>
      <xdr:rowOff>760942</xdr:rowOff>
    </xdr:to>
    <xdr:pic>
      <xdr:nvPicPr>
        <xdr:cNvPr id="2883" name="Obraz 2882">
          <a:extLst>
            <a:ext uri="{FF2B5EF4-FFF2-40B4-BE49-F238E27FC236}">
              <a16:creationId xmlns:a16="http://schemas.microsoft.com/office/drawing/2014/main" id="{C840FF04-BFFF-26F4-DDF9-856D78893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6998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919</xdr:row>
      <xdr:rowOff>760942</xdr:rowOff>
    </xdr:from>
    <xdr:to>
      <xdr:col>0</xdr:col>
      <xdr:colOff>871538</xdr:colOff>
      <xdr:row>920</xdr:row>
      <xdr:rowOff>760942</xdr:rowOff>
    </xdr:to>
    <xdr:pic>
      <xdr:nvPicPr>
        <xdr:cNvPr id="2885" name="Obraz 2884">
          <a:extLst>
            <a:ext uri="{FF2B5EF4-FFF2-40B4-BE49-F238E27FC236}">
              <a16:creationId xmlns:a16="http://schemas.microsoft.com/office/drawing/2014/main" id="{9FDC3B94-A42C-46A1-E9B4-A743CA1E3B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05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920</xdr:row>
      <xdr:rowOff>760942</xdr:rowOff>
    </xdr:from>
    <xdr:to>
      <xdr:col>0</xdr:col>
      <xdr:colOff>871538</xdr:colOff>
      <xdr:row>921</xdr:row>
      <xdr:rowOff>760942</xdr:rowOff>
    </xdr:to>
    <xdr:pic>
      <xdr:nvPicPr>
        <xdr:cNvPr id="2887" name="Obraz 2886">
          <a:extLst>
            <a:ext uri="{FF2B5EF4-FFF2-40B4-BE49-F238E27FC236}">
              <a16:creationId xmlns:a16="http://schemas.microsoft.com/office/drawing/2014/main" id="{822DE02E-C336-A6C8-07A2-4AB91DC55A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13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921</xdr:row>
      <xdr:rowOff>760942</xdr:rowOff>
    </xdr:from>
    <xdr:to>
      <xdr:col>0</xdr:col>
      <xdr:colOff>871538</xdr:colOff>
      <xdr:row>922</xdr:row>
      <xdr:rowOff>760942</xdr:rowOff>
    </xdr:to>
    <xdr:pic>
      <xdr:nvPicPr>
        <xdr:cNvPr id="2889" name="Obraz 2888">
          <a:extLst>
            <a:ext uri="{FF2B5EF4-FFF2-40B4-BE49-F238E27FC236}">
              <a16:creationId xmlns:a16="http://schemas.microsoft.com/office/drawing/2014/main" id="{5BC6DFAC-4FD2-8D27-AE28-7EF70F9AD0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20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922</xdr:row>
      <xdr:rowOff>760942</xdr:rowOff>
    </xdr:from>
    <xdr:to>
      <xdr:col>0</xdr:col>
      <xdr:colOff>871538</xdr:colOff>
      <xdr:row>923</xdr:row>
      <xdr:rowOff>760942</xdr:rowOff>
    </xdr:to>
    <xdr:pic>
      <xdr:nvPicPr>
        <xdr:cNvPr id="2891" name="Obraz 2890">
          <a:extLst>
            <a:ext uri="{FF2B5EF4-FFF2-40B4-BE49-F238E27FC236}">
              <a16:creationId xmlns:a16="http://schemas.microsoft.com/office/drawing/2014/main" id="{CE94966F-2367-24D6-C3F4-B81435803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28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923</xdr:row>
      <xdr:rowOff>760942</xdr:rowOff>
    </xdr:from>
    <xdr:to>
      <xdr:col>0</xdr:col>
      <xdr:colOff>871538</xdr:colOff>
      <xdr:row>924</xdr:row>
      <xdr:rowOff>760942</xdr:rowOff>
    </xdr:to>
    <xdr:pic>
      <xdr:nvPicPr>
        <xdr:cNvPr id="2893" name="Obraz 2892">
          <a:extLst>
            <a:ext uri="{FF2B5EF4-FFF2-40B4-BE49-F238E27FC236}">
              <a16:creationId xmlns:a16="http://schemas.microsoft.com/office/drawing/2014/main" id="{3E9E23E4-6858-7DBA-954F-2C0D4FF7BA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36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924</xdr:row>
      <xdr:rowOff>760942</xdr:rowOff>
    </xdr:from>
    <xdr:to>
      <xdr:col>0</xdr:col>
      <xdr:colOff>871538</xdr:colOff>
      <xdr:row>925</xdr:row>
      <xdr:rowOff>760942</xdr:rowOff>
    </xdr:to>
    <xdr:pic>
      <xdr:nvPicPr>
        <xdr:cNvPr id="2895" name="Obraz 2894">
          <a:extLst>
            <a:ext uri="{FF2B5EF4-FFF2-40B4-BE49-F238E27FC236}">
              <a16:creationId xmlns:a16="http://schemas.microsoft.com/office/drawing/2014/main" id="{5BFFFA66-6A91-D673-7D3B-A30209AC0C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43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925</xdr:row>
      <xdr:rowOff>760942</xdr:rowOff>
    </xdr:from>
    <xdr:to>
      <xdr:col>0</xdr:col>
      <xdr:colOff>871538</xdr:colOff>
      <xdr:row>926</xdr:row>
      <xdr:rowOff>760942</xdr:rowOff>
    </xdr:to>
    <xdr:pic>
      <xdr:nvPicPr>
        <xdr:cNvPr id="2897" name="Obraz 2896">
          <a:extLst>
            <a:ext uri="{FF2B5EF4-FFF2-40B4-BE49-F238E27FC236}">
              <a16:creationId xmlns:a16="http://schemas.microsoft.com/office/drawing/2014/main" id="{81819825-4DE7-4F9D-9BFF-8B3D5613EF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51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926</xdr:row>
      <xdr:rowOff>760942</xdr:rowOff>
    </xdr:from>
    <xdr:to>
      <xdr:col>0</xdr:col>
      <xdr:colOff>871538</xdr:colOff>
      <xdr:row>927</xdr:row>
      <xdr:rowOff>760942</xdr:rowOff>
    </xdr:to>
    <xdr:pic>
      <xdr:nvPicPr>
        <xdr:cNvPr id="2899" name="Obraz 2898">
          <a:extLst>
            <a:ext uri="{FF2B5EF4-FFF2-40B4-BE49-F238E27FC236}">
              <a16:creationId xmlns:a16="http://schemas.microsoft.com/office/drawing/2014/main" id="{FA571EC6-5B1B-58F1-6EDA-5D3F80CFC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59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927</xdr:row>
      <xdr:rowOff>760942</xdr:rowOff>
    </xdr:from>
    <xdr:to>
      <xdr:col>0</xdr:col>
      <xdr:colOff>871538</xdr:colOff>
      <xdr:row>928</xdr:row>
      <xdr:rowOff>760942</xdr:rowOff>
    </xdr:to>
    <xdr:pic>
      <xdr:nvPicPr>
        <xdr:cNvPr id="2901" name="Obraz 2900">
          <a:extLst>
            <a:ext uri="{FF2B5EF4-FFF2-40B4-BE49-F238E27FC236}">
              <a16:creationId xmlns:a16="http://schemas.microsoft.com/office/drawing/2014/main" id="{EA83107B-F0F0-C3B0-5B61-CCED217B90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66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928</xdr:row>
      <xdr:rowOff>760942</xdr:rowOff>
    </xdr:from>
    <xdr:to>
      <xdr:col>0</xdr:col>
      <xdr:colOff>871538</xdr:colOff>
      <xdr:row>929</xdr:row>
      <xdr:rowOff>760942</xdr:rowOff>
    </xdr:to>
    <xdr:pic>
      <xdr:nvPicPr>
        <xdr:cNvPr id="2903" name="Obraz 2902">
          <a:extLst>
            <a:ext uri="{FF2B5EF4-FFF2-40B4-BE49-F238E27FC236}">
              <a16:creationId xmlns:a16="http://schemas.microsoft.com/office/drawing/2014/main" id="{95C3B642-02F5-44F5-7FF3-566F01AC09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74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929</xdr:row>
      <xdr:rowOff>760942</xdr:rowOff>
    </xdr:from>
    <xdr:to>
      <xdr:col>0</xdr:col>
      <xdr:colOff>871538</xdr:colOff>
      <xdr:row>930</xdr:row>
      <xdr:rowOff>760942</xdr:rowOff>
    </xdr:to>
    <xdr:pic>
      <xdr:nvPicPr>
        <xdr:cNvPr id="2905" name="Obraz 2904">
          <a:extLst>
            <a:ext uri="{FF2B5EF4-FFF2-40B4-BE49-F238E27FC236}">
              <a16:creationId xmlns:a16="http://schemas.microsoft.com/office/drawing/2014/main" id="{ACD8B629-3E0A-4993-8532-AEA7665D93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81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930</xdr:row>
      <xdr:rowOff>760942</xdr:rowOff>
    </xdr:from>
    <xdr:to>
      <xdr:col>0</xdr:col>
      <xdr:colOff>871538</xdr:colOff>
      <xdr:row>931</xdr:row>
      <xdr:rowOff>760942</xdr:rowOff>
    </xdr:to>
    <xdr:pic>
      <xdr:nvPicPr>
        <xdr:cNvPr id="2907" name="Obraz 2906">
          <a:extLst>
            <a:ext uri="{FF2B5EF4-FFF2-40B4-BE49-F238E27FC236}">
              <a16:creationId xmlns:a16="http://schemas.microsoft.com/office/drawing/2014/main" id="{E1DDA9E6-6F21-76BB-F2F5-7672E1A1BA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89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931</xdr:row>
      <xdr:rowOff>760942</xdr:rowOff>
    </xdr:from>
    <xdr:to>
      <xdr:col>0</xdr:col>
      <xdr:colOff>871538</xdr:colOff>
      <xdr:row>932</xdr:row>
      <xdr:rowOff>760942</xdr:rowOff>
    </xdr:to>
    <xdr:pic>
      <xdr:nvPicPr>
        <xdr:cNvPr id="2909" name="Obraz 2908">
          <a:extLst>
            <a:ext uri="{FF2B5EF4-FFF2-40B4-BE49-F238E27FC236}">
              <a16:creationId xmlns:a16="http://schemas.microsoft.com/office/drawing/2014/main" id="{7004132C-752B-7574-F086-95AD47F7D5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097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932</xdr:row>
      <xdr:rowOff>760942</xdr:rowOff>
    </xdr:from>
    <xdr:to>
      <xdr:col>0</xdr:col>
      <xdr:colOff>871538</xdr:colOff>
      <xdr:row>933</xdr:row>
      <xdr:rowOff>760942</xdr:rowOff>
    </xdr:to>
    <xdr:pic>
      <xdr:nvPicPr>
        <xdr:cNvPr id="2911" name="Obraz 2910">
          <a:extLst>
            <a:ext uri="{FF2B5EF4-FFF2-40B4-BE49-F238E27FC236}">
              <a16:creationId xmlns:a16="http://schemas.microsoft.com/office/drawing/2014/main" id="{165B91B6-34D6-347C-F12B-02550F15F5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04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933</xdr:row>
      <xdr:rowOff>760942</xdr:rowOff>
    </xdr:from>
    <xdr:to>
      <xdr:col>0</xdr:col>
      <xdr:colOff>871538</xdr:colOff>
      <xdr:row>934</xdr:row>
      <xdr:rowOff>760942</xdr:rowOff>
    </xdr:to>
    <xdr:pic>
      <xdr:nvPicPr>
        <xdr:cNvPr id="2913" name="Obraz 2912">
          <a:extLst>
            <a:ext uri="{FF2B5EF4-FFF2-40B4-BE49-F238E27FC236}">
              <a16:creationId xmlns:a16="http://schemas.microsoft.com/office/drawing/2014/main" id="{BD51312E-700E-20D2-DC6B-C86C6B1B57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12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934</xdr:row>
      <xdr:rowOff>760942</xdr:rowOff>
    </xdr:from>
    <xdr:to>
      <xdr:col>0</xdr:col>
      <xdr:colOff>871538</xdr:colOff>
      <xdr:row>935</xdr:row>
      <xdr:rowOff>760942</xdr:rowOff>
    </xdr:to>
    <xdr:pic>
      <xdr:nvPicPr>
        <xdr:cNvPr id="2915" name="Obraz 2914">
          <a:extLst>
            <a:ext uri="{FF2B5EF4-FFF2-40B4-BE49-F238E27FC236}">
              <a16:creationId xmlns:a16="http://schemas.microsoft.com/office/drawing/2014/main" id="{1384C261-F5CB-E1FE-2F18-CE1EEE2AF5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20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935</xdr:row>
      <xdr:rowOff>760942</xdr:rowOff>
    </xdr:from>
    <xdr:to>
      <xdr:col>0</xdr:col>
      <xdr:colOff>871538</xdr:colOff>
      <xdr:row>936</xdr:row>
      <xdr:rowOff>760942</xdr:rowOff>
    </xdr:to>
    <xdr:pic>
      <xdr:nvPicPr>
        <xdr:cNvPr id="2917" name="Obraz 2916">
          <a:extLst>
            <a:ext uri="{FF2B5EF4-FFF2-40B4-BE49-F238E27FC236}">
              <a16:creationId xmlns:a16="http://schemas.microsoft.com/office/drawing/2014/main" id="{27B4F442-48CE-BA15-1ED8-F1AA5F2BA6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27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936</xdr:row>
      <xdr:rowOff>760942</xdr:rowOff>
    </xdr:from>
    <xdr:to>
      <xdr:col>0</xdr:col>
      <xdr:colOff>871538</xdr:colOff>
      <xdr:row>937</xdr:row>
      <xdr:rowOff>760942</xdr:rowOff>
    </xdr:to>
    <xdr:pic>
      <xdr:nvPicPr>
        <xdr:cNvPr id="2919" name="Obraz 2918">
          <a:extLst>
            <a:ext uri="{FF2B5EF4-FFF2-40B4-BE49-F238E27FC236}">
              <a16:creationId xmlns:a16="http://schemas.microsoft.com/office/drawing/2014/main" id="{39643AC5-40A2-654E-6EDF-DE7D7D65A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35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937</xdr:row>
      <xdr:rowOff>760942</xdr:rowOff>
    </xdr:from>
    <xdr:to>
      <xdr:col>0</xdr:col>
      <xdr:colOff>871538</xdr:colOff>
      <xdr:row>938</xdr:row>
      <xdr:rowOff>760942</xdr:rowOff>
    </xdr:to>
    <xdr:pic>
      <xdr:nvPicPr>
        <xdr:cNvPr id="2921" name="Obraz 2920">
          <a:extLst>
            <a:ext uri="{FF2B5EF4-FFF2-40B4-BE49-F238E27FC236}">
              <a16:creationId xmlns:a16="http://schemas.microsoft.com/office/drawing/2014/main" id="{6581E65F-8821-D2C0-CDDF-FF09154BA4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42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938</xdr:row>
      <xdr:rowOff>760942</xdr:rowOff>
    </xdr:from>
    <xdr:to>
      <xdr:col>0</xdr:col>
      <xdr:colOff>871538</xdr:colOff>
      <xdr:row>939</xdr:row>
      <xdr:rowOff>760942</xdr:rowOff>
    </xdr:to>
    <xdr:pic>
      <xdr:nvPicPr>
        <xdr:cNvPr id="2923" name="Obraz 2922">
          <a:extLst>
            <a:ext uri="{FF2B5EF4-FFF2-40B4-BE49-F238E27FC236}">
              <a16:creationId xmlns:a16="http://schemas.microsoft.com/office/drawing/2014/main" id="{7C645E3D-12E5-2625-5501-F5203F311D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50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939</xdr:row>
      <xdr:rowOff>760942</xdr:rowOff>
    </xdr:from>
    <xdr:to>
      <xdr:col>0</xdr:col>
      <xdr:colOff>871538</xdr:colOff>
      <xdr:row>940</xdr:row>
      <xdr:rowOff>760942</xdr:rowOff>
    </xdr:to>
    <xdr:pic>
      <xdr:nvPicPr>
        <xdr:cNvPr id="2925" name="Obraz 2924">
          <a:extLst>
            <a:ext uri="{FF2B5EF4-FFF2-40B4-BE49-F238E27FC236}">
              <a16:creationId xmlns:a16="http://schemas.microsoft.com/office/drawing/2014/main" id="{448510C4-D557-FE67-E670-09435C8D4C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58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940</xdr:row>
      <xdr:rowOff>760942</xdr:rowOff>
    </xdr:from>
    <xdr:to>
      <xdr:col>0</xdr:col>
      <xdr:colOff>871538</xdr:colOff>
      <xdr:row>941</xdr:row>
      <xdr:rowOff>760942</xdr:rowOff>
    </xdr:to>
    <xdr:pic>
      <xdr:nvPicPr>
        <xdr:cNvPr id="2927" name="Obraz 2926">
          <a:extLst>
            <a:ext uri="{FF2B5EF4-FFF2-40B4-BE49-F238E27FC236}">
              <a16:creationId xmlns:a16="http://schemas.microsoft.com/office/drawing/2014/main" id="{A608C8A5-4893-D932-6736-0ACDE96548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65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941</xdr:row>
      <xdr:rowOff>760942</xdr:rowOff>
    </xdr:from>
    <xdr:to>
      <xdr:col>0</xdr:col>
      <xdr:colOff>871538</xdr:colOff>
      <xdr:row>942</xdr:row>
      <xdr:rowOff>760942</xdr:rowOff>
    </xdr:to>
    <xdr:pic>
      <xdr:nvPicPr>
        <xdr:cNvPr id="2929" name="Obraz 2928">
          <a:extLst>
            <a:ext uri="{FF2B5EF4-FFF2-40B4-BE49-F238E27FC236}">
              <a16:creationId xmlns:a16="http://schemas.microsoft.com/office/drawing/2014/main" id="{22E5E5C5-62B3-956F-6D2C-E3A17EBC02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73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942</xdr:row>
      <xdr:rowOff>760942</xdr:rowOff>
    </xdr:from>
    <xdr:to>
      <xdr:col>0</xdr:col>
      <xdr:colOff>871538</xdr:colOff>
      <xdr:row>943</xdr:row>
      <xdr:rowOff>760942</xdr:rowOff>
    </xdr:to>
    <xdr:pic>
      <xdr:nvPicPr>
        <xdr:cNvPr id="2931" name="Obraz 2930">
          <a:extLst>
            <a:ext uri="{FF2B5EF4-FFF2-40B4-BE49-F238E27FC236}">
              <a16:creationId xmlns:a16="http://schemas.microsoft.com/office/drawing/2014/main" id="{36E82F9E-56F9-2A59-2A84-F857CADCBE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80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943</xdr:row>
      <xdr:rowOff>760942</xdr:rowOff>
    </xdr:from>
    <xdr:to>
      <xdr:col>0</xdr:col>
      <xdr:colOff>871538</xdr:colOff>
      <xdr:row>944</xdr:row>
      <xdr:rowOff>760942</xdr:rowOff>
    </xdr:to>
    <xdr:pic>
      <xdr:nvPicPr>
        <xdr:cNvPr id="2933" name="Obraz 2932">
          <a:extLst>
            <a:ext uri="{FF2B5EF4-FFF2-40B4-BE49-F238E27FC236}">
              <a16:creationId xmlns:a16="http://schemas.microsoft.com/office/drawing/2014/main" id="{C982342E-FFE9-2D76-0845-C1BBC76D6B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88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944</xdr:row>
      <xdr:rowOff>760942</xdr:rowOff>
    </xdr:from>
    <xdr:to>
      <xdr:col>0</xdr:col>
      <xdr:colOff>871538</xdr:colOff>
      <xdr:row>945</xdr:row>
      <xdr:rowOff>760942</xdr:rowOff>
    </xdr:to>
    <xdr:pic>
      <xdr:nvPicPr>
        <xdr:cNvPr id="2935" name="Obraz 2934">
          <a:extLst>
            <a:ext uri="{FF2B5EF4-FFF2-40B4-BE49-F238E27FC236}">
              <a16:creationId xmlns:a16="http://schemas.microsoft.com/office/drawing/2014/main" id="{197B1A86-AF3C-AE08-DFFE-5B3D85775E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196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945</xdr:row>
      <xdr:rowOff>760942</xdr:rowOff>
    </xdr:from>
    <xdr:to>
      <xdr:col>0</xdr:col>
      <xdr:colOff>871538</xdr:colOff>
      <xdr:row>946</xdr:row>
      <xdr:rowOff>760942</xdr:rowOff>
    </xdr:to>
    <xdr:pic>
      <xdr:nvPicPr>
        <xdr:cNvPr id="2937" name="Obraz 2936">
          <a:extLst>
            <a:ext uri="{FF2B5EF4-FFF2-40B4-BE49-F238E27FC236}">
              <a16:creationId xmlns:a16="http://schemas.microsoft.com/office/drawing/2014/main" id="{6EB2C9AD-5852-3276-78FA-E35658B674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03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946</xdr:row>
      <xdr:rowOff>760942</xdr:rowOff>
    </xdr:from>
    <xdr:to>
      <xdr:col>0</xdr:col>
      <xdr:colOff>871538</xdr:colOff>
      <xdr:row>947</xdr:row>
      <xdr:rowOff>760942</xdr:rowOff>
    </xdr:to>
    <xdr:pic>
      <xdr:nvPicPr>
        <xdr:cNvPr id="2939" name="Obraz 2938">
          <a:extLst>
            <a:ext uri="{FF2B5EF4-FFF2-40B4-BE49-F238E27FC236}">
              <a16:creationId xmlns:a16="http://schemas.microsoft.com/office/drawing/2014/main" id="{46014687-BE55-F6D5-AFE7-A62E82C257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11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947</xdr:row>
      <xdr:rowOff>760942</xdr:rowOff>
    </xdr:from>
    <xdr:to>
      <xdr:col>0</xdr:col>
      <xdr:colOff>871538</xdr:colOff>
      <xdr:row>948</xdr:row>
      <xdr:rowOff>760942</xdr:rowOff>
    </xdr:to>
    <xdr:pic>
      <xdr:nvPicPr>
        <xdr:cNvPr id="2941" name="Obraz 2940">
          <a:extLst>
            <a:ext uri="{FF2B5EF4-FFF2-40B4-BE49-F238E27FC236}">
              <a16:creationId xmlns:a16="http://schemas.microsoft.com/office/drawing/2014/main" id="{A14FB0CD-D5FA-E41D-C1B0-CF630B0047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19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948</xdr:row>
      <xdr:rowOff>760942</xdr:rowOff>
    </xdr:from>
    <xdr:to>
      <xdr:col>0</xdr:col>
      <xdr:colOff>871538</xdr:colOff>
      <xdr:row>949</xdr:row>
      <xdr:rowOff>760942</xdr:rowOff>
    </xdr:to>
    <xdr:pic>
      <xdr:nvPicPr>
        <xdr:cNvPr id="2943" name="Obraz 2942">
          <a:extLst>
            <a:ext uri="{FF2B5EF4-FFF2-40B4-BE49-F238E27FC236}">
              <a16:creationId xmlns:a16="http://schemas.microsoft.com/office/drawing/2014/main" id="{ADE44EBB-A031-54C9-F4D8-F613F5C66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26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949</xdr:row>
      <xdr:rowOff>760942</xdr:rowOff>
    </xdr:from>
    <xdr:to>
      <xdr:col>0</xdr:col>
      <xdr:colOff>871538</xdr:colOff>
      <xdr:row>950</xdr:row>
      <xdr:rowOff>760942</xdr:rowOff>
    </xdr:to>
    <xdr:pic>
      <xdr:nvPicPr>
        <xdr:cNvPr id="2945" name="Obraz 2944">
          <a:extLst>
            <a:ext uri="{FF2B5EF4-FFF2-40B4-BE49-F238E27FC236}">
              <a16:creationId xmlns:a16="http://schemas.microsoft.com/office/drawing/2014/main" id="{25AF1007-2A57-DA3E-7793-EFE1858D9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34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950</xdr:row>
      <xdr:rowOff>760942</xdr:rowOff>
    </xdr:from>
    <xdr:to>
      <xdr:col>0</xdr:col>
      <xdr:colOff>871538</xdr:colOff>
      <xdr:row>951</xdr:row>
      <xdr:rowOff>760942</xdr:rowOff>
    </xdr:to>
    <xdr:pic>
      <xdr:nvPicPr>
        <xdr:cNvPr id="2947" name="Obraz 2946">
          <a:extLst>
            <a:ext uri="{FF2B5EF4-FFF2-40B4-BE49-F238E27FC236}">
              <a16:creationId xmlns:a16="http://schemas.microsoft.com/office/drawing/2014/main" id="{6AC89544-9658-2440-D350-A26DCFAB42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41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951</xdr:row>
      <xdr:rowOff>760942</xdr:rowOff>
    </xdr:from>
    <xdr:to>
      <xdr:col>0</xdr:col>
      <xdr:colOff>871538</xdr:colOff>
      <xdr:row>952</xdr:row>
      <xdr:rowOff>760942</xdr:rowOff>
    </xdr:to>
    <xdr:pic>
      <xdr:nvPicPr>
        <xdr:cNvPr id="2949" name="Obraz 2948">
          <a:extLst>
            <a:ext uri="{FF2B5EF4-FFF2-40B4-BE49-F238E27FC236}">
              <a16:creationId xmlns:a16="http://schemas.microsoft.com/office/drawing/2014/main" id="{FE06B3F0-C683-2F85-95D3-F17F558685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49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952</xdr:row>
      <xdr:rowOff>760942</xdr:rowOff>
    </xdr:from>
    <xdr:to>
      <xdr:col>0</xdr:col>
      <xdr:colOff>871538</xdr:colOff>
      <xdr:row>953</xdr:row>
      <xdr:rowOff>760942</xdr:rowOff>
    </xdr:to>
    <xdr:pic>
      <xdr:nvPicPr>
        <xdr:cNvPr id="2951" name="Obraz 2950">
          <a:extLst>
            <a:ext uri="{FF2B5EF4-FFF2-40B4-BE49-F238E27FC236}">
              <a16:creationId xmlns:a16="http://schemas.microsoft.com/office/drawing/2014/main" id="{079577EE-1618-7CF8-3AA5-A25B71D58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57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953</xdr:row>
      <xdr:rowOff>760942</xdr:rowOff>
    </xdr:from>
    <xdr:to>
      <xdr:col>0</xdr:col>
      <xdr:colOff>871538</xdr:colOff>
      <xdr:row>954</xdr:row>
      <xdr:rowOff>760942</xdr:rowOff>
    </xdr:to>
    <xdr:pic>
      <xdr:nvPicPr>
        <xdr:cNvPr id="2953" name="Obraz 2952">
          <a:extLst>
            <a:ext uri="{FF2B5EF4-FFF2-40B4-BE49-F238E27FC236}">
              <a16:creationId xmlns:a16="http://schemas.microsoft.com/office/drawing/2014/main" id="{0F509F53-E868-7487-1649-0DAAF2D73B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64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954</xdr:row>
      <xdr:rowOff>760942</xdr:rowOff>
    </xdr:from>
    <xdr:to>
      <xdr:col>0</xdr:col>
      <xdr:colOff>871538</xdr:colOff>
      <xdr:row>955</xdr:row>
      <xdr:rowOff>760942</xdr:rowOff>
    </xdr:to>
    <xdr:pic>
      <xdr:nvPicPr>
        <xdr:cNvPr id="2955" name="Obraz 2954">
          <a:extLst>
            <a:ext uri="{FF2B5EF4-FFF2-40B4-BE49-F238E27FC236}">
              <a16:creationId xmlns:a16="http://schemas.microsoft.com/office/drawing/2014/main" id="{27F281C8-E734-4207-65E5-FFD7BD40E3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72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955</xdr:row>
      <xdr:rowOff>760942</xdr:rowOff>
    </xdr:from>
    <xdr:to>
      <xdr:col>0</xdr:col>
      <xdr:colOff>871538</xdr:colOff>
      <xdr:row>956</xdr:row>
      <xdr:rowOff>760942</xdr:rowOff>
    </xdr:to>
    <xdr:pic>
      <xdr:nvPicPr>
        <xdr:cNvPr id="2957" name="Obraz 2956">
          <a:extLst>
            <a:ext uri="{FF2B5EF4-FFF2-40B4-BE49-F238E27FC236}">
              <a16:creationId xmlns:a16="http://schemas.microsoft.com/office/drawing/2014/main" id="{AAD565A6-044E-02E4-4BFD-B2CAE8C74D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80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956</xdr:row>
      <xdr:rowOff>760942</xdr:rowOff>
    </xdr:from>
    <xdr:to>
      <xdr:col>0</xdr:col>
      <xdr:colOff>871538</xdr:colOff>
      <xdr:row>957</xdr:row>
      <xdr:rowOff>760942</xdr:rowOff>
    </xdr:to>
    <xdr:pic>
      <xdr:nvPicPr>
        <xdr:cNvPr id="2959" name="Obraz 2958">
          <a:extLst>
            <a:ext uri="{FF2B5EF4-FFF2-40B4-BE49-F238E27FC236}">
              <a16:creationId xmlns:a16="http://schemas.microsoft.com/office/drawing/2014/main" id="{FBC9F514-90ED-0C51-A119-5B1EFFC9D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87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957</xdr:row>
      <xdr:rowOff>760942</xdr:rowOff>
    </xdr:from>
    <xdr:to>
      <xdr:col>0</xdr:col>
      <xdr:colOff>871538</xdr:colOff>
      <xdr:row>958</xdr:row>
      <xdr:rowOff>760942</xdr:rowOff>
    </xdr:to>
    <xdr:pic>
      <xdr:nvPicPr>
        <xdr:cNvPr id="2961" name="Obraz 2960">
          <a:extLst>
            <a:ext uri="{FF2B5EF4-FFF2-40B4-BE49-F238E27FC236}">
              <a16:creationId xmlns:a16="http://schemas.microsoft.com/office/drawing/2014/main" id="{BD7E43E2-4CCA-097E-DDE4-E4429B7703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295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958</xdr:row>
      <xdr:rowOff>760942</xdr:rowOff>
    </xdr:from>
    <xdr:to>
      <xdr:col>0</xdr:col>
      <xdr:colOff>871538</xdr:colOff>
      <xdr:row>959</xdr:row>
      <xdr:rowOff>760942</xdr:rowOff>
    </xdr:to>
    <xdr:pic>
      <xdr:nvPicPr>
        <xdr:cNvPr id="2963" name="Obraz 2962">
          <a:extLst>
            <a:ext uri="{FF2B5EF4-FFF2-40B4-BE49-F238E27FC236}">
              <a16:creationId xmlns:a16="http://schemas.microsoft.com/office/drawing/2014/main" id="{23FB5F42-C7BF-1D6A-406D-DD55D48427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02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959</xdr:row>
      <xdr:rowOff>760942</xdr:rowOff>
    </xdr:from>
    <xdr:to>
      <xdr:col>0</xdr:col>
      <xdr:colOff>871538</xdr:colOff>
      <xdr:row>960</xdr:row>
      <xdr:rowOff>760942</xdr:rowOff>
    </xdr:to>
    <xdr:pic>
      <xdr:nvPicPr>
        <xdr:cNvPr id="2965" name="Obraz 2964">
          <a:extLst>
            <a:ext uri="{FF2B5EF4-FFF2-40B4-BE49-F238E27FC236}">
              <a16:creationId xmlns:a16="http://schemas.microsoft.com/office/drawing/2014/main" id="{297474C1-DF77-04E3-660F-8339637E50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10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960</xdr:row>
      <xdr:rowOff>760942</xdr:rowOff>
    </xdr:from>
    <xdr:to>
      <xdr:col>0</xdr:col>
      <xdr:colOff>871538</xdr:colOff>
      <xdr:row>961</xdr:row>
      <xdr:rowOff>760942</xdr:rowOff>
    </xdr:to>
    <xdr:pic>
      <xdr:nvPicPr>
        <xdr:cNvPr id="2967" name="Obraz 2966">
          <a:extLst>
            <a:ext uri="{FF2B5EF4-FFF2-40B4-BE49-F238E27FC236}">
              <a16:creationId xmlns:a16="http://schemas.microsoft.com/office/drawing/2014/main" id="{7AF3626B-082B-1F0A-6BAE-41899F1DA3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18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961</xdr:row>
      <xdr:rowOff>760942</xdr:rowOff>
    </xdr:from>
    <xdr:to>
      <xdr:col>0</xdr:col>
      <xdr:colOff>871538</xdr:colOff>
      <xdr:row>962</xdr:row>
      <xdr:rowOff>760942</xdr:rowOff>
    </xdr:to>
    <xdr:pic>
      <xdr:nvPicPr>
        <xdr:cNvPr id="2969" name="Obraz 2968">
          <a:extLst>
            <a:ext uri="{FF2B5EF4-FFF2-40B4-BE49-F238E27FC236}">
              <a16:creationId xmlns:a16="http://schemas.microsoft.com/office/drawing/2014/main" id="{A0F6B899-E328-D796-7285-6A2EC035A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25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962</xdr:row>
      <xdr:rowOff>760942</xdr:rowOff>
    </xdr:from>
    <xdr:to>
      <xdr:col>0</xdr:col>
      <xdr:colOff>871538</xdr:colOff>
      <xdr:row>963</xdr:row>
      <xdr:rowOff>760942</xdr:rowOff>
    </xdr:to>
    <xdr:pic>
      <xdr:nvPicPr>
        <xdr:cNvPr id="2971" name="Obraz 2970">
          <a:extLst>
            <a:ext uri="{FF2B5EF4-FFF2-40B4-BE49-F238E27FC236}">
              <a16:creationId xmlns:a16="http://schemas.microsoft.com/office/drawing/2014/main" id="{66621B01-5544-4B67-08E5-B499AB5AC4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33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963</xdr:row>
      <xdr:rowOff>760942</xdr:rowOff>
    </xdr:from>
    <xdr:to>
      <xdr:col>0</xdr:col>
      <xdr:colOff>871538</xdr:colOff>
      <xdr:row>964</xdr:row>
      <xdr:rowOff>760942</xdr:rowOff>
    </xdr:to>
    <xdr:pic>
      <xdr:nvPicPr>
        <xdr:cNvPr id="2973" name="Obraz 2972">
          <a:extLst>
            <a:ext uri="{FF2B5EF4-FFF2-40B4-BE49-F238E27FC236}">
              <a16:creationId xmlns:a16="http://schemas.microsoft.com/office/drawing/2014/main" id="{90FAEC09-5272-6CD7-F47F-2D7F93C2F5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41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964</xdr:row>
      <xdr:rowOff>760942</xdr:rowOff>
    </xdr:from>
    <xdr:to>
      <xdr:col>0</xdr:col>
      <xdr:colOff>871538</xdr:colOff>
      <xdr:row>965</xdr:row>
      <xdr:rowOff>760942</xdr:rowOff>
    </xdr:to>
    <xdr:pic>
      <xdr:nvPicPr>
        <xdr:cNvPr id="2975" name="Obraz 2974">
          <a:extLst>
            <a:ext uri="{FF2B5EF4-FFF2-40B4-BE49-F238E27FC236}">
              <a16:creationId xmlns:a16="http://schemas.microsoft.com/office/drawing/2014/main" id="{079B4BC7-67AE-E015-67FD-47F133AC50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48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965</xdr:row>
      <xdr:rowOff>760942</xdr:rowOff>
    </xdr:from>
    <xdr:to>
      <xdr:col>0</xdr:col>
      <xdr:colOff>871538</xdr:colOff>
      <xdr:row>966</xdr:row>
      <xdr:rowOff>760942</xdr:rowOff>
    </xdr:to>
    <xdr:pic>
      <xdr:nvPicPr>
        <xdr:cNvPr id="2977" name="Obraz 2976">
          <a:extLst>
            <a:ext uri="{FF2B5EF4-FFF2-40B4-BE49-F238E27FC236}">
              <a16:creationId xmlns:a16="http://schemas.microsoft.com/office/drawing/2014/main" id="{F6FEC3FE-E7D5-C9C4-6C68-C402D381A7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56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966</xdr:row>
      <xdr:rowOff>760942</xdr:rowOff>
    </xdr:from>
    <xdr:to>
      <xdr:col>0</xdr:col>
      <xdr:colOff>871538</xdr:colOff>
      <xdr:row>967</xdr:row>
      <xdr:rowOff>760942</xdr:rowOff>
    </xdr:to>
    <xdr:pic>
      <xdr:nvPicPr>
        <xdr:cNvPr id="2979" name="Obraz 2978">
          <a:extLst>
            <a:ext uri="{FF2B5EF4-FFF2-40B4-BE49-F238E27FC236}">
              <a16:creationId xmlns:a16="http://schemas.microsoft.com/office/drawing/2014/main" id="{2A3B9510-1E1E-156A-8F85-CB9B8B5E18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63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967</xdr:row>
      <xdr:rowOff>760942</xdr:rowOff>
    </xdr:from>
    <xdr:to>
      <xdr:col>0</xdr:col>
      <xdr:colOff>871538</xdr:colOff>
      <xdr:row>968</xdr:row>
      <xdr:rowOff>760942</xdr:rowOff>
    </xdr:to>
    <xdr:pic>
      <xdr:nvPicPr>
        <xdr:cNvPr id="2981" name="Obraz 2980">
          <a:extLst>
            <a:ext uri="{FF2B5EF4-FFF2-40B4-BE49-F238E27FC236}">
              <a16:creationId xmlns:a16="http://schemas.microsoft.com/office/drawing/2014/main" id="{AFC00208-0E26-7897-4EE5-FCD1488D0E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71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968</xdr:row>
      <xdr:rowOff>760942</xdr:rowOff>
    </xdr:from>
    <xdr:to>
      <xdr:col>0</xdr:col>
      <xdr:colOff>871538</xdr:colOff>
      <xdr:row>969</xdr:row>
      <xdr:rowOff>760942</xdr:rowOff>
    </xdr:to>
    <xdr:pic>
      <xdr:nvPicPr>
        <xdr:cNvPr id="2983" name="Obraz 2982">
          <a:extLst>
            <a:ext uri="{FF2B5EF4-FFF2-40B4-BE49-F238E27FC236}">
              <a16:creationId xmlns:a16="http://schemas.microsoft.com/office/drawing/2014/main" id="{5228E7B7-4621-D6A6-7E71-B8267ECD98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79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969</xdr:row>
      <xdr:rowOff>760942</xdr:rowOff>
    </xdr:from>
    <xdr:to>
      <xdr:col>0</xdr:col>
      <xdr:colOff>871538</xdr:colOff>
      <xdr:row>970</xdr:row>
      <xdr:rowOff>760942</xdr:rowOff>
    </xdr:to>
    <xdr:pic>
      <xdr:nvPicPr>
        <xdr:cNvPr id="2985" name="Obraz 2984">
          <a:extLst>
            <a:ext uri="{FF2B5EF4-FFF2-40B4-BE49-F238E27FC236}">
              <a16:creationId xmlns:a16="http://schemas.microsoft.com/office/drawing/2014/main" id="{0A8DC187-F3AF-FAE7-54C2-BCAE6B64C4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86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970</xdr:row>
      <xdr:rowOff>760942</xdr:rowOff>
    </xdr:from>
    <xdr:to>
      <xdr:col>0</xdr:col>
      <xdr:colOff>871538</xdr:colOff>
      <xdr:row>971</xdr:row>
      <xdr:rowOff>760942</xdr:rowOff>
    </xdr:to>
    <xdr:pic>
      <xdr:nvPicPr>
        <xdr:cNvPr id="2987" name="Obraz 2986">
          <a:extLst>
            <a:ext uri="{FF2B5EF4-FFF2-40B4-BE49-F238E27FC236}">
              <a16:creationId xmlns:a16="http://schemas.microsoft.com/office/drawing/2014/main" id="{DF826DA3-A528-0020-9B96-D33EA7681B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394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971</xdr:row>
      <xdr:rowOff>760942</xdr:rowOff>
    </xdr:from>
    <xdr:to>
      <xdr:col>0</xdr:col>
      <xdr:colOff>871538</xdr:colOff>
      <xdr:row>972</xdr:row>
      <xdr:rowOff>760942</xdr:rowOff>
    </xdr:to>
    <xdr:pic>
      <xdr:nvPicPr>
        <xdr:cNvPr id="2989" name="Obraz 2988">
          <a:extLst>
            <a:ext uri="{FF2B5EF4-FFF2-40B4-BE49-F238E27FC236}">
              <a16:creationId xmlns:a16="http://schemas.microsoft.com/office/drawing/2014/main" id="{2BDF0881-8C1F-ABB5-8345-A89354769B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01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973</xdr:row>
      <xdr:rowOff>760942</xdr:rowOff>
    </xdr:from>
    <xdr:to>
      <xdr:col>0</xdr:col>
      <xdr:colOff>871538</xdr:colOff>
      <xdr:row>974</xdr:row>
      <xdr:rowOff>760942</xdr:rowOff>
    </xdr:to>
    <xdr:pic>
      <xdr:nvPicPr>
        <xdr:cNvPr id="2991" name="Obraz 2990">
          <a:extLst>
            <a:ext uri="{FF2B5EF4-FFF2-40B4-BE49-F238E27FC236}">
              <a16:creationId xmlns:a16="http://schemas.microsoft.com/office/drawing/2014/main" id="{F818B697-CAA3-DD00-B08C-59295583A5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17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974</xdr:row>
      <xdr:rowOff>760942</xdr:rowOff>
    </xdr:from>
    <xdr:to>
      <xdr:col>0</xdr:col>
      <xdr:colOff>871538</xdr:colOff>
      <xdr:row>975</xdr:row>
      <xdr:rowOff>760942</xdr:rowOff>
    </xdr:to>
    <xdr:pic>
      <xdr:nvPicPr>
        <xdr:cNvPr id="2993" name="Obraz 2992">
          <a:extLst>
            <a:ext uri="{FF2B5EF4-FFF2-40B4-BE49-F238E27FC236}">
              <a16:creationId xmlns:a16="http://schemas.microsoft.com/office/drawing/2014/main" id="{AD2485A0-450A-962B-1259-500FAD094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24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975</xdr:row>
      <xdr:rowOff>760942</xdr:rowOff>
    </xdr:from>
    <xdr:to>
      <xdr:col>0</xdr:col>
      <xdr:colOff>871538</xdr:colOff>
      <xdr:row>976</xdr:row>
      <xdr:rowOff>760942</xdr:rowOff>
    </xdr:to>
    <xdr:pic>
      <xdr:nvPicPr>
        <xdr:cNvPr id="2995" name="Obraz 2994">
          <a:extLst>
            <a:ext uri="{FF2B5EF4-FFF2-40B4-BE49-F238E27FC236}">
              <a16:creationId xmlns:a16="http://schemas.microsoft.com/office/drawing/2014/main" id="{D2CE1073-A01C-5A5D-235F-4FAE22139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32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976</xdr:row>
      <xdr:rowOff>760942</xdr:rowOff>
    </xdr:from>
    <xdr:to>
      <xdr:col>0</xdr:col>
      <xdr:colOff>871538</xdr:colOff>
      <xdr:row>977</xdr:row>
      <xdr:rowOff>760942</xdr:rowOff>
    </xdr:to>
    <xdr:pic>
      <xdr:nvPicPr>
        <xdr:cNvPr id="2997" name="Obraz 2996">
          <a:extLst>
            <a:ext uri="{FF2B5EF4-FFF2-40B4-BE49-F238E27FC236}">
              <a16:creationId xmlns:a16="http://schemas.microsoft.com/office/drawing/2014/main" id="{B97CE7CF-919C-F18A-BAF6-1E92CF2752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40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977</xdr:row>
      <xdr:rowOff>760942</xdr:rowOff>
    </xdr:from>
    <xdr:to>
      <xdr:col>0</xdr:col>
      <xdr:colOff>871538</xdr:colOff>
      <xdr:row>978</xdr:row>
      <xdr:rowOff>760942</xdr:rowOff>
    </xdr:to>
    <xdr:pic>
      <xdr:nvPicPr>
        <xdr:cNvPr id="2999" name="Obraz 2998">
          <a:extLst>
            <a:ext uri="{FF2B5EF4-FFF2-40B4-BE49-F238E27FC236}">
              <a16:creationId xmlns:a16="http://schemas.microsoft.com/office/drawing/2014/main" id="{40E22CC6-46FA-2096-0A6F-1B3A3FCA16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47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978</xdr:row>
      <xdr:rowOff>760942</xdr:rowOff>
    </xdr:from>
    <xdr:to>
      <xdr:col>0</xdr:col>
      <xdr:colOff>871538</xdr:colOff>
      <xdr:row>979</xdr:row>
      <xdr:rowOff>760942</xdr:rowOff>
    </xdr:to>
    <xdr:pic>
      <xdr:nvPicPr>
        <xdr:cNvPr id="3001" name="Obraz 3000">
          <a:extLst>
            <a:ext uri="{FF2B5EF4-FFF2-40B4-BE49-F238E27FC236}">
              <a16:creationId xmlns:a16="http://schemas.microsoft.com/office/drawing/2014/main" id="{D8CCFF2C-FBE1-0FD9-DF1D-FB056AC9C3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55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979</xdr:row>
      <xdr:rowOff>760942</xdr:rowOff>
    </xdr:from>
    <xdr:to>
      <xdr:col>0</xdr:col>
      <xdr:colOff>871538</xdr:colOff>
      <xdr:row>980</xdr:row>
      <xdr:rowOff>760942</xdr:rowOff>
    </xdr:to>
    <xdr:pic>
      <xdr:nvPicPr>
        <xdr:cNvPr id="3003" name="Obraz 3002">
          <a:extLst>
            <a:ext uri="{FF2B5EF4-FFF2-40B4-BE49-F238E27FC236}">
              <a16:creationId xmlns:a16="http://schemas.microsoft.com/office/drawing/2014/main" id="{74C2423A-BC63-CA91-6930-B3DCFB9D00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62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980</xdr:row>
      <xdr:rowOff>760942</xdr:rowOff>
    </xdr:from>
    <xdr:to>
      <xdr:col>0</xdr:col>
      <xdr:colOff>871538</xdr:colOff>
      <xdr:row>981</xdr:row>
      <xdr:rowOff>760942</xdr:rowOff>
    </xdr:to>
    <xdr:pic>
      <xdr:nvPicPr>
        <xdr:cNvPr id="3005" name="Obraz 3004">
          <a:extLst>
            <a:ext uri="{FF2B5EF4-FFF2-40B4-BE49-F238E27FC236}">
              <a16:creationId xmlns:a16="http://schemas.microsoft.com/office/drawing/2014/main" id="{F658D124-5F9F-D554-5134-87EBEE5474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70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981</xdr:row>
      <xdr:rowOff>760942</xdr:rowOff>
    </xdr:from>
    <xdr:to>
      <xdr:col>0</xdr:col>
      <xdr:colOff>871538</xdr:colOff>
      <xdr:row>982</xdr:row>
      <xdr:rowOff>760942</xdr:rowOff>
    </xdr:to>
    <xdr:pic>
      <xdr:nvPicPr>
        <xdr:cNvPr id="3007" name="Obraz 3006">
          <a:extLst>
            <a:ext uri="{FF2B5EF4-FFF2-40B4-BE49-F238E27FC236}">
              <a16:creationId xmlns:a16="http://schemas.microsoft.com/office/drawing/2014/main" id="{E157FBAC-1C86-22D2-07D6-1599103D4A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78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982</xdr:row>
      <xdr:rowOff>760942</xdr:rowOff>
    </xdr:from>
    <xdr:to>
      <xdr:col>0</xdr:col>
      <xdr:colOff>871538</xdr:colOff>
      <xdr:row>983</xdr:row>
      <xdr:rowOff>760942</xdr:rowOff>
    </xdr:to>
    <xdr:pic>
      <xdr:nvPicPr>
        <xdr:cNvPr id="3009" name="Obraz 3008">
          <a:extLst>
            <a:ext uri="{FF2B5EF4-FFF2-40B4-BE49-F238E27FC236}">
              <a16:creationId xmlns:a16="http://schemas.microsoft.com/office/drawing/2014/main" id="{3C9EFD04-CC62-DAAD-BBB5-5CAF37A666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85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983</xdr:row>
      <xdr:rowOff>760942</xdr:rowOff>
    </xdr:from>
    <xdr:to>
      <xdr:col>0</xdr:col>
      <xdr:colOff>871538</xdr:colOff>
      <xdr:row>984</xdr:row>
      <xdr:rowOff>760942</xdr:rowOff>
    </xdr:to>
    <xdr:pic>
      <xdr:nvPicPr>
        <xdr:cNvPr id="3011" name="Obraz 3010">
          <a:extLst>
            <a:ext uri="{FF2B5EF4-FFF2-40B4-BE49-F238E27FC236}">
              <a16:creationId xmlns:a16="http://schemas.microsoft.com/office/drawing/2014/main" id="{F7B92A46-62B1-389A-94F0-C030B8A0B3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493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984</xdr:row>
      <xdr:rowOff>760942</xdr:rowOff>
    </xdr:from>
    <xdr:to>
      <xdr:col>0</xdr:col>
      <xdr:colOff>871538</xdr:colOff>
      <xdr:row>985</xdr:row>
      <xdr:rowOff>760942</xdr:rowOff>
    </xdr:to>
    <xdr:pic>
      <xdr:nvPicPr>
        <xdr:cNvPr id="3013" name="Obraz 3012">
          <a:extLst>
            <a:ext uri="{FF2B5EF4-FFF2-40B4-BE49-F238E27FC236}">
              <a16:creationId xmlns:a16="http://schemas.microsoft.com/office/drawing/2014/main" id="{BA059D01-C114-D1B0-CD1F-3D53211636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01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985</xdr:row>
      <xdr:rowOff>760942</xdr:rowOff>
    </xdr:from>
    <xdr:to>
      <xdr:col>0</xdr:col>
      <xdr:colOff>871538</xdr:colOff>
      <xdr:row>986</xdr:row>
      <xdr:rowOff>760942</xdr:rowOff>
    </xdr:to>
    <xdr:pic>
      <xdr:nvPicPr>
        <xdr:cNvPr id="3015" name="Obraz 3014">
          <a:extLst>
            <a:ext uri="{FF2B5EF4-FFF2-40B4-BE49-F238E27FC236}">
              <a16:creationId xmlns:a16="http://schemas.microsoft.com/office/drawing/2014/main" id="{16058082-89D2-EB5C-AA9B-5B4F27E942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08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986</xdr:row>
      <xdr:rowOff>760942</xdr:rowOff>
    </xdr:from>
    <xdr:to>
      <xdr:col>0</xdr:col>
      <xdr:colOff>871538</xdr:colOff>
      <xdr:row>987</xdr:row>
      <xdr:rowOff>760942</xdr:rowOff>
    </xdr:to>
    <xdr:pic>
      <xdr:nvPicPr>
        <xdr:cNvPr id="3017" name="Obraz 3016">
          <a:extLst>
            <a:ext uri="{FF2B5EF4-FFF2-40B4-BE49-F238E27FC236}">
              <a16:creationId xmlns:a16="http://schemas.microsoft.com/office/drawing/2014/main" id="{C1893219-96A2-5E43-EF12-FBE2B3097C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16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987</xdr:row>
      <xdr:rowOff>760942</xdr:rowOff>
    </xdr:from>
    <xdr:to>
      <xdr:col>0</xdr:col>
      <xdr:colOff>871538</xdr:colOff>
      <xdr:row>988</xdr:row>
      <xdr:rowOff>760942</xdr:rowOff>
    </xdr:to>
    <xdr:pic>
      <xdr:nvPicPr>
        <xdr:cNvPr id="3019" name="Obraz 3018">
          <a:extLst>
            <a:ext uri="{FF2B5EF4-FFF2-40B4-BE49-F238E27FC236}">
              <a16:creationId xmlns:a16="http://schemas.microsoft.com/office/drawing/2014/main" id="{E50ED8C7-2A8E-0512-5FD1-FC9F0BD4FC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23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988</xdr:row>
      <xdr:rowOff>760942</xdr:rowOff>
    </xdr:from>
    <xdr:to>
      <xdr:col>0</xdr:col>
      <xdr:colOff>871538</xdr:colOff>
      <xdr:row>989</xdr:row>
      <xdr:rowOff>760942</xdr:rowOff>
    </xdr:to>
    <xdr:pic>
      <xdr:nvPicPr>
        <xdr:cNvPr id="3021" name="Obraz 3020">
          <a:extLst>
            <a:ext uri="{FF2B5EF4-FFF2-40B4-BE49-F238E27FC236}">
              <a16:creationId xmlns:a16="http://schemas.microsoft.com/office/drawing/2014/main" id="{DB4EC723-DBCA-DB6D-457F-A3C24BE4FA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31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989</xdr:row>
      <xdr:rowOff>760942</xdr:rowOff>
    </xdr:from>
    <xdr:to>
      <xdr:col>0</xdr:col>
      <xdr:colOff>871538</xdr:colOff>
      <xdr:row>990</xdr:row>
      <xdr:rowOff>760942</xdr:rowOff>
    </xdr:to>
    <xdr:pic>
      <xdr:nvPicPr>
        <xdr:cNvPr id="3023" name="Obraz 3022">
          <a:extLst>
            <a:ext uri="{FF2B5EF4-FFF2-40B4-BE49-F238E27FC236}">
              <a16:creationId xmlns:a16="http://schemas.microsoft.com/office/drawing/2014/main" id="{24628289-DD8C-D1D3-678A-1E8EAE6EFA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39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990</xdr:row>
      <xdr:rowOff>760942</xdr:rowOff>
    </xdr:from>
    <xdr:to>
      <xdr:col>0</xdr:col>
      <xdr:colOff>871538</xdr:colOff>
      <xdr:row>991</xdr:row>
      <xdr:rowOff>760942</xdr:rowOff>
    </xdr:to>
    <xdr:pic>
      <xdr:nvPicPr>
        <xdr:cNvPr id="3025" name="Obraz 3024">
          <a:extLst>
            <a:ext uri="{FF2B5EF4-FFF2-40B4-BE49-F238E27FC236}">
              <a16:creationId xmlns:a16="http://schemas.microsoft.com/office/drawing/2014/main" id="{BF884A59-477A-94A5-6516-D8CE2FA53D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46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991</xdr:row>
      <xdr:rowOff>760942</xdr:rowOff>
    </xdr:from>
    <xdr:to>
      <xdr:col>0</xdr:col>
      <xdr:colOff>871538</xdr:colOff>
      <xdr:row>992</xdr:row>
      <xdr:rowOff>760942</xdr:rowOff>
    </xdr:to>
    <xdr:pic>
      <xdr:nvPicPr>
        <xdr:cNvPr id="3027" name="Obraz 3026">
          <a:extLst>
            <a:ext uri="{FF2B5EF4-FFF2-40B4-BE49-F238E27FC236}">
              <a16:creationId xmlns:a16="http://schemas.microsoft.com/office/drawing/2014/main" id="{FC1D86D7-BB73-FA5A-9B93-8B225F6ABF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54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992</xdr:row>
      <xdr:rowOff>760942</xdr:rowOff>
    </xdr:from>
    <xdr:to>
      <xdr:col>0</xdr:col>
      <xdr:colOff>871538</xdr:colOff>
      <xdr:row>993</xdr:row>
      <xdr:rowOff>760942</xdr:rowOff>
    </xdr:to>
    <xdr:pic>
      <xdr:nvPicPr>
        <xdr:cNvPr id="3029" name="Obraz 3028">
          <a:extLst>
            <a:ext uri="{FF2B5EF4-FFF2-40B4-BE49-F238E27FC236}">
              <a16:creationId xmlns:a16="http://schemas.microsoft.com/office/drawing/2014/main" id="{372D6448-3D5C-BD20-3206-2FB4D866B7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61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993</xdr:row>
      <xdr:rowOff>760942</xdr:rowOff>
    </xdr:from>
    <xdr:to>
      <xdr:col>0</xdr:col>
      <xdr:colOff>871538</xdr:colOff>
      <xdr:row>994</xdr:row>
      <xdr:rowOff>760942</xdr:rowOff>
    </xdr:to>
    <xdr:pic>
      <xdr:nvPicPr>
        <xdr:cNvPr id="3031" name="Obraz 3030">
          <a:extLst>
            <a:ext uri="{FF2B5EF4-FFF2-40B4-BE49-F238E27FC236}">
              <a16:creationId xmlns:a16="http://schemas.microsoft.com/office/drawing/2014/main" id="{17EC41CF-F74A-A019-3444-997DAE28E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69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994</xdr:row>
      <xdr:rowOff>760942</xdr:rowOff>
    </xdr:from>
    <xdr:to>
      <xdr:col>0</xdr:col>
      <xdr:colOff>871538</xdr:colOff>
      <xdr:row>995</xdr:row>
      <xdr:rowOff>760942</xdr:rowOff>
    </xdr:to>
    <xdr:pic>
      <xdr:nvPicPr>
        <xdr:cNvPr id="3033" name="Obraz 3032">
          <a:extLst>
            <a:ext uri="{FF2B5EF4-FFF2-40B4-BE49-F238E27FC236}">
              <a16:creationId xmlns:a16="http://schemas.microsoft.com/office/drawing/2014/main" id="{5D161BAB-1505-F795-B7D7-F8DB17ACD8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77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995</xdr:row>
      <xdr:rowOff>760942</xdr:rowOff>
    </xdr:from>
    <xdr:to>
      <xdr:col>0</xdr:col>
      <xdr:colOff>871538</xdr:colOff>
      <xdr:row>996</xdr:row>
      <xdr:rowOff>760942</xdr:rowOff>
    </xdr:to>
    <xdr:pic>
      <xdr:nvPicPr>
        <xdr:cNvPr id="3035" name="Obraz 3034">
          <a:extLst>
            <a:ext uri="{FF2B5EF4-FFF2-40B4-BE49-F238E27FC236}">
              <a16:creationId xmlns:a16="http://schemas.microsoft.com/office/drawing/2014/main" id="{703D7DB4-F064-A516-3799-F5381DA7C7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84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996</xdr:row>
      <xdr:rowOff>760942</xdr:rowOff>
    </xdr:from>
    <xdr:to>
      <xdr:col>0</xdr:col>
      <xdr:colOff>871538</xdr:colOff>
      <xdr:row>997</xdr:row>
      <xdr:rowOff>760942</xdr:rowOff>
    </xdr:to>
    <xdr:pic>
      <xdr:nvPicPr>
        <xdr:cNvPr id="3037" name="Obraz 3036">
          <a:extLst>
            <a:ext uri="{FF2B5EF4-FFF2-40B4-BE49-F238E27FC236}">
              <a16:creationId xmlns:a16="http://schemas.microsoft.com/office/drawing/2014/main" id="{13603AAF-D704-ED4E-B239-D547F2A83C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592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997</xdr:row>
      <xdr:rowOff>760942</xdr:rowOff>
    </xdr:from>
    <xdr:to>
      <xdr:col>0</xdr:col>
      <xdr:colOff>871538</xdr:colOff>
      <xdr:row>998</xdr:row>
      <xdr:rowOff>760942</xdr:rowOff>
    </xdr:to>
    <xdr:pic>
      <xdr:nvPicPr>
        <xdr:cNvPr id="3039" name="Obraz 3038">
          <a:extLst>
            <a:ext uri="{FF2B5EF4-FFF2-40B4-BE49-F238E27FC236}">
              <a16:creationId xmlns:a16="http://schemas.microsoft.com/office/drawing/2014/main" id="{4518CCE9-8C34-F7EC-B26E-C181DC9C75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00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998</xdr:row>
      <xdr:rowOff>760942</xdr:rowOff>
    </xdr:from>
    <xdr:to>
      <xdr:col>0</xdr:col>
      <xdr:colOff>871538</xdr:colOff>
      <xdr:row>999</xdr:row>
      <xdr:rowOff>760942</xdr:rowOff>
    </xdr:to>
    <xdr:pic>
      <xdr:nvPicPr>
        <xdr:cNvPr id="3041" name="Obraz 3040">
          <a:extLst>
            <a:ext uri="{FF2B5EF4-FFF2-40B4-BE49-F238E27FC236}">
              <a16:creationId xmlns:a16="http://schemas.microsoft.com/office/drawing/2014/main" id="{74B1243E-954A-5437-F9A1-A050EBC098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07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999</xdr:row>
      <xdr:rowOff>760942</xdr:rowOff>
    </xdr:from>
    <xdr:to>
      <xdr:col>0</xdr:col>
      <xdr:colOff>871538</xdr:colOff>
      <xdr:row>1000</xdr:row>
      <xdr:rowOff>760942</xdr:rowOff>
    </xdr:to>
    <xdr:pic>
      <xdr:nvPicPr>
        <xdr:cNvPr id="3043" name="Obraz 3042">
          <a:extLst>
            <a:ext uri="{FF2B5EF4-FFF2-40B4-BE49-F238E27FC236}">
              <a16:creationId xmlns:a16="http://schemas.microsoft.com/office/drawing/2014/main" id="{26B85283-2B7C-5137-2258-7CF05469B9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15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1000</xdr:row>
      <xdr:rowOff>760942</xdr:rowOff>
    </xdr:from>
    <xdr:to>
      <xdr:col>0</xdr:col>
      <xdr:colOff>871538</xdr:colOff>
      <xdr:row>1001</xdr:row>
      <xdr:rowOff>760942</xdr:rowOff>
    </xdr:to>
    <xdr:pic>
      <xdr:nvPicPr>
        <xdr:cNvPr id="3045" name="Obraz 3044">
          <a:extLst>
            <a:ext uri="{FF2B5EF4-FFF2-40B4-BE49-F238E27FC236}">
              <a16:creationId xmlns:a16="http://schemas.microsoft.com/office/drawing/2014/main" id="{29EC3593-A26E-97E2-943E-4AB3BBBBF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22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1001</xdr:row>
      <xdr:rowOff>760942</xdr:rowOff>
    </xdr:from>
    <xdr:to>
      <xdr:col>0</xdr:col>
      <xdr:colOff>871538</xdr:colOff>
      <xdr:row>1002</xdr:row>
      <xdr:rowOff>760942</xdr:rowOff>
    </xdr:to>
    <xdr:pic>
      <xdr:nvPicPr>
        <xdr:cNvPr id="3047" name="Obraz 3046">
          <a:extLst>
            <a:ext uri="{FF2B5EF4-FFF2-40B4-BE49-F238E27FC236}">
              <a16:creationId xmlns:a16="http://schemas.microsoft.com/office/drawing/2014/main" id="{EE9F8463-F51C-4D1D-9BF7-B327288274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30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1002</xdr:row>
      <xdr:rowOff>760942</xdr:rowOff>
    </xdr:from>
    <xdr:to>
      <xdr:col>0</xdr:col>
      <xdr:colOff>871538</xdr:colOff>
      <xdr:row>1003</xdr:row>
      <xdr:rowOff>760942</xdr:rowOff>
    </xdr:to>
    <xdr:pic>
      <xdr:nvPicPr>
        <xdr:cNvPr id="3049" name="Obraz 3048">
          <a:extLst>
            <a:ext uri="{FF2B5EF4-FFF2-40B4-BE49-F238E27FC236}">
              <a16:creationId xmlns:a16="http://schemas.microsoft.com/office/drawing/2014/main" id="{CFB74011-7A19-9D44-29F0-DF975068DD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38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1003</xdr:row>
      <xdr:rowOff>760942</xdr:rowOff>
    </xdr:from>
    <xdr:to>
      <xdr:col>0</xdr:col>
      <xdr:colOff>871538</xdr:colOff>
      <xdr:row>1004</xdr:row>
      <xdr:rowOff>760942</xdr:rowOff>
    </xdr:to>
    <xdr:pic>
      <xdr:nvPicPr>
        <xdr:cNvPr id="3051" name="Obraz 3050">
          <a:extLst>
            <a:ext uri="{FF2B5EF4-FFF2-40B4-BE49-F238E27FC236}">
              <a16:creationId xmlns:a16="http://schemas.microsoft.com/office/drawing/2014/main" id="{1286F2EF-8AAB-49C3-E1EF-9EA90EEBAD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45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1004</xdr:row>
      <xdr:rowOff>760942</xdr:rowOff>
    </xdr:from>
    <xdr:to>
      <xdr:col>0</xdr:col>
      <xdr:colOff>871538</xdr:colOff>
      <xdr:row>1005</xdr:row>
      <xdr:rowOff>760942</xdr:rowOff>
    </xdr:to>
    <xdr:pic>
      <xdr:nvPicPr>
        <xdr:cNvPr id="3053" name="Obraz 3052">
          <a:extLst>
            <a:ext uri="{FF2B5EF4-FFF2-40B4-BE49-F238E27FC236}">
              <a16:creationId xmlns:a16="http://schemas.microsoft.com/office/drawing/2014/main" id="{499E57E2-7C53-30FF-6EA1-41A954AF69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53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1005</xdr:row>
      <xdr:rowOff>760942</xdr:rowOff>
    </xdr:from>
    <xdr:to>
      <xdr:col>0</xdr:col>
      <xdr:colOff>871538</xdr:colOff>
      <xdr:row>1006</xdr:row>
      <xdr:rowOff>760942</xdr:rowOff>
    </xdr:to>
    <xdr:pic>
      <xdr:nvPicPr>
        <xdr:cNvPr id="3055" name="Obraz 3054">
          <a:extLst>
            <a:ext uri="{FF2B5EF4-FFF2-40B4-BE49-F238E27FC236}">
              <a16:creationId xmlns:a16="http://schemas.microsoft.com/office/drawing/2014/main" id="{23CCF78B-A3FB-4B6D-F7AE-1DE32EB121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61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1006</xdr:row>
      <xdr:rowOff>760942</xdr:rowOff>
    </xdr:from>
    <xdr:to>
      <xdr:col>0</xdr:col>
      <xdr:colOff>871538</xdr:colOff>
      <xdr:row>1007</xdr:row>
      <xdr:rowOff>760942</xdr:rowOff>
    </xdr:to>
    <xdr:pic>
      <xdr:nvPicPr>
        <xdr:cNvPr id="3057" name="Obraz 3056">
          <a:extLst>
            <a:ext uri="{FF2B5EF4-FFF2-40B4-BE49-F238E27FC236}">
              <a16:creationId xmlns:a16="http://schemas.microsoft.com/office/drawing/2014/main" id="{63326313-3869-348A-6022-D6AE2D0F7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68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1007</xdr:row>
      <xdr:rowOff>760942</xdr:rowOff>
    </xdr:from>
    <xdr:to>
      <xdr:col>0</xdr:col>
      <xdr:colOff>871538</xdr:colOff>
      <xdr:row>1008</xdr:row>
      <xdr:rowOff>760942</xdr:rowOff>
    </xdr:to>
    <xdr:pic>
      <xdr:nvPicPr>
        <xdr:cNvPr id="3059" name="Obraz 3058">
          <a:extLst>
            <a:ext uri="{FF2B5EF4-FFF2-40B4-BE49-F238E27FC236}">
              <a16:creationId xmlns:a16="http://schemas.microsoft.com/office/drawing/2014/main" id="{8E4F2BBF-DB80-8743-3758-77723591FB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76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1008</xdr:row>
      <xdr:rowOff>760942</xdr:rowOff>
    </xdr:from>
    <xdr:to>
      <xdr:col>0</xdr:col>
      <xdr:colOff>871538</xdr:colOff>
      <xdr:row>1009</xdr:row>
      <xdr:rowOff>760942</xdr:rowOff>
    </xdr:to>
    <xdr:pic>
      <xdr:nvPicPr>
        <xdr:cNvPr id="3061" name="Obraz 3060">
          <a:extLst>
            <a:ext uri="{FF2B5EF4-FFF2-40B4-BE49-F238E27FC236}">
              <a16:creationId xmlns:a16="http://schemas.microsoft.com/office/drawing/2014/main" id="{7E39BC43-7A0F-A913-54C3-A7A8C5C68C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83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1009</xdr:row>
      <xdr:rowOff>760942</xdr:rowOff>
    </xdr:from>
    <xdr:to>
      <xdr:col>0</xdr:col>
      <xdr:colOff>871538</xdr:colOff>
      <xdr:row>1010</xdr:row>
      <xdr:rowOff>760942</xdr:rowOff>
    </xdr:to>
    <xdr:pic>
      <xdr:nvPicPr>
        <xdr:cNvPr id="3063" name="Obraz 3062">
          <a:extLst>
            <a:ext uri="{FF2B5EF4-FFF2-40B4-BE49-F238E27FC236}">
              <a16:creationId xmlns:a16="http://schemas.microsoft.com/office/drawing/2014/main" id="{B88B9653-7A81-7BAF-4B83-85F53203A8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91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1010</xdr:row>
      <xdr:rowOff>760942</xdr:rowOff>
    </xdr:from>
    <xdr:to>
      <xdr:col>0</xdr:col>
      <xdr:colOff>871538</xdr:colOff>
      <xdr:row>1011</xdr:row>
      <xdr:rowOff>760942</xdr:rowOff>
    </xdr:to>
    <xdr:pic>
      <xdr:nvPicPr>
        <xdr:cNvPr id="3065" name="Obraz 3064">
          <a:extLst>
            <a:ext uri="{FF2B5EF4-FFF2-40B4-BE49-F238E27FC236}">
              <a16:creationId xmlns:a16="http://schemas.microsoft.com/office/drawing/2014/main" id="{DB36C7E8-8B58-BFC7-4645-81A3F30DDC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6991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1011</xdr:row>
      <xdr:rowOff>760942</xdr:rowOff>
    </xdr:from>
    <xdr:to>
      <xdr:col>0</xdr:col>
      <xdr:colOff>871538</xdr:colOff>
      <xdr:row>1012</xdr:row>
      <xdr:rowOff>760942</xdr:rowOff>
    </xdr:to>
    <xdr:pic>
      <xdr:nvPicPr>
        <xdr:cNvPr id="3067" name="Obraz 3066">
          <a:extLst>
            <a:ext uri="{FF2B5EF4-FFF2-40B4-BE49-F238E27FC236}">
              <a16:creationId xmlns:a16="http://schemas.microsoft.com/office/drawing/2014/main" id="{89C3FE78-FDE1-73F4-8750-600E905572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06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1012</xdr:row>
      <xdr:rowOff>760942</xdr:rowOff>
    </xdr:from>
    <xdr:to>
      <xdr:col>0</xdr:col>
      <xdr:colOff>871538</xdr:colOff>
      <xdr:row>1013</xdr:row>
      <xdr:rowOff>760942</xdr:rowOff>
    </xdr:to>
    <xdr:pic>
      <xdr:nvPicPr>
        <xdr:cNvPr id="3069" name="Obraz 3068">
          <a:extLst>
            <a:ext uri="{FF2B5EF4-FFF2-40B4-BE49-F238E27FC236}">
              <a16:creationId xmlns:a16="http://schemas.microsoft.com/office/drawing/2014/main" id="{C724AB19-CBCB-2845-C950-7B8D4E8D33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14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1013</xdr:row>
      <xdr:rowOff>760942</xdr:rowOff>
    </xdr:from>
    <xdr:to>
      <xdr:col>0</xdr:col>
      <xdr:colOff>871538</xdr:colOff>
      <xdr:row>1014</xdr:row>
      <xdr:rowOff>760942</xdr:rowOff>
    </xdr:to>
    <xdr:pic>
      <xdr:nvPicPr>
        <xdr:cNvPr id="3071" name="Obraz 3070">
          <a:extLst>
            <a:ext uri="{FF2B5EF4-FFF2-40B4-BE49-F238E27FC236}">
              <a16:creationId xmlns:a16="http://schemas.microsoft.com/office/drawing/2014/main" id="{D7B2CD7C-8526-D161-CDAE-E7408B31B5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22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1014</xdr:row>
      <xdr:rowOff>760942</xdr:rowOff>
    </xdr:from>
    <xdr:to>
      <xdr:col>0</xdr:col>
      <xdr:colOff>871538</xdr:colOff>
      <xdr:row>1015</xdr:row>
      <xdr:rowOff>760942</xdr:rowOff>
    </xdr:to>
    <xdr:pic>
      <xdr:nvPicPr>
        <xdr:cNvPr id="3073" name="Obraz 3072">
          <a:extLst>
            <a:ext uri="{FF2B5EF4-FFF2-40B4-BE49-F238E27FC236}">
              <a16:creationId xmlns:a16="http://schemas.microsoft.com/office/drawing/2014/main" id="{0E314631-20F5-4FB8-0CD9-B3522137BE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29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1015</xdr:row>
      <xdr:rowOff>760942</xdr:rowOff>
    </xdr:from>
    <xdr:to>
      <xdr:col>0</xdr:col>
      <xdr:colOff>871538</xdr:colOff>
      <xdr:row>1016</xdr:row>
      <xdr:rowOff>760942</xdr:rowOff>
    </xdr:to>
    <xdr:pic>
      <xdr:nvPicPr>
        <xdr:cNvPr id="3075" name="Obraz 3074">
          <a:extLst>
            <a:ext uri="{FF2B5EF4-FFF2-40B4-BE49-F238E27FC236}">
              <a16:creationId xmlns:a16="http://schemas.microsoft.com/office/drawing/2014/main" id="{CE6C17ED-7F15-19F3-39FA-8BD7CD29A6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37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1016</xdr:row>
      <xdr:rowOff>760942</xdr:rowOff>
    </xdr:from>
    <xdr:to>
      <xdr:col>0</xdr:col>
      <xdr:colOff>871538</xdr:colOff>
      <xdr:row>1017</xdr:row>
      <xdr:rowOff>760942</xdr:rowOff>
    </xdr:to>
    <xdr:pic>
      <xdr:nvPicPr>
        <xdr:cNvPr id="3077" name="Obraz 3076">
          <a:extLst>
            <a:ext uri="{FF2B5EF4-FFF2-40B4-BE49-F238E27FC236}">
              <a16:creationId xmlns:a16="http://schemas.microsoft.com/office/drawing/2014/main" id="{5C9A2CFC-8F0F-C7EA-789D-1BD6567F5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44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1017</xdr:row>
      <xdr:rowOff>760942</xdr:rowOff>
    </xdr:from>
    <xdr:to>
      <xdr:col>0</xdr:col>
      <xdr:colOff>871538</xdr:colOff>
      <xdr:row>1018</xdr:row>
      <xdr:rowOff>760942</xdr:rowOff>
    </xdr:to>
    <xdr:pic>
      <xdr:nvPicPr>
        <xdr:cNvPr id="3079" name="Obraz 3078">
          <a:extLst>
            <a:ext uri="{FF2B5EF4-FFF2-40B4-BE49-F238E27FC236}">
              <a16:creationId xmlns:a16="http://schemas.microsoft.com/office/drawing/2014/main" id="{0DA465D8-D615-739F-F7F6-7A5E9D5AE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52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1018</xdr:row>
      <xdr:rowOff>760942</xdr:rowOff>
    </xdr:from>
    <xdr:to>
      <xdr:col>0</xdr:col>
      <xdr:colOff>871538</xdr:colOff>
      <xdr:row>1019</xdr:row>
      <xdr:rowOff>760942</xdr:rowOff>
    </xdr:to>
    <xdr:pic>
      <xdr:nvPicPr>
        <xdr:cNvPr id="3081" name="Obraz 3080">
          <a:extLst>
            <a:ext uri="{FF2B5EF4-FFF2-40B4-BE49-F238E27FC236}">
              <a16:creationId xmlns:a16="http://schemas.microsoft.com/office/drawing/2014/main" id="{4F197A13-DDCE-7A00-D652-2F7A0C6889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60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1019</xdr:row>
      <xdr:rowOff>760942</xdr:rowOff>
    </xdr:from>
    <xdr:to>
      <xdr:col>0</xdr:col>
      <xdr:colOff>871538</xdr:colOff>
      <xdr:row>1020</xdr:row>
      <xdr:rowOff>760942</xdr:rowOff>
    </xdr:to>
    <xdr:pic>
      <xdr:nvPicPr>
        <xdr:cNvPr id="3083" name="Obraz 3082">
          <a:extLst>
            <a:ext uri="{FF2B5EF4-FFF2-40B4-BE49-F238E27FC236}">
              <a16:creationId xmlns:a16="http://schemas.microsoft.com/office/drawing/2014/main" id="{3AFB1528-A158-C671-4422-BD24DBB51B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67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1020</xdr:row>
      <xdr:rowOff>760942</xdr:rowOff>
    </xdr:from>
    <xdr:to>
      <xdr:col>0</xdr:col>
      <xdr:colOff>871538</xdr:colOff>
      <xdr:row>1021</xdr:row>
      <xdr:rowOff>760942</xdr:rowOff>
    </xdr:to>
    <xdr:pic>
      <xdr:nvPicPr>
        <xdr:cNvPr id="3085" name="Obraz 3084">
          <a:extLst>
            <a:ext uri="{FF2B5EF4-FFF2-40B4-BE49-F238E27FC236}">
              <a16:creationId xmlns:a16="http://schemas.microsoft.com/office/drawing/2014/main" id="{08278333-47DA-380E-2315-E16B29502D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75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1021</xdr:row>
      <xdr:rowOff>760942</xdr:rowOff>
    </xdr:from>
    <xdr:to>
      <xdr:col>0</xdr:col>
      <xdr:colOff>871538</xdr:colOff>
      <xdr:row>1022</xdr:row>
      <xdr:rowOff>760942</xdr:rowOff>
    </xdr:to>
    <xdr:pic>
      <xdr:nvPicPr>
        <xdr:cNvPr id="3087" name="Obraz 3086">
          <a:extLst>
            <a:ext uri="{FF2B5EF4-FFF2-40B4-BE49-F238E27FC236}">
              <a16:creationId xmlns:a16="http://schemas.microsoft.com/office/drawing/2014/main" id="{DAC16FD3-6839-E0B3-E71E-8DABB9E939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82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1022</xdr:row>
      <xdr:rowOff>760942</xdr:rowOff>
    </xdr:from>
    <xdr:to>
      <xdr:col>0</xdr:col>
      <xdr:colOff>871538</xdr:colOff>
      <xdr:row>1023</xdr:row>
      <xdr:rowOff>760942</xdr:rowOff>
    </xdr:to>
    <xdr:pic>
      <xdr:nvPicPr>
        <xdr:cNvPr id="3089" name="Obraz 3088">
          <a:extLst>
            <a:ext uri="{FF2B5EF4-FFF2-40B4-BE49-F238E27FC236}">
              <a16:creationId xmlns:a16="http://schemas.microsoft.com/office/drawing/2014/main" id="{BAEA5D89-7468-E459-5782-936680024E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90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1023</xdr:row>
      <xdr:rowOff>760942</xdr:rowOff>
    </xdr:from>
    <xdr:to>
      <xdr:col>0</xdr:col>
      <xdr:colOff>871538</xdr:colOff>
      <xdr:row>1024</xdr:row>
      <xdr:rowOff>760942</xdr:rowOff>
    </xdr:to>
    <xdr:pic>
      <xdr:nvPicPr>
        <xdr:cNvPr id="3091" name="Obraz 3090">
          <a:extLst>
            <a:ext uri="{FF2B5EF4-FFF2-40B4-BE49-F238E27FC236}">
              <a16:creationId xmlns:a16="http://schemas.microsoft.com/office/drawing/2014/main" id="{CBD65A33-76C4-6A1F-5F44-A02BB28BB6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798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1024</xdr:row>
      <xdr:rowOff>760942</xdr:rowOff>
    </xdr:from>
    <xdr:to>
      <xdr:col>0</xdr:col>
      <xdr:colOff>871538</xdr:colOff>
      <xdr:row>1025</xdr:row>
      <xdr:rowOff>760942</xdr:rowOff>
    </xdr:to>
    <xdr:pic>
      <xdr:nvPicPr>
        <xdr:cNvPr id="3093" name="Obraz 3092">
          <a:extLst>
            <a:ext uri="{FF2B5EF4-FFF2-40B4-BE49-F238E27FC236}">
              <a16:creationId xmlns:a16="http://schemas.microsoft.com/office/drawing/2014/main" id="{A2784009-0EB4-021E-A870-C6DB5AF064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05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1025</xdr:row>
      <xdr:rowOff>760942</xdr:rowOff>
    </xdr:from>
    <xdr:to>
      <xdr:col>0</xdr:col>
      <xdr:colOff>871538</xdr:colOff>
      <xdr:row>1026</xdr:row>
      <xdr:rowOff>760942</xdr:rowOff>
    </xdr:to>
    <xdr:pic>
      <xdr:nvPicPr>
        <xdr:cNvPr id="3095" name="Obraz 3094">
          <a:extLst>
            <a:ext uri="{FF2B5EF4-FFF2-40B4-BE49-F238E27FC236}">
              <a16:creationId xmlns:a16="http://schemas.microsoft.com/office/drawing/2014/main" id="{3B9F46AA-A3EB-330A-34BE-F7D5B7FB09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13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1026</xdr:row>
      <xdr:rowOff>760942</xdr:rowOff>
    </xdr:from>
    <xdr:to>
      <xdr:col>0</xdr:col>
      <xdr:colOff>871538</xdr:colOff>
      <xdr:row>1027</xdr:row>
      <xdr:rowOff>760942</xdr:rowOff>
    </xdr:to>
    <xdr:pic>
      <xdr:nvPicPr>
        <xdr:cNvPr id="3097" name="Obraz 3096">
          <a:extLst>
            <a:ext uri="{FF2B5EF4-FFF2-40B4-BE49-F238E27FC236}">
              <a16:creationId xmlns:a16="http://schemas.microsoft.com/office/drawing/2014/main" id="{A15F8A6C-397A-B944-7E3B-D21FAACA4A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21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1027</xdr:row>
      <xdr:rowOff>760942</xdr:rowOff>
    </xdr:from>
    <xdr:to>
      <xdr:col>0</xdr:col>
      <xdr:colOff>871538</xdr:colOff>
      <xdr:row>1028</xdr:row>
      <xdr:rowOff>760942</xdr:rowOff>
    </xdr:to>
    <xdr:pic>
      <xdr:nvPicPr>
        <xdr:cNvPr id="3099" name="Obraz 3098">
          <a:extLst>
            <a:ext uri="{FF2B5EF4-FFF2-40B4-BE49-F238E27FC236}">
              <a16:creationId xmlns:a16="http://schemas.microsoft.com/office/drawing/2014/main" id="{B03DE59C-C1D2-DA74-BF2C-2A3811683C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28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1028</xdr:row>
      <xdr:rowOff>760942</xdr:rowOff>
    </xdr:from>
    <xdr:to>
      <xdr:col>0</xdr:col>
      <xdr:colOff>871538</xdr:colOff>
      <xdr:row>1029</xdr:row>
      <xdr:rowOff>760942</xdr:rowOff>
    </xdr:to>
    <xdr:pic>
      <xdr:nvPicPr>
        <xdr:cNvPr id="3101" name="Obraz 3100">
          <a:extLst>
            <a:ext uri="{FF2B5EF4-FFF2-40B4-BE49-F238E27FC236}">
              <a16:creationId xmlns:a16="http://schemas.microsoft.com/office/drawing/2014/main" id="{04C03C21-315C-5353-B40A-C0A2309504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36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1029</xdr:row>
      <xdr:rowOff>760942</xdr:rowOff>
    </xdr:from>
    <xdr:to>
      <xdr:col>0</xdr:col>
      <xdr:colOff>871538</xdr:colOff>
      <xdr:row>1030</xdr:row>
      <xdr:rowOff>760942</xdr:rowOff>
    </xdr:to>
    <xdr:pic>
      <xdr:nvPicPr>
        <xdr:cNvPr id="3103" name="Obraz 3102">
          <a:extLst>
            <a:ext uri="{FF2B5EF4-FFF2-40B4-BE49-F238E27FC236}">
              <a16:creationId xmlns:a16="http://schemas.microsoft.com/office/drawing/2014/main" id="{6BF7AF4B-FCCB-B428-9595-38E8727F15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43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1030</xdr:row>
      <xdr:rowOff>760942</xdr:rowOff>
    </xdr:from>
    <xdr:to>
      <xdr:col>0</xdr:col>
      <xdr:colOff>871538</xdr:colOff>
      <xdr:row>1031</xdr:row>
      <xdr:rowOff>760942</xdr:rowOff>
    </xdr:to>
    <xdr:pic>
      <xdr:nvPicPr>
        <xdr:cNvPr id="3105" name="Obraz 3104">
          <a:extLst>
            <a:ext uri="{FF2B5EF4-FFF2-40B4-BE49-F238E27FC236}">
              <a16:creationId xmlns:a16="http://schemas.microsoft.com/office/drawing/2014/main" id="{92D19C38-6847-0BC6-1903-3295B546F0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51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1031</xdr:row>
      <xdr:rowOff>760942</xdr:rowOff>
    </xdr:from>
    <xdr:to>
      <xdr:col>0</xdr:col>
      <xdr:colOff>871538</xdr:colOff>
      <xdr:row>1032</xdr:row>
      <xdr:rowOff>760942</xdr:rowOff>
    </xdr:to>
    <xdr:pic>
      <xdr:nvPicPr>
        <xdr:cNvPr id="3107" name="Obraz 3106">
          <a:extLst>
            <a:ext uri="{FF2B5EF4-FFF2-40B4-BE49-F238E27FC236}">
              <a16:creationId xmlns:a16="http://schemas.microsoft.com/office/drawing/2014/main" id="{94368CAA-E06E-2344-6546-1C52E9590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59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1032</xdr:row>
      <xdr:rowOff>760942</xdr:rowOff>
    </xdr:from>
    <xdr:to>
      <xdr:col>0</xdr:col>
      <xdr:colOff>871538</xdr:colOff>
      <xdr:row>1033</xdr:row>
      <xdr:rowOff>760942</xdr:rowOff>
    </xdr:to>
    <xdr:pic>
      <xdr:nvPicPr>
        <xdr:cNvPr id="3109" name="Obraz 3108">
          <a:extLst>
            <a:ext uri="{FF2B5EF4-FFF2-40B4-BE49-F238E27FC236}">
              <a16:creationId xmlns:a16="http://schemas.microsoft.com/office/drawing/2014/main" id="{80378D2A-5AA9-F34D-D995-9A237ED318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66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1033</xdr:row>
      <xdr:rowOff>760942</xdr:rowOff>
    </xdr:from>
    <xdr:to>
      <xdr:col>0</xdr:col>
      <xdr:colOff>871538</xdr:colOff>
      <xdr:row>1034</xdr:row>
      <xdr:rowOff>760942</xdr:rowOff>
    </xdr:to>
    <xdr:pic>
      <xdr:nvPicPr>
        <xdr:cNvPr id="3111" name="Obraz 3110">
          <a:extLst>
            <a:ext uri="{FF2B5EF4-FFF2-40B4-BE49-F238E27FC236}">
              <a16:creationId xmlns:a16="http://schemas.microsoft.com/office/drawing/2014/main" id="{E44AE221-A9A0-78A2-2784-376F71D755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74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1034</xdr:row>
      <xdr:rowOff>760942</xdr:rowOff>
    </xdr:from>
    <xdr:to>
      <xdr:col>0</xdr:col>
      <xdr:colOff>871538</xdr:colOff>
      <xdr:row>1035</xdr:row>
      <xdr:rowOff>760942</xdr:rowOff>
    </xdr:to>
    <xdr:pic>
      <xdr:nvPicPr>
        <xdr:cNvPr id="3113" name="Obraz 3112">
          <a:extLst>
            <a:ext uri="{FF2B5EF4-FFF2-40B4-BE49-F238E27FC236}">
              <a16:creationId xmlns:a16="http://schemas.microsoft.com/office/drawing/2014/main" id="{61E24ADD-D595-4125-0DBE-E9ABA4B360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82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1035</xdr:row>
      <xdr:rowOff>760942</xdr:rowOff>
    </xdr:from>
    <xdr:to>
      <xdr:col>0</xdr:col>
      <xdr:colOff>871538</xdr:colOff>
      <xdr:row>1036</xdr:row>
      <xdr:rowOff>760942</xdr:rowOff>
    </xdr:to>
    <xdr:pic>
      <xdr:nvPicPr>
        <xdr:cNvPr id="3115" name="Obraz 3114">
          <a:extLst>
            <a:ext uri="{FF2B5EF4-FFF2-40B4-BE49-F238E27FC236}">
              <a16:creationId xmlns:a16="http://schemas.microsoft.com/office/drawing/2014/main" id="{F28270C9-9687-8796-FB05-35A4D0AE7A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889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1037</xdr:row>
      <xdr:rowOff>760942</xdr:rowOff>
    </xdr:from>
    <xdr:to>
      <xdr:col>0</xdr:col>
      <xdr:colOff>871538</xdr:colOff>
      <xdr:row>1038</xdr:row>
      <xdr:rowOff>760942</xdr:rowOff>
    </xdr:to>
    <xdr:pic>
      <xdr:nvPicPr>
        <xdr:cNvPr id="3117" name="Obraz 3116">
          <a:extLst>
            <a:ext uri="{FF2B5EF4-FFF2-40B4-BE49-F238E27FC236}">
              <a16:creationId xmlns:a16="http://schemas.microsoft.com/office/drawing/2014/main" id="{B3E8B32C-0569-A9AE-2E92-341633D700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04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1038</xdr:row>
      <xdr:rowOff>760942</xdr:rowOff>
    </xdr:from>
    <xdr:to>
      <xdr:col>0</xdr:col>
      <xdr:colOff>871538</xdr:colOff>
      <xdr:row>1039</xdr:row>
      <xdr:rowOff>760942</xdr:rowOff>
    </xdr:to>
    <xdr:pic>
      <xdr:nvPicPr>
        <xdr:cNvPr id="3119" name="Obraz 3118">
          <a:extLst>
            <a:ext uri="{FF2B5EF4-FFF2-40B4-BE49-F238E27FC236}">
              <a16:creationId xmlns:a16="http://schemas.microsoft.com/office/drawing/2014/main" id="{B7735521-A8CC-F4F5-5128-93CAB7BB54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12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1039</xdr:row>
      <xdr:rowOff>760942</xdr:rowOff>
    </xdr:from>
    <xdr:to>
      <xdr:col>0</xdr:col>
      <xdr:colOff>871538</xdr:colOff>
      <xdr:row>1040</xdr:row>
      <xdr:rowOff>760942</xdr:rowOff>
    </xdr:to>
    <xdr:pic>
      <xdr:nvPicPr>
        <xdr:cNvPr id="3121" name="Obraz 3120">
          <a:extLst>
            <a:ext uri="{FF2B5EF4-FFF2-40B4-BE49-F238E27FC236}">
              <a16:creationId xmlns:a16="http://schemas.microsoft.com/office/drawing/2014/main" id="{1C89780D-3288-F5A5-7D03-B2A187A302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20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1040</xdr:row>
      <xdr:rowOff>760942</xdr:rowOff>
    </xdr:from>
    <xdr:to>
      <xdr:col>0</xdr:col>
      <xdr:colOff>871538</xdr:colOff>
      <xdr:row>1041</xdr:row>
      <xdr:rowOff>760942</xdr:rowOff>
    </xdr:to>
    <xdr:pic>
      <xdr:nvPicPr>
        <xdr:cNvPr id="3123" name="Obraz 3122">
          <a:extLst>
            <a:ext uri="{FF2B5EF4-FFF2-40B4-BE49-F238E27FC236}">
              <a16:creationId xmlns:a16="http://schemas.microsoft.com/office/drawing/2014/main" id="{A8C0A223-D639-5290-0B6C-37FFD8E637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27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1041</xdr:row>
      <xdr:rowOff>760942</xdr:rowOff>
    </xdr:from>
    <xdr:to>
      <xdr:col>0</xdr:col>
      <xdr:colOff>871538</xdr:colOff>
      <xdr:row>1042</xdr:row>
      <xdr:rowOff>760942</xdr:rowOff>
    </xdr:to>
    <xdr:pic>
      <xdr:nvPicPr>
        <xdr:cNvPr id="3125" name="Obraz 3124">
          <a:extLst>
            <a:ext uri="{FF2B5EF4-FFF2-40B4-BE49-F238E27FC236}">
              <a16:creationId xmlns:a16="http://schemas.microsoft.com/office/drawing/2014/main" id="{E72700E1-EEC3-ADE6-572A-16AFD2A484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35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1042</xdr:row>
      <xdr:rowOff>760942</xdr:rowOff>
    </xdr:from>
    <xdr:to>
      <xdr:col>0</xdr:col>
      <xdr:colOff>871538</xdr:colOff>
      <xdr:row>1043</xdr:row>
      <xdr:rowOff>760942</xdr:rowOff>
    </xdr:to>
    <xdr:pic>
      <xdr:nvPicPr>
        <xdr:cNvPr id="3127" name="Obraz 3126">
          <a:extLst>
            <a:ext uri="{FF2B5EF4-FFF2-40B4-BE49-F238E27FC236}">
              <a16:creationId xmlns:a16="http://schemas.microsoft.com/office/drawing/2014/main" id="{3B347087-3303-5946-0105-94975E1A8D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42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1043</xdr:row>
      <xdr:rowOff>760942</xdr:rowOff>
    </xdr:from>
    <xdr:to>
      <xdr:col>0</xdr:col>
      <xdr:colOff>871538</xdr:colOff>
      <xdr:row>1044</xdr:row>
      <xdr:rowOff>760942</xdr:rowOff>
    </xdr:to>
    <xdr:pic>
      <xdr:nvPicPr>
        <xdr:cNvPr id="3129" name="Obraz 3128">
          <a:extLst>
            <a:ext uri="{FF2B5EF4-FFF2-40B4-BE49-F238E27FC236}">
              <a16:creationId xmlns:a16="http://schemas.microsoft.com/office/drawing/2014/main" id="{25DFDB8A-A489-1EFB-FF51-36FAF26636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50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1044</xdr:row>
      <xdr:rowOff>760942</xdr:rowOff>
    </xdr:from>
    <xdr:to>
      <xdr:col>0</xdr:col>
      <xdr:colOff>871538</xdr:colOff>
      <xdr:row>1045</xdr:row>
      <xdr:rowOff>760942</xdr:rowOff>
    </xdr:to>
    <xdr:pic>
      <xdr:nvPicPr>
        <xdr:cNvPr id="3131" name="Obraz 3130">
          <a:extLst>
            <a:ext uri="{FF2B5EF4-FFF2-40B4-BE49-F238E27FC236}">
              <a16:creationId xmlns:a16="http://schemas.microsoft.com/office/drawing/2014/main" id="{FFF05E8B-423C-E795-2B57-C220316FC3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58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1046</xdr:row>
      <xdr:rowOff>760942</xdr:rowOff>
    </xdr:from>
    <xdr:to>
      <xdr:col>0</xdr:col>
      <xdr:colOff>871538</xdr:colOff>
      <xdr:row>1047</xdr:row>
      <xdr:rowOff>760942</xdr:rowOff>
    </xdr:to>
    <xdr:pic>
      <xdr:nvPicPr>
        <xdr:cNvPr id="3133" name="Obraz 3132">
          <a:extLst>
            <a:ext uri="{FF2B5EF4-FFF2-40B4-BE49-F238E27FC236}">
              <a16:creationId xmlns:a16="http://schemas.microsoft.com/office/drawing/2014/main" id="{B0ED7A3D-BC9E-DA17-E975-48ABCF31D3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73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1047</xdr:row>
      <xdr:rowOff>760942</xdr:rowOff>
    </xdr:from>
    <xdr:to>
      <xdr:col>0</xdr:col>
      <xdr:colOff>871538</xdr:colOff>
      <xdr:row>1048</xdr:row>
      <xdr:rowOff>760942</xdr:rowOff>
    </xdr:to>
    <xdr:pic>
      <xdr:nvPicPr>
        <xdr:cNvPr id="3135" name="Obraz 3134">
          <a:extLst>
            <a:ext uri="{FF2B5EF4-FFF2-40B4-BE49-F238E27FC236}">
              <a16:creationId xmlns:a16="http://schemas.microsoft.com/office/drawing/2014/main" id="{0E1BDB40-5744-319F-CBFB-F7B205BB7B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81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1048</xdr:row>
      <xdr:rowOff>760942</xdr:rowOff>
    </xdr:from>
    <xdr:to>
      <xdr:col>0</xdr:col>
      <xdr:colOff>871538</xdr:colOff>
      <xdr:row>1049</xdr:row>
      <xdr:rowOff>760942</xdr:rowOff>
    </xdr:to>
    <xdr:pic>
      <xdr:nvPicPr>
        <xdr:cNvPr id="3137" name="Obraz 3136">
          <a:extLst>
            <a:ext uri="{FF2B5EF4-FFF2-40B4-BE49-F238E27FC236}">
              <a16:creationId xmlns:a16="http://schemas.microsoft.com/office/drawing/2014/main" id="{29C6AF34-2942-01DE-BC53-28312C03C8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88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1049</xdr:row>
      <xdr:rowOff>760942</xdr:rowOff>
    </xdr:from>
    <xdr:to>
      <xdr:col>0</xdr:col>
      <xdr:colOff>871538</xdr:colOff>
      <xdr:row>1050</xdr:row>
      <xdr:rowOff>760942</xdr:rowOff>
    </xdr:to>
    <xdr:pic>
      <xdr:nvPicPr>
        <xdr:cNvPr id="3139" name="Obraz 3138">
          <a:extLst>
            <a:ext uri="{FF2B5EF4-FFF2-40B4-BE49-F238E27FC236}">
              <a16:creationId xmlns:a16="http://schemas.microsoft.com/office/drawing/2014/main" id="{806ACAE6-A4B3-CB82-A6E4-A32B9734FD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79963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1050</xdr:row>
      <xdr:rowOff>760942</xdr:rowOff>
    </xdr:from>
    <xdr:to>
      <xdr:col>0</xdr:col>
      <xdr:colOff>871538</xdr:colOff>
      <xdr:row>1051</xdr:row>
      <xdr:rowOff>760942</xdr:rowOff>
    </xdr:to>
    <xdr:pic>
      <xdr:nvPicPr>
        <xdr:cNvPr id="3141" name="Obraz 3140">
          <a:extLst>
            <a:ext uri="{FF2B5EF4-FFF2-40B4-BE49-F238E27FC236}">
              <a16:creationId xmlns:a16="http://schemas.microsoft.com/office/drawing/2014/main" id="{E4BDC8EB-548A-0BF3-6A95-2499C7D918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039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1051</xdr:row>
      <xdr:rowOff>760942</xdr:rowOff>
    </xdr:from>
    <xdr:to>
      <xdr:col>0</xdr:col>
      <xdr:colOff>871538</xdr:colOff>
      <xdr:row>1052</xdr:row>
      <xdr:rowOff>760942</xdr:rowOff>
    </xdr:to>
    <xdr:pic>
      <xdr:nvPicPr>
        <xdr:cNvPr id="3143" name="Obraz 3142">
          <a:extLst>
            <a:ext uri="{FF2B5EF4-FFF2-40B4-BE49-F238E27FC236}">
              <a16:creationId xmlns:a16="http://schemas.microsoft.com/office/drawing/2014/main" id="{FE41F5A2-3CAD-0490-DCB3-35303903D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115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1052</xdr:row>
      <xdr:rowOff>760942</xdr:rowOff>
    </xdr:from>
    <xdr:to>
      <xdr:col>0</xdr:col>
      <xdr:colOff>871538</xdr:colOff>
      <xdr:row>1053</xdr:row>
      <xdr:rowOff>760942</xdr:rowOff>
    </xdr:to>
    <xdr:pic>
      <xdr:nvPicPr>
        <xdr:cNvPr id="3145" name="Obraz 3144">
          <a:extLst>
            <a:ext uri="{FF2B5EF4-FFF2-40B4-BE49-F238E27FC236}">
              <a16:creationId xmlns:a16="http://schemas.microsoft.com/office/drawing/2014/main" id="{5821A1F9-E86E-9DD8-DB91-0C6C0D41D8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191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1053</xdr:row>
      <xdr:rowOff>760942</xdr:rowOff>
    </xdr:from>
    <xdr:to>
      <xdr:col>0</xdr:col>
      <xdr:colOff>871538</xdr:colOff>
      <xdr:row>1054</xdr:row>
      <xdr:rowOff>760942</xdr:rowOff>
    </xdr:to>
    <xdr:pic>
      <xdr:nvPicPr>
        <xdr:cNvPr id="3147" name="Obraz 3146">
          <a:extLst>
            <a:ext uri="{FF2B5EF4-FFF2-40B4-BE49-F238E27FC236}">
              <a16:creationId xmlns:a16="http://schemas.microsoft.com/office/drawing/2014/main" id="{32823BB2-A1A4-5938-CE3D-2E5C03E6F1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268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1054</xdr:row>
      <xdr:rowOff>760942</xdr:rowOff>
    </xdr:from>
    <xdr:to>
      <xdr:col>0</xdr:col>
      <xdr:colOff>871538</xdr:colOff>
      <xdr:row>1055</xdr:row>
      <xdr:rowOff>760942</xdr:rowOff>
    </xdr:to>
    <xdr:pic>
      <xdr:nvPicPr>
        <xdr:cNvPr id="3149" name="Obraz 3148">
          <a:extLst>
            <a:ext uri="{FF2B5EF4-FFF2-40B4-BE49-F238E27FC236}">
              <a16:creationId xmlns:a16="http://schemas.microsoft.com/office/drawing/2014/main" id="{884FB42C-E440-C576-F674-C150720D43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344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1055</xdr:row>
      <xdr:rowOff>760942</xdr:rowOff>
    </xdr:from>
    <xdr:to>
      <xdr:col>0</xdr:col>
      <xdr:colOff>871538</xdr:colOff>
      <xdr:row>1056</xdr:row>
      <xdr:rowOff>760942</xdr:rowOff>
    </xdr:to>
    <xdr:pic>
      <xdr:nvPicPr>
        <xdr:cNvPr id="3151" name="Obraz 3150">
          <a:extLst>
            <a:ext uri="{FF2B5EF4-FFF2-40B4-BE49-F238E27FC236}">
              <a16:creationId xmlns:a16="http://schemas.microsoft.com/office/drawing/2014/main" id="{CC192259-BA45-E671-0E45-3F0AD19EA3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420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1056</xdr:row>
      <xdr:rowOff>760942</xdr:rowOff>
    </xdr:from>
    <xdr:to>
      <xdr:col>0</xdr:col>
      <xdr:colOff>871538</xdr:colOff>
      <xdr:row>1057</xdr:row>
      <xdr:rowOff>760942</xdr:rowOff>
    </xdr:to>
    <xdr:pic>
      <xdr:nvPicPr>
        <xdr:cNvPr id="3153" name="Obraz 3152">
          <a:extLst>
            <a:ext uri="{FF2B5EF4-FFF2-40B4-BE49-F238E27FC236}">
              <a16:creationId xmlns:a16="http://schemas.microsoft.com/office/drawing/2014/main" id="{67BC7081-5502-B494-A695-EECF605DB4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496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1057</xdr:row>
      <xdr:rowOff>760942</xdr:rowOff>
    </xdr:from>
    <xdr:to>
      <xdr:col>0</xdr:col>
      <xdr:colOff>871538</xdr:colOff>
      <xdr:row>1058</xdr:row>
      <xdr:rowOff>760942</xdr:rowOff>
    </xdr:to>
    <xdr:pic>
      <xdr:nvPicPr>
        <xdr:cNvPr id="3155" name="Obraz 3154">
          <a:extLst>
            <a:ext uri="{FF2B5EF4-FFF2-40B4-BE49-F238E27FC236}">
              <a16:creationId xmlns:a16="http://schemas.microsoft.com/office/drawing/2014/main" id="{1C9CE860-0A31-1E0E-4562-755BCFA9EF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572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1058</xdr:row>
      <xdr:rowOff>760942</xdr:rowOff>
    </xdr:from>
    <xdr:to>
      <xdr:col>0</xdr:col>
      <xdr:colOff>871538</xdr:colOff>
      <xdr:row>1059</xdr:row>
      <xdr:rowOff>760942</xdr:rowOff>
    </xdr:to>
    <xdr:pic>
      <xdr:nvPicPr>
        <xdr:cNvPr id="3157" name="Obraz 3156">
          <a:extLst>
            <a:ext uri="{FF2B5EF4-FFF2-40B4-BE49-F238E27FC236}">
              <a16:creationId xmlns:a16="http://schemas.microsoft.com/office/drawing/2014/main" id="{0E8F825C-B804-8476-597A-CCC6CF1A44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649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1059</xdr:row>
      <xdr:rowOff>760942</xdr:rowOff>
    </xdr:from>
    <xdr:to>
      <xdr:col>0</xdr:col>
      <xdr:colOff>871538</xdr:colOff>
      <xdr:row>1060</xdr:row>
      <xdr:rowOff>760942</xdr:rowOff>
    </xdr:to>
    <xdr:pic>
      <xdr:nvPicPr>
        <xdr:cNvPr id="3159" name="Obraz 3158">
          <a:extLst>
            <a:ext uri="{FF2B5EF4-FFF2-40B4-BE49-F238E27FC236}">
              <a16:creationId xmlns:a16="http://schemas.microsoft.com/office/drawing/2014/main" id="{9C572059-AE5E-9B88-E323-EA7B8E7EAB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725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1061</xdr:row>
      <xdr:rowOff>760942</xdr:rowOff>
    </xdr:from>
    <xdr:to>
      <xdr:col>0</xdr:col>
      <xdr:colOff>871538</xdr:colOff>
      <xdr:row>1062</xdr:row>
      <xdr:rowOff>760942</xdr:rowOff>
    </xdr:to>
    <xdr:pic>
      <xdr:nvPicPr>
        <xdr:cNvPr id="3161" name="Obraz 3160">
          <a:extLst>
            <a:ext uri="{FF2B5EF4-FFF2-40B4-BE49-F238E27FC236}">
              <a16:creationId xmlns:a16="http://schemas.microsoft.com/office/drawing/2014/main" id="{ECA4651B-F980-EB2C-C571-50382EB07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877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1062</xdr:row>
      <xdr:rowOff>760942</xdr:rowOff>
    </xdr:from>
    <xdr:to>
      <xdr:col>0</xdr:col>
      <xdr:colOff>871538</xdr:colOff>
      <xdr:row>1063</xdr:row>
      <xdr:rowOff>760942</xdr:rowOff>
    </xdr:to>
    <xdr:pic>
      <xdr:nvPicPr>
        <xdr:cNvPr id="3163" name="Obraz 3162">
          <a:extLst>
            <a:ext uri="{FF2B5EF4-FFF2-40B4-BE49-F238E27FC236}">
              <a16:creationId xmlns:a16="http://schemas.microsoft.com/office/drawing/2014/main" id="{C0BAF4EF-6995-BB52-6C7A-06F67E44AB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0953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1063</xdr:row>
      <xdr:rowOff>760942</xdr:rowOff>
    </xdr:from>
    <xdr:to>
      <xdr:col>0</xdr:col>
      <xdr:colOff>871538</xdr:colOff>
      <xdr:row>1064</xdr:row>
      <xdr:rowOff>760942</xdr:rowOff>
    </xdr:to>
    <xdr:pic>
      <xdr:nvPicPr>
        <xdr:cNvPr id="3165" name="Obraz 3164">
          <a:extLst>
            <a:ext uri="{FF2B5EF4-FFF2-40B4-BE49-F238E27FC236}">
              <a16:creationId xmlns:a16="http://schemas.microsoft.com/office/drawing/2014/main" id="{D544B850-F27A-076A-7368-03AC81552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030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1064</xdr:row>
      <xdr:rowOff>760942</xdr:rowOff>
    </xdr:from>
    <xdr:to>
      <xdr:col>0</xdr:col>
      <xdr:colOff>871538</xdr:colOff>
      <xdr:row>1065</xdr:row>
      <xdr:rowOff>760942</xdr:rowOff>
    </xdr:to>
    <xdr:pic>
      <xdr:nvPicPr>
        <xdr:cNvPr id="3167" name="Obraz 3166">
          <a:extLst>
            <a:ext uri="{FF2B5EF4-FFF2-40B4-BE49-F238E27FC236}">
              <a16:creationId xmlns:a16="http://schemas.microsoft.com/office/drawing/2014/main" id="{8E3BDAD6-A27F-B1CB-4456-2E8BC2143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106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1065</xdr:row>
      <xdr:rowOff>760942</xdr:rowOff>
    </xdr:from>
    <xdr:to>
      <xdr:col>0</xdr:col>
      <xdr:colOff>871538</xdr:colOff>
      <xdr:row>1066</xdr:row>
      <xdr:rowOff>760942</xdr:rowOff>
    </xdr:to>
    <xdr:pic>
      <xdr:nvPicPr>
        <xdr:cNvPr id="3169" name="Obraz 3168">
          <a:extLst>
            <a:ext uri="{FF2B5EF4-FFF2-40B4-BE49-F238E27FC236}">
              <a16:creationId xmlns:a16="http://schemas.microsoft.com/office/drawing/2014/main" id="{D78E2CD1-E78E-854E-B50D-1AD474F0FC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182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1066</xdr:row>
      <xdr:rowOff>760942</xdr:rowOff>
    </xdr:from>
    <xdr:to>
      <xdr:col>0</xdr:col>
      <xdr:colOff>871538</xdr:colOff>
      <xdr:row>1067</xdr:row>
      <xdr:rowOff>760942</xdr:rowOff>
    </xdr:to>
    <xdr:pic>
      <xdr:nvPicPr>
        <xdr:cNvPr id="3171" name="Obraz 3170">
          <a:extLst>
            <a:ext uri="{FF2B5EF4-FFF2-40B4-BE49-F238E27FC236}">
              <a16:creationId xmlns:a16="http://schemas.microsoft.com/office/drawing/2014/main" id="{6E285943-00FD-E178-D8E7-FC5C431C1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258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1067</xdr:row>
      <xdr:rowOff>760942</xdr:rowOff>
    </xdr:from>
    <xdr:to>
      <xdr:col>0</xdr:col>
      <xdr:colOff>871538</xdr:colOff>
      <xdr:row>1068</xdr:row>
      <xdr:rowOff>760942</xdr:rowOff>
    </xdr:to>
    <xdr:pic>
      <xdr:nvPicPr>
        <xdr:cNvPr id="3173" name="Obraz 3172">
          <a:extLst>
            <a:ext uri="{FF2B5EF4-FFF2-40B4-BE49-F238E27FC236}">
              <a16:creationId xmlns:a16="http://schemas.microsoft.com/office/drawing/2014/main" id="{CB77F01E-4832-9AA0-5582-6747906458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334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1068</xdr:row>
      <xdr:rowOff>760942</xdr:rowOff>
    </xdr:from>
    <xdr:to>
      <xdr:col>0</xdr:col>
      <xdr:colOff>871538</xdr:colOff>
      <xdr:row>1069</xdr:row>
      <xdr:rowOff>760942</xdr:rowOff>
    </xdr:to>
    <xdr:pic>
      <xdr:nvPicPr>
        <xdr:cNvPr id="3175" name="Obraz 3174">
          <a:extLst>
            <a:ext uri="{FF2B5EF4-FFF2-40B4-BE49-F238E27FC236}">
              <a16:creationId xmlns:a16="http://schemas.microsoft.com/office/drawing/2014/main" id="{11B1C63C-8BDF-E22B-F4B3-825026BBC3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411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1069</xdr:row>
      <xdr:rowOff>760942</xdr:rowOff>
    </xdr:from>
    <xdr:to>
      <xdr:col>0</xdr:col>
      <xdr:colOff>871538</xdr:colOff>
      <xdr:row>1070</xdr:row>
      <xdr:rowOff>760942</xdr:rowOff>
    </xdr:to>
    <xdr:pic>
      <xdr:nvPicPr>
        <xdr:cNvPr id="3177" name="Obraz 3176">
          <a:extLst>
            <a:ext uri="{FF2B5EF4-FFF2-40B4-BE49-F238E27FC236}">
              <a16:creationId xmlns:a16="http://schemas.microsoft.com/office/drawing/2014/main" id="{F0F428EC-96F8-6008-CFBE-1CD09F7FFD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487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1070</xdr:row>
      <xdr:rowOff>760942</xdr:rowOff>
    </xdr:from>
    <xdr:to>
      <xdr:col>0</xdr:col>
      <xdr:colOff>871538</xdr:colOff>
      <xdr:row>1071</xdr:row>
      <xdr:rowOff>760942</xdr:rowOff>
    </xdr:to>
    <xdr:pic>
      <xdr:nvPicPr>
        <xdr:cNvPr id="3179" name="Obraz 3178">
          <a:extLst>
            <a:ext uri="{FF2B5EF4-FFF2-40B4-BE49-F238E27FC236}">
              <a16:creationId xmlns:a16="http://schemas.microsoft.com/office/drawing/2014/main" id="{ED274487-C656-CB9E-2F0E-791685ECCF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563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1071</xdr:row>
      <xdr:rowOff>760942</xdr:rowOff>
    </xdr:from>
    <xdr:to>
      <xdr:col>0</xdr:col>
      <xdr:colOff>871538</xdr:colOff>
      <xdr:row>1072</xdr:row>
      <xdr:rowOff>760942</xdr:rowOff>
    </xdr:to>
    <xdr:pic>
      <xdr:nvPicPr>
        <xdr:cNvPr id="3181" name="Obraz 3180">
          <a:extLst>
            <a:ext uri="{FF2B5EF4-FFF2-40B4-BE49-F238E27FC236}">
              <a16:creationId xmlns:a16="http://schemas.microsoft.com/office/drawing/2014/main" id="{D0549865-BD55-009E-B7FC-591869E3AE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639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1072</xdr:row>
      <xdr:rowOff>760942</xdr:rowOff>
    </xdr:from>
    <xdr:to>
      <xdr:col>0</xdr:col>
      <xdr:colOff>871538</xdr:colOff>
      <xdr:row>1073</xdr:row>
      <xdr:rowOff>760942</xdr:rowOff>
    </xdr:to>
    <xdr:pic>
      <xdr:nvPicPr>
        <xdr:cNvPr id="3183" name="Obraz 3182">
          <a:extLst>
            <a:ext uri="{FF2B5EF4-FFF2-40B4-BE49-F238E27FC236}">
              <a16:creationId xmlns:a16="http://schemas.microsoft.com/office/drawing/2014/main" id="{185DEC47-F121-5BD2-73E4-BD77024F2B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715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1073</xdr:row>
      <xdr:rowOff>760942</xdr:rowOff>
    </xdr:from>
    <xdr:to>
      <xdr:col>0</xdr:col>
      <xdr:colOff>871538</xdr:colOff>
      <xdr:row>1074</xdr:row>
      <xdr:rowOff>760942</xdr:rowOff>
    </xdr:to>
    <xdr:pic>
      <xdr:nvPicPr>
        <xdr:cNvPr id="3185" name="Obraz 3184">
          <a:extLst>
            <a:ext uri="{FF2B5EF4-FFF2-40B4-BE49-F238E27FC236}">
              <a16:creationId xmlns:a16="http://schemas.microsoft.com/office/drawing/2014/main" id="{105B2D71-98BA-8E9F-83A7-75E982014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792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1074</xdr:row>
      <xdr:rowOff>760942</xdr:rowOff>
    </xdr:from>
    <xdr:to>
      <xdr:col>0</xdr:col>
      <xdr:colOff>871538</xdr:colOff>
      <xdr:row>1075</xdr:row>
      <xdr:rowOff>760942</xdr:rowOff>
    </xdr:to>
    <xdr:pic>
      <xdr:nvPicPr>
        <xdr:cNvPr id="3187" name="Obraz 3186">
          <a:extLst>
            <a:ext uri="{FF2B5EF4-FFF2-40B4-BE49-F238E27FC236}">
              <a16:creationId xmlns:a16="http://schemas.microsoft.com/office/drawing/2014/main" id="{8EB1C94F-E8C6-0D3B-CF44-A90CEB7EF5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868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1075</xdr:row>
      <xdr:rowOff>760942</xdr:rowOff>
    </xdr:from>
    <xdr:to>
      <xdr:col>0</xdr:col>
      <xdr:colOff>871538</xdr:colOff>
      <xdr:row>1076</xdr:row>
      <xdr:rowOff>760942</xdr:rowOff>
    </xdr:to>
    <xdr:pic>
      <xdr:nvPicPr>
        <xdr:cNvPr id="3189" name="Obraz 3188">
          <a:extLst>
            <a:ext uri="{FF2B5EF4-FFF2-40B4-BE49-F238E27FC236}">
              <a16:creationId xmlns:a16="http://schemas.microsoft.com/office/drawing/2014/main" id="{25A86073-346E-409F-E854-C77E89B17F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1944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1076</xdr:row>
      <xdr:rowOff>760942</xdr:rowOff>
    </xdr:from>
    <xdr:to>
      <xdr:col>0</xdr:col>
      <xdr:colOff>871538</xdr:colOff>
      <xdr:row>1077</xdr:row>
      <xdr:rowOff>760942</xdr:rowOff>
    </xdr:to>
    <xdr:pic>
      <xdr:nvPicPr>
        <xdr:cNvPr id="3191" name="Obraz 3190">
          <a:extLst>
            <a:ext uri="{FF2B5EF4-FFF2-40B4-BE49-F238E27FC236}">
              <a16:creationId xmlns:a16="http://schemas.microsoft.com/office/drawing/2014/main" id="{5F9A0478-8286-BFFF-B487-225171E56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020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1077</xdr:row>
      <xdr:rowOff>760942</xdr:rowOff>
    </xdr:from>
    <xdr:to>
      <xdr:col>0</xdr:col>
      <xdr:colOff>871538</xdr:colOff>
      <xdr:row>1078</xdr:row>
      <xdr:rowOff>760942</xdr:rowOff>
    </xdr:to>
    <xdr:pic>
      <xdr:nvPicPr>
        <xdr:cNvPr id="3193" name="Obraz 3192">
          <a:extLst>
            <a:ext uri="{FF2B5EF4-FFF2-40B4-BE49-F238E27FC236}">
              <a16:creationId xmlns:a16="http://schemas.microsoft.com/office/drawing/2014/main" id="{F36F46C2-7CD9-DD44-53DB-5C562783C9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096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1078</xdr:row>
      <xdr:rowOff>760942</xdr:rowOff>
    </xdr:from>
    <xdr:to>
      <xdr:col>0</xdr:col>
      <xdr:colOff>871538</xdr:colOff>
      <xdr:row>1079</xdr:row>
      <xdr:rowOff>760942</xdr:rowOff>
    </xdr:to>
    <xdr:pic>
      <xdr:nvPicPr>
        <xdr:cNvPr id="3195" name="Obraz 3194">
          <a:extLst>
            <a:ext uri="{FF2B5EF4-FFF2-40B4-BE49-F238E27FC236}">
              <a16:creationId xmlns:a16="http://schemas.microsoft.com/office/drawing/2014/main" id="{E679C186-08C3-6AB2-2334-21DF72C676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173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1079</xdr:row>
      <xdr:rowOff>760942</xdr:rowOff>
    </xdr:from>
    <xdr:to>
      <xdr:col>0</xdr:col>
      <xdr:colOff>871538</xdr:colOff>
      <xdr:row>1080</xdr:row>
      <xdr:rowOff>760942</xdr:rowOff>
    </xdr:to>
    <xdr:pic>
      <xdr:nvPicPr>
        <xdr:cNvPr id="3197" name="Obraz 3196">
          <a:extLst>
            <a:ext uri="{FF2B5EF4-FFF2-40B4-BE49-F238E27FC236}">
              <a16:creationId xmlns:a16="http://schemas.microsoft.com/office/drawing/2014/main" id="{1A9F9B21-E289-E7E6-BAFB-DBDC9B3AD1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249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1080</xdr:row>
      <xdr:rowOff>760942</xdr:rowOff>
    </xdr:from>
    <xdr:to>
      <xdr:col>0</xdr:col>
      <xdr:colOff>871538</xdr:colOff>
      <xdr:row>1081</xdr:row>
      <xdr:rowOff>760942</xdr:rowOff>
    </xdr:to>
    <xdr:pic>
      <xdr:nvPicPr>
        <xdr:cNvPr id="3199" name="Obraz 3198">
          <a:extLst>
            <a:ext uri="{FF2B5EF4-FFF2-40B4-BE49-F238E27FC236}">
              <a16:creationId xmlns:a16="http://schemas.microsoft.com/office/drawing/2014/main" id="{0BE4370D-E35B-20DC-55B1-47DBE53F22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325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1081</xdr:row>
      <xdr:rowOff>760942</xdr:rowOff>
    </xdr:from>
    <xdr:to>
      <xdr:col>0</xdr:col>
      <xdr:colOff>871538</xdr:colOff>
      <xdr:row>1082</xdr:row>
      <xdr:rowOff>760942</xdr:rowOff>
    </xdr:to>
    <xdr:pic>
      <xdr:nvPicPr>
        <xdr:cNvPr id="3201" name="Obraz 3200">
          <a:extLst>
            <a:ext uri="{FF2B5EF4-FFF2-40B4-BE49-F238E27FC236}">
              <a16:creationId xmlns:a16="http://schemas.microsoft.com/office/drawing/2014/main" id="{72E4ED18-DFEF-65BA-84DD-A73889EAC7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401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1082</xdr:row>
      <xdr:rowOff>760942</xdr:rowOff>
    </xdr:from>
    <xdr:to>
      <xdr:col>0</xdr:col>
      <xdr:colOff>871538</xdr:colOff>
      <xdr:row>1083</xdr:row>
      <xdr:rowOff>760942</xdr:rowOff>
    </xdr:to>
    <xdr:pic>
      <xdr:nvPicPr>
        <xdr:cNvPr id="3203" name="Obraz 3202">
          <a:extLst>
            <a:ext uri="{FF2B5EF4-FFF2-40B4-BE49-F238E27FC236}">
              <a16:creationId xmlns:a16="http://schemas.microsoft.com/office/drawing/2014/main" id="{E34BDD78-8BD1-9E10-ED81-4E7AA9357C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477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1083</xdr:row>
      <xdr:rowOff>760942</xdr:rowOff>
    </xdr:from>
    <xdr:to>
      <xdr:col>0</xdr:col>
      <xdr:colOff>871538</xdr:colOff>
      <xdr:row>1084</xdr:row>
      <xdr:rowOff>760942</xdr:rowOff>
    </xdr:to>
    <xdr:pic>
      <xdr:nvPicPr>
        <xdr:cNvPr id="3205" name="Obraz 3204">
          <a:extLst>
            <a:ext uri="{FF2B5EF4-FFF2-40B4-BE49-F238E27FC236}">
              <a16:creationId xmlns:a16="http://schemas.microsoft.com/office/drawing/2014/main" id="{88BF72D4-C17C-9A19-EFEF-EAF7A9B607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554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1084</xdr:row>
      <xdr:rowOff>760942</xdr:rowOff>
    </xdr:from>
    <xdr:to>
      <xdr:col>0</xdr:col>
      <xdr:colOff>871538</xdr:colOff>
      <xdr:row>1085</xdr:row>
      <xdr:rowOff>760942</xdr:rowOff>
    </xdr:to>
    <xdr:pic>
      <xdr:nvPicPr>
        <xdr:cNvPr id="3207" name="Obraz 3206">
          <a:extLst>
            <a:ext uri="{FF2B5EF4-FFF2-40B4-BE49-F238E27FC236}">
              <a16:creationId xmlns:a16="http://schemas.microsoft.com/office/drawing/2014/main" id="{6A5B0A32-A724-A032-07C2-A8B6F9B20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630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1085</xdr:row>
      <xdr:rowOff>760942</xdr:rowOff>
    </xdr:from>
    <xdr:to>
      <xdr:col>0</xdr:col>
      <xdr:colOff>871538</xdr:colOff>
      <xdr:row>1086</xdr:row>
      <xdr:rowOff>760942</xdr:rowOff>
    </xdr:to>
    <xdr:pic>
      <xdr:nvPicPr>
        <xdr:cNvPr id="3209" name="Obraz 3208">
          <a:extLst>
            <a:ext uri="{FF2B5EF4-FFF2-40B4-BE49-F238E27FC236}">
              <a16:creationId xmlns:a16="http://schemas.microsoft.com/office/drawing/2014/main" id="{1B672816-036A-17E1-A5E6-2A9735670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706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1086</xdr:row>
      <xdr:rowOff>760942</xdr:rowOff>
    </xdr:from>
    <xdr:to>
      <xdr:col>0</xdr:col>
      <xdr:colOff>871538</xdr:colOff>
      <xdr:row>1087</xdr:row>
      <xdr:rowOff>760942</xdr:rowOff>
    </xdr:to>
    <xdr:pic>
      <xdr:nvPicPr>
        <xdr:cNvPr id="3211" name="Obraz 3210">
          <a:extLst>
            <a:ext uri="{FF2B5EF4-FFF2-40B4-BE49-F238E27FC236}">
              <a16:creationId xmlns:a16="http://schemas.microsoft.com/office/drawing/2014/main" id="{476010D8-5832-EFFE-D00A-FA8E6C872D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782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1087</xdr:row>
      <xdr:rowOff>760942</xdr:rowOff>
    </xdr:from>
    <xdr:to>
      <xdr:col>0</xdr:col>
      <xdr:colOff>871538</xdr:colOff>
      <xdr:row>1088</xdr:row>
      <xdr:rowOff>760942</xdr:rowOff>
    </xdr:to>
    <xdr:pic>
      <xdr:nvPicPr>
        <xdr:cNvPr id="3213" name="Obraz 3212">
          <a:extLst>
            <a:ext uri="{FF2B5EF4-FFF2-40B4-BE49-F238E27FC236}">
              <a16:creationId xmlns:a16="http://schemas.microsoft.com/office/drawing/2014/main" id="{5014AB0D-5D1D-9131-02AA-446C1B3AEC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858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1088</xdr:row>
      <xdr:rowOff>760942</xdr:rowOff>
    </xdr:from>
    <xdr:to>
      <xdr:col>0</xdr:col>
      <xdr:colOff>871538</xdr:colOff>
      <xdr:row>1089</xdr:row>
      <xdr:rowOff>760942</xdr:rowOff>
    </xdr:to>
    <xdr:pic>
      <xdr:nvPicPr>
        <xdr:cNvPr id="3215" name="Obraz 3214">
          <a:extLst>
            <a:ext uri="{FF2B5EF4-FFF2-40B4-BE49-F238E27FC236}">
              <a16:creationId xmlns:a16="http://schemas.microsoft.com/office/drawing/2014/main" id="{7C044DA5-18DB-FF56-6686-9662D0A573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2935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1089</xdr:row>
      <xdr:rowOff>760942</xdr:rowOff>
    </xdr:from>
    <xdr:to>
      <xdr:col>0</xdr:col>
      <xdr:colOff>871538</xdr:colOff>
      <xdr:row>1090</xdr:row>
      <xdr:rowOff>760942</xdr:rowOff>
    </xdr:to>
    <xdr:pic>
      <xdr:nvPicPr>
        <xdr:cNvPr id="3217" name="Obraz 3216">
          <a:extLst>
            <a:ext uri="{FF2B5EF4-FFF2-40B4-BE49-F238E27FC236}">
              <a16:creationId xmlns:a16="http://schemas.microsoft.com/office/drawing/2014/main" id="{34BA7527-B57C-0860-BCEE-90A368F182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011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1090</xdr:row>
      <xdr:rowOff>760942</xdr:rowOff>
    </xdr:from>
    <xdr:to>
      <xdr:col>0</xdr:col>
      <xdr:colOff>871538</xdr:colOff>
      <xdr:row>1091</xdr:row>
      <xdr:rowOff>760942</xdr:rowOff>
    </xdr:to>
    <xdr:pic>
      <xdr:nvPicPr>
        <xdr:cNvPr id="3219" name="Obraz 3218">
          <a:extLst>
            <a:ext uri="{FF2B5EF4-FFF2-40B4-BE49-F238E27FC236}">
              <a16:creationId xmlns:a16="http://schemas.microsoft.com/office/drawing/2014/main" id="{D62D5D17-C1A9-DF60-7D55-B5B3EA5507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087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1091</xdr:row>
      <xdr:rowOff>760942</xdr:rowOff>
    </xdr:from>
    <xdr:to>
      <xdr:col>0</xdr:col>
      <xdr:colOff>871538</xdr:colOff>
      <xdr:row>1092</xdr:row>
      <xdr:rowOff>760942</xdr:rowOff>
    </xdr:to>
    <xdr:pic>
      <xdr:nvPicPr>
        <xdr:cNvPr id="3221" name="Obraz 3220">
          <a:extLst>
            <a:ext uri="{FF2B5EF4-FFF2-40B4-BE49-F238E27FC236}">
              <a16:creationId xmlns:a16="http://schemas.microsoft.com/office/drawing/2014/main" id="{D471883D-8E61-855B-6C60-63E9917EB5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163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1092</xdr:row>
      <xdr:rowOff>760942</xdr:rowOff>
    </xdr:from>
    <xdr:to>
      <xdr:col>0</xdr:col>
      <xdr:colOff>871538</xdr:colOff>
      <xdr:row>1093</xdr:row>
      <xdr:rowOff>760942</xdr:rowOff>
    </xdr:to>
    <xdr:pic>
      <xdr:nvPicPr>
        <xdr:cNvPr id="3223" name="Obraz 3222">
          <a:extLst>
            <a:ext uri="{FF2B5EF4-FFF2-40B4-BE49-F238E27FC236}">
              <a16:creationId xmlns:a16="http://schemas.microsoft.com/office/drawing/2014/main" id="{3D7A102A-725F-B012-FD6C-7F3E62033C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239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1093</xdr:row>
      <xdr:rowOff>760942</xdr:rowOff>
    </xdr:from>
    <xdr:to>
      <xdr:col>0</xdr:col>
      <xdr:colOff>871538</xdr:colOff>
      <xdr:row>1094</xdr:row>
      <xdr:rowOff>760942</xdr:rowOff>
    </xdr:to>
    <xdr:pic>
      <xdr:nvPicPr>
        <xdr:cNvPr id="3225" name="Obraz 3224">
          <a:extLst>
            <a:ext uri="{FF2B5EF4-FFF2-40B4-BE49-F238E27FC236}">
              <a16:creationId xmlns:a16="http://schemas.microsoft.com/office/drawing/2014/main" id="{5C70C64D-ED04-19B3-E38D-9AC7C5CB69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316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1094</xdr:row>
      <xdr:rowOff>760942</xdr:rowOff>
    </xdr:from>
    <xdr:to>
      <xdr:col>0</xdr:col>
      <xdr:colOff>871538</xdr:colOff>
      <xdr:row>1095</xdr:row>
      <xdr:rowOff>760942</xdr:rowOff>
    </xdr:to>
    <xdr:pic>
      <xdr:nvPicPr>
        <xdr:cNvPr id="3227" name="Obraz 3226">
          <a:extLst>
            <a:ext uri="{FF2B5EF4-FFF2-40B4-BE49-F238E27FC236}">
              <a16:creationId xmlns:a16="http://schemas.microsoft.com/office/drawing/2014/main" id="{5AE21FC4-167E-0E31-FB59-3AA906F16A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3923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1095</xdr:row>
      <xdr:rowOff>760942</xdr:rowOff>
    </xdr:from>
    <xdr:to>
      <xdr:col>0</xdr:col>
      <xdr:colOff>871538</xdr:colOff>
      <xdr:row>1096</xdr:row>
      <xdr:rowOff>760942</xdr:rowOff>
    </xdr:to>
    <xdr:pic>
      <xdr:nvPicPr>
        <xdr:cNvPr id="3229" name="Obraz 3228">
          <a:extLst>
            <a:ext uri="{FF2B5EF4-FFF2-40B4-BE49-F238E27FC236}">
              <a16:creationId xmlns:a16="http://schemas.microsoft.com/office/drawing/2014/main" id="{D6A9B744-80C3-19C8-8E95-D437091BB6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4685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1096</xdr:row>
      <xdr:rowOff>760942</xdr:rowOff>
    </xdr:from>
    <xdr:to>
      <xdr:col>0</xdr:col>
      <xdr:colOff>871538</xdr:colOff>
      <xdr:row>1097</xdr:row>
      <xdr:rowOff>760942</xdr:rowOff>
    </xdr:to>
    <xdr:pic>
      <xdr:nvPicPr>
        <xdr:cNvPr id="3231" name="Obraz 3230">
          <a:extLst>
            <a:ext uri="{FF2B5EF4-FFF2-40B4-BE49-F238E27FC236}">
              <a16:creationId xmlns:a16="http://schemas.microsoft.com/office/drawing/2014/main" id="{7CFE17CF-541D-EFCD-5D03-F349D09180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5447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1097</xdr:row>
      <xdr:rowOff>760942</xdr:rowOff>
    </xdr:from>
    <xdr:to>
      <xdr:col>0</xdr:col>
      <xdr:colOff>871538</xdr:colOff>
      <xdr:row>1098</xdr:row>
      <xdr:rowOff>760942</xdr:rowOff>
    </xdr:to>
    <xdr:pic>
      <xdr:nvPicPr>
        <xdr:cNvPr id="3233" name="Obraz 3232">
          <a:extLst>
            <a:ext uri="{FF2B5EF4-FFF2-40B4-BE49-F238E27FC236}">
              <a16:creationId xmlns:a16="http://schemas.microsoft.com/office/drawing/2014/main" id="{C3507E26-BEA8-9550-0EF5-B9AAA172DB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6209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1098</xdr:row>
      <xdr:rowOff>760942</xdr:rowOff>
    </xdr:from>
    <xdr:to>
      <xdr:col>0</xdr:col>
      <xdr:colOff>871538</xdr:colOff>
      <xdr:row>1099</xdr:row>
      <xdr:rowOff>760942</xdr:rowOff>
    </xdr:to>
    <xdr:pic>
      <xdr:nvPicPr>
        <xdr:cNvPr id="3235" name="Obraz 3234">
          <a:extLst>
            <a:ext uri="{FF2B5EF4-FFF2-40B4-BE49-F238E27FC236}">
              <a16:creationId xmlns:a16="http://schemas.microsoft.com/office/drawing/2014/main" id="{6C76C452-77D3-5ACE-1732-5ABE6DE012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6971275"/>
          <a:ext cx="762000" cy="762000"/>
        </a:xfrm>
        <a:prstGeom prst="rect">
          <a:avLst/>
        </a:prstGeom>
      </xdr:spPr>
    </xdr:pic>
    <xdr:clientData/>
  </xdr:twoCellAnchor>
  <xdr:twoCellAnchor>
    <xdr:from>
      <xdr:col>0</xdr:col>
      <xdr:colOff>109538</xdr:colOff>
      <xdr:row>1101</xdr:row>
      <xdr:rowOff>760942</xdr:rowOff>
    </xdr:from>
    <xdr:to>
      <xdr:col>0</xdr:col>
      <xdr:colOff>871538</xdr:colOff>
      <xdr:row>1102</xdr:row>
      <xdr:rowOff>760942</xdr:rowOff>
    </xdr:to>
    <xdr:pic>
      <xdr:nvPicPr>
        <xdr:cNvPr id="3237" name="Obraz 3236">
          <a:extLst>
            <a:ext uri="{FF2B5EF4-FFF2-40B4-BE49-F238E27FC236}">
              <a16:creationId xmlns:a16="http://schemas.microsoft.com/office/drawing/2014/main" id="{F6E8906C-F68F-412D-75EC-E64986BB7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" y="839257275"/>
          <a:ext cx="762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10586</xdr:colOff>
      <xdr:row>1100</xdr:row>
      <xdr:rowOff>158751</xdr:rowOff>
    </xdr:from>
    <xdr:to>
      <xdr:col>0</xdr:col>
      <xdr:colOff>949645</xdr:colOff>
      <xdr:row>1101</xdr:row>
      <xdr:rowOff>151677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9FC492B-A8B0-EB15-7C6A-D3AA35D8A9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42" t="18483" r="16031" b="21925"/>
        <a:stretch>
          <a:fillRect/>
        </a:stretch>
      </xdr:blipFill>
      <xdr:spPr bwMode="auto">
        <a:xfrm>
          <a:off x="10586" y="837893084"/>
          <a:ext cx="939059" cy="754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1101</xdr:row>
      <xdr:rowOff>211667</xdr:rowOff>
    </xdr:from>
    <xdr:to>
      <xdr:col>0</xdr:col>
      <xdr:colOff>957150</xdr:colOff>
      <xdr:row>1102</xdr:row>
      <xdr:rowOff>106947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8B87A0A0-29B9-5E5C-5336-A501752E5A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17" t="24106" r="14128" b="24010"/>
        <a:stretch>
          <a:fillRect/>
        </a:stretch>
      </xdr:blipFill>
      <xdr:spPr bwMode="auto">
        <a:xfrm>
          <a:off x="0" y="838708000"/>
          <a:ext cx="957150" cy="657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2D633785-351D-47E3-8C55-2D9D49951312}">
  <we:reference id="wa200003696" version="1.3.0.0" store="pl-PL" storeType="OMEX"/>
  <we:alternateReferences>
    <we:reference id="wa200003696" version="1.3.0.0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_xldudf_LABS_GENERATIVEAI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obi.p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2b.kobi.pl/pl/product/13345,rozeta-sufitowa-do-led-koline-k2-czarna-kobi-pro" TargetMode="External"/><Relationship Id="rId2" Type="http://schemas.openxmlformats.org/officeDocument/2006/relationships/hyperlink" Target="https://b2b.kobi.pl/pl/product/13344,rozeta-sufitowa-do-led-koline-k2-biala-kobi-pro" TargetMode="External"/><Relationship Id="rId1" Type="http://schemas.openxmlformats.org/officeDocument/2006/relationships/hyperlink" Target="http://www.kobi.pl/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D8014-B03B-4F8E-A2B9-90C2DA1FD850}">
  <sheetPr codeName="Arkusz1"/>
  <dimension ref="B3:K47"/>
  <sheetViews>
    <sheetView showGridLines="0" workbookViewId="0">
      <selection activeCell="I17" sqref="I17"/>
    </sheetView>
  </sheetViews>
  <sheetFormatPr defaultColWidth="9.140625" defaultRowHeight="15" x14ac:dyDescent="0.25"/>
  <cols>
    <col min="1" max="1" width="2" style="1" customWidth="1"/>
    <col min="2" max="2" width="9.140625" style="1"/>
    <col min="3" max="3" width="23.5703125" style="1" bestFit="1" customWidth="1"/>
    <col min="4" max="4" width="25" style="1" bestFit="1" customWidth="1"/>
    <col min="5" max="5" width="16.140625" style="1" customWidth="1"/>
    <col min="6" max="8" width="9.140625" style="1"/>
    <col min="9" max="9" width="11.7109375" style="1" bestFit="1" customWidth="1"/>
    <col min="10" max="16384" width="9.140625" style="1"/>
  </cols>
  <sheetData>
    <row r="3" spans="3:5" x14ac:dyDescent="0.25">
      <c r="D3" s="2" t="s">
        <v>0</v>
      </c>
    </row>
    <row r="4" spans="3:5" x14ac:dyDescent="0.25">
      <c r="D4" s="2" t="s">
        <v>14</v>
      </c>
    </row>
    <row r="6" spans="3:5" x14ac:dyDescent="0.25">
      <c r="C6" s="2" t="s">
        <v>1</v>
      </c>
      <c r="D6" s="3">
        <v>46125</v>
      </c>
    </row>
    <row r="7" spans="3:5" x14ac:dyDescent="0.25">
      <c r="C7" s="2"/>
      <c r="D7" s="4"/>
    </row>
    <row r="9" spans="3:5" x14ac:dyDescent="0.25">
      <c r="C9" s="5"/>
      <c r="D9" s="6" t="s">
        <v>2</v>
      </c>
      <c r="E9" s="6" t="s">
        <v>3</v>
      </c>
    </row>
    <row r="10" spans="3:5" x14ac:dyDescent="0.25">
      <c r="C10" s="48" t="s">
        <v>12</v>
      </c>
      <c r="D10" s="7" t="s">
        <v>1455</v>
      </c>
      <c r="E10" s="8">
        <v>0</v>
      </c>
    </row>
    <row r="11" spans="3:5" x14ac:dyDescent="0.25">
      <c r="C11" s="49"/>
      <c r="D11" s="9" t="s">
        <v>1485</v>
      </c>
      <c r="E11" s="10">
        <v>0</v>
      </c>
    </row>
    <row r="12" spans="3:5" x14ac:dyDescent="0.25">
      <c r="C12" s="50"/>
      <c r="D12" s="9" t="s">
        <v>1506</v>
      </c>
      <c r="E12" s="10">
        <v>0</v>
      </c>
    </row>
    <row r="13" spans="3:5" x14ac:dyDescent="0.25">
      <c r="C13" s="47" t="s">
        <v>4</v>
      </c>
      <c r="D13" s="32" t="s">
        <v>600</v>
      </c>
      <c r="E13" s="8">
        <v>0</v>
      </c>
    </row>
    <row r="14" spans="3:5" x14ac:dyDescent="0.25">
      <c r="C14" s="47"/>
      <c r="D14" s="33" t="s">
        <v>601</v>
      </c>
      <c r="E14" s="10">
        <v>0</v>
      </c>
    </row>
    <row r="15" spans="3:5" x14ac:dyDescent="0.25">
      <c r="C15" s="47"/>
      <c r="D15" s="33" t="s">
        <v>602</v>
      </c>
      <c r="E15" s="10">
        <v>0</v>
      </c>
    </row>
    <row r="16" spans="3:5" x14ac:dyDescent="0.25">
      <c r="C16" s="47"/>
      <c r="D16" s="34" t="s">
        <v>605</v>
      </c>
      <c r="E16" s="12">
        <v>0</v>
      </c>
    </row>
    <row r="17" spans="3:11" x14ac:dyDescent="0.25">
      <c r="C17" s="47"/>
      <c r="D17" s="32" t="s">
        <v>612</v>
      </c>
      <c r="E17" s="8">
        <v>0</v>
      </c>
    </row>
    <row r="18" spans="3:11" x14ac:dyDescent="0.25">
      <c r="C18" s="47"/>
      <c r="D18" s="33" t="s">
        <v>634</v>
      </c>
      <c r="E18" s="10">
        <v>0</v>
      </c>
    </row>
    <row r="19" spans="3:11" x14ac:dyDescent="0.25">
      <c r="C19" s="47"/>
      <c r="D19" s="33" t="s">
        <v>969</v>
      </c>
      <c r="E19" s="10">
        <v>0</v>
      </c>
    </row>
    <row r="20" spans="3:11" x14ac:dyDescent="0.25">
      <c r="C20" s="47"/>
      <c r="D20" s="33" t="s">
        <v>996</v>
      </c>
      <c r="E20" s="10">
        <v>0</v>
      </c>
    </row>
    <row r="21" spans="3:11" x14ac:dyDescent="0.25">
      <c r="C21" s="47"/>
      <c r="D21" s="33" t="s">
        <v>1006</v>
      </c>
      <c r="E21" s="10">
        <v>0</v>
      </c>
      <c r="K21" s="1" t="s">
        <v>15</v>
      </c>
    </row>
    <row r="22" spans="3:11" x14ac:dyDescent="0.25">
      <c r="C22" s="47"/>
      <c r="D22" s="33" t="s">
        <v>1024</v>
      </c>
      <c r="E22" s="10">
        <v>0</v>
      </c>
    </row>
    <row r="23" spans="3:11" x14ac:dyDescent="0.25">
      <c r="C23" s="47"/>
      <c r="D23" s="33" t="s">
        <v>1048</v>
      </c>
      <c r="E23" s="10">
        <v>0</v>
      </c>
    </row>
    <row r="24" spans="3:11" x14ac:dyDescent="0.25">
      <c r="C24" s="47"/>
      <c r="D24" s="33" t="s">
        <v>1209</v>
      </c>
      <c r="E24" s="10">
        <v>0</v>
      </c>
    </row>
    <row r="25" spans="3:11" x14ac:dyDescent="0.25">
      <c r="C25" s="47"/>
      <c r="D25" s="32" t="s">
        <v>1249</v>
      </c>
      <c r="E25" s="8">
        <v>0</v>
      </c>
    </row>
    <row r="26" spans="3:11" x14ac:dyDescent="0.25">
      <c r="C26" s="47"/>
      <c r="D26" s="33" t="s">
        <v>1392</v>
      </c>
      <c r="E26" s="10">
        <v>0</v>
      </c>
    </row>
    <row r="27" spans="3:11" x14ac:dyDescent="0.25">
      <c r="C27" s="45" t="s">
        <v>5</v>
      </c>
      <c r="D27" s="9" t="s">
        <v>668</v>
      </c>
      <c r="E27" s="10">
        <v>0</v>
      </c>
    </row>
    <row r="28" spans="3:11" x14ac:dyDescent="0.25">
      <c r="C28" s="45"/>
      <c r="D28" s="9" t="s">
        <v>674</v>
      </c>
      <c r="E28" s="10">
        <v>0</v>
      </c>
    </row>
    <row r="29" spans="3:11" x14ac:dyDescent="0.25">
      <c r="C29" s="45"/>
      <c r="D29" s="11" t="s">
        <v>713</v>
      </c>
      <c r="E29" s="12">
        <v>0</v>
      </c>
    </row>
    <row r="30" spans="3:11" ht="15" customHeight="1" x14ac:dyDescent="0.25">
      <c r="C30" s="45"/>
      <c r="D30" s="9" t="s">
        <v>727</v>
      </c>
      <c r="E30" s="10">
        <v>0</v>
      </c>
    </row>
    <row r="31" spans="3:11" x14ac:dyDescent="0.25">
      <c r="C31" s="45"/>
      <c r="D31" s="11" t="s">
        <v>773</v>
      </c>
      <c r="E31" s="28">
        <v>0</v>
      </c>
    </row>
    <row r="32" spans="3:11" x14ac:dyDescent="0.25">
      <c r="C32" s="45"/>
      <c r="D32" s="7" t="s">
        <v>783</v>
      </c>
      <c r="E32" s="27">
        <v>0</v>
      </c>
    </row>
    <row r="33" spans="2:5" x14ac:dyDescent="0.25">
      <c r="C33" s="45"/>
      <c r="D33" s="9" t="s">
        <v>825</v>
      </c>
      <c r="E33" s="10">
        <v>0</v>
      </c>
    </row>
    <row r="34" spans="2:5" x14ac:dyDescent="0.25">
      <c r="C34" s="45"/>
      <c r="D34" s="9" t="s">
        <v>1156</v>
      </c>
      <c r="E34" s="10">
        <v>0</v>
      </c>
    </row>
    <row r="35" spans="2:5" x14ac:dyDescent="0.25">
      <c r="C35" s="46"/>
      <c r="D35" s="9" t="s">
        <v>1283</v>
      </c>
      <c r="E35" s="10">
        <v>0</v>
      </c>
    </row>
    <row r="36" spans="2:5" x14ac:dyDescent="0.25">
      <c r="C36" s="43" t="s">
        <v>6</v>
      </c>
      <c r="D36" s="9" t="s">
        <v>645</v>
      </c>
      <c r="E36" s="10">
        <v>0</v>
      </c>
    </row>
    <row r="37" spans="2:5" x14ac:dyDescent="0.25">
      <c r="C37" s="44"/>
      <c r="D37" s="41" t="s">
        <v>3116</v>
      </c>
      <c r="E37" s="42">
        <v>0</v>
      </c>
    </row>
    <row r="38" spans="2:5" ht="30" x14ac:dyDescent="0.25">
      <c r="C38" s="35" t="s">
        <v>2296</v>
      </c>
      <c r="D38" s="36" t="s">
        <v>2228</v>
      </c>
      <c r="E38" s="28">
        <v>0</v>
      </c>
    </row>
    <row r="39" spans="2:5" x14ac:dyDescent="0.25">
      <c r="C39" s="35"/>
      <c r="D39" s="36" t="s">
        <v>3233</v>
      </c>
      <c r="E39" s="28"/>
    </row>
    <row r="40" spans="2:5" x14ac:dyDescent="0.25">
      <c r="C40"/>
      <c r="D40"/>
      <c r="E40"/>
    </row>
    <row r="42" spans="2:5" x14ac:dyDescent="0.25">
      <c r="B42" s="16" t="s">
        <v>7</v>
      </c>
      <c r="C42" s="13"/>
      <c r="D42" s="14"/>
      <c r="E42" s="15"/>
    </row>
    <row r="43" spans="2:5" x14ac:dyDescent="0.25">
      <c r="B43" s="16" t="s">
        <v>8</v>
      </c>
    </row>
    <row r="45" spans="2:5" x14ac:dyDescent="0.25">
      <c r="B45" s="17" t="s">
        <v>9</v>
      </c>
    </row>
    <row r="47" spans="2:5" ht="18.75" x14ac:dyDescent="0.3">
      <c r="D47" s="18" t="s">
        <v>10</v>
      </c>
    </row>
  </sheetData>
  <sheetProtection algorithmName="SHA-512" hashValue="tp7OdTvEMit282IxDVNG583TcOMScIFXoE8HT3E594ScTkjKc51ZhtLiND5njjs4CElgRpZqOZxBQV6ijPvclg==" saltValue="R3I8u5q39WKhsCHR+NmDuA==" spinCount="100000" sheet="1" objects="1" scenarios="1"/>
  <mergeCells count="3">
    <mergeCell ref="C27:C35"/>
    <mergeCell ref="C13:C26"/>
    <mergeCell ref="C10:C12"/>
  </mergeCells>
  <hyperlinks>
    <hyperlink ref="D47" r:id="rId1" xr:uid="{B265435F-4BA2-4C04-B34B-0CB16EA8E372}"/>
  </hyperlinks>
  <pageMargins left="0.7" right="0.7" top="0.75" bottom="0.75" header="0.3" footer="0.3"/>
  <pageSetup paperSize="9" orientation="portrait" horizontalDpi="4294967294" verticalDpi="4294967294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0C59C-CC81-4406-80CB-055CAA8011E0}">
  <sheetPr codeName="Arkusz2"/>
  <dimension ref="A1:Y1107"/>
  <sheetViews>
    <sheetView showGridLines="0" tabSelected="1" zoomScale="90" zoomScaleNormal="90" workbookViewId="0">
      <pane ySplit="2" topLeftCell="A1098" activePane="bottomLeft" state="frozen"/>
      <selection pane="bottomLeft" activeCell="G1106" sqref="G1106"/>
    </sheetView>
  </sheetViews>
  <sheetFormatPr defaultColWidth="9.140625" defaultRowHeight="12.75" x14ac:dyDescent="0.2"/>
  <cols>
    <col min="1" max="1" width="14.7109375" style="19" customWidth="1"/>
    <col min="2" max="2" width="25.140625" style="19" bestFit="1" customWidth="1"/>
    <col min="3" max="3" width="27.85546875" style="19" bestFit="1" customWidth="1"/>
    <col min="4" max="4" width="19.42578125" style="19" bestFit="1" customWidth="1"/>
    <col min="5" max="5" width="47.85546875" style="19" bestFit="1" customWidth="1"/>
    <col min="6" max="6" width="16.5703125" style="19" bestFit="1" customWidth="1"/>
    <col min="7" max="7" width="13.5703125" style="19" bestFit="1" customWidth="1"/>
    <col min="8" max="8" width="13.85546875" style="20" bestFit="1" customWidth="1"/>
    <col min="9" max="9" width="13.85546875" style="20" customWidth="1"/>
    <col min="10" max="10" width="10.5703125" style="19" bestFit="1" customWidth="1"/>
    <col min="11" max="11" width="17.42578125" style="19" customWidth="1"/>
    <col min="12" max="12" width="13.42578125" style="19" bestFit="1" customWidth="1"/>
    <col min="13" max="13" width="13.5703125" style="19" customWidth="1"/>
    <col min="14" max="14" width="12.5703125" style="19" customWidth="1"/>
    <col min="15" max="15" width="9.5703125" style="19" bestFit="1" customWidth="1"/>
    <col min="16" max="16" width="125" style="19" bestFit="1" customWidth="1"/>
    <col min="17" max="17" width="36.28515625" style="19" bestFit="1" customWidth="1"/>
    <col min="18" max="25" width="9.140625" style="19"/>
    <col min="26" max="26" width="14.7109375" style="19" customWidth="1"/>
    <col min="27" max="16384" width="9.140625" style="19"/>
  </cols>
  <sheetData>
    <row r="1" spans="1:25" ht="45" customHeight="1" x14ac:dyDescent="0.2">
      <c r="C1" s="25" t="s">
        <v>11</v>
      </c>
      <c r="D1" s="40">
        <f>Rabat!D6</f>
        <v>46125</v>
      </c>
      <c r="E1" s="26" t="s">
        <v>10</v>
      </c>
      <c r="K1" s="21"/>
      <c r="O1" s="22"/>
    </row>
    <row r="2" spans="1:25" ht="38.25" x14ac:dyDescent="0.2">
      <c r="A2" s="23" t="s">
        <v>3412</v>
      </c>
      <c r="B2" s="23" t="s">
        <v>587</v>
      </c>
      <c r="C2" s="23" t="s">
        <v>588</v>
      </c>
      <c r="D2" s="23" t="s">
        <v>585</v>
      </c>
      <c r="E2" s="23" t="s">
        <v>589</v>
      </c>
      <c r="F2" s="23" t="s">
        <v>586</v>
      </c>
      <c r="G2" s="23" t="s">
        <v>590</v>
      </c>
      <c r="H2" s="24" t="s">
        <v>591</v>
      </c>
      <c r="I2" s="24" t="s">
        <v>592</v>
      </c>
      <c r="J2" s="23" t="s">
        <v>13</v>
      </c>
      <c r="K2" s="23" t="s">
        <v>593</v>
      </c>
      <c r="L2" s="23" t="s">
        <v>594</v>
      </c>
      <c r="M2" s="23" t="s">
        <v>595</v>
      </c>
      <c r="N2" s="23" t="s">
        <v>596</v>
      </c>
      <c r="O2" s="23" t="s">
        <v>597</v>
      </c>
      <c r="P2" s="23" t="s">
        <v>2888</v>
      </c>
      <c r="Q2" s="23" t="s">
        <v>598</v>
      </c>
      <c r="R2" s="23" t="s">
        <v>2036</v>
      </c>
      <c r="S2" s="23" t="s">
        <v>2598</v>
      </c>
      <c r="T2" s="23" t="s">
        <v>2599</v>
      </c>
      <c r="U2" s="23" t="s">
        <v>2596</v>
      </c>
      <c r="V2" s="23" t="s">
        <v>2597</v>
      </c>
      <c r="W2" s="23" t="s">
        <v>2737</v>
      </c>
      <c r="X2" s="23" t="s">
        <v>2738</v>
      </c>
      <c r="Y2" s="23" t="s">
        <v>2739</v>
      </c>
    </row>
    <row r="3" spans="1:25" ht="60" customHeight="1" x14ac:dyDescent="0.25">
      <c r="A3"/>
      <c r="B3" t="s">
        <v>3367</v>
      </c>
      <c r="C3" t="s">
        <v>3368</v>
      </c>
      <c r="D3" t="s">
        <v>1047</v>
      </c>
      <c r="E3" t="s">
        <v>1456</v>
      </c>
      <c r="F3" t="s">
        <v>1457</v>
      </c>
      <c r="G3" t="s">
        <v>1455</v>
      </c>
      <c r="H3" s="30">
        <v>8.42</v>
      </c>
      <c r="I3" s="29">
        <f>H3*(1-IFERROR(VLOOKUP(G3,Rabat!$D$10:$E$41,2,FALSE),0))</f>
        <v>8.42</v>
      </c>
      <c r="J3" t="s">
        <v>1903</v>
      </c>
      <c r="K3" t="s">
        <v>141</v>
      </c>
      <c r="L3" t="s">
        <v>1901</v>
      </c>
      <c r="M3">
        <v>25</v>
      </c>
      <c r="N3">
        <v>1575</v>
      </c>
      <c r="O3" t="s">
        <v>3434</v>
      </c>
      <c r="P3" s="31" t="str">
        <f>HYPERLINK("https://b2b.kobi.pl/pl/product/12247,swietlowka-led-t8-9w-60cm-4000k-led2b-red?currency=PLN")</f>
        <v>https://b2b.kobi.pl/pl/product/12247,swietlowka-led-t8-9w-60cm-4000k-led2b-red?currency=PLN</v>
      </c>
      <c r="Q3" s="31" t="str">
        <f>HYPERLINK("https://eprel.ec.europa.eu/qr/1694474")</f>
        <v>https://eprel.ec.europa.eu/qr/1694474</v>
      </c>
      <c r="R3"/>
      <c r="S3" t="s">
        <v>2673</v>
      </c>
      <c r="T3"/>
      <c r="U3">
        <v>9.0999999999999998E-2</v>
      </c>
      <c r="V3">
        <v>9.2999999999999999E-2</v>
      </c>
      <c r="W3">
        <v>60</v>
      </c>
      <c r="X3">
        <v>2.8</v>
      </c>
      <c r="Y3">
        <v>2.8</v>
      </c>
    </row>
    <row r="4" spans="1:25" ht="60" customHeight="1" x14ac:dyDescent="0.25">
      <c r="A4"/>
      <c r="B4" t="s">
        <v>3367</v>
      </c>
      <c r="C4" t="s">
        <v>3368</v>
      </c>
      <c r="D4" t="s">
        <v>1047</v>
      </c>
      <c r="E4" t="s">
        <v>1458</v>
      </c>
      <c r="F4" t="s">
        <v>1459</v>
      </c>
      <c r="G4" t="s">
        <v>1455</v>
      </c>
      <c r="H4" s="30">
        <v>8.42</v>
      </c>
      <c r="I4" s="29">
        <f>H4*(1-IFERROR(VLOOKUP(G4,Rabat!$D$10:$E$41,2,FALSE),0))</f>
        <v>8.42</v>
      </c>
      <c r="J4" t="s">
        <v>1903</v>
      </c>
      <c r="K4" t="s">
        <v>142</v>
      </c>
      <c r="L4" t="s">
        <v>1901</v>
      </c>
      <c r="M4">
        <v>25</v>
      </c>
      <c r="N4">
        <v>1575</v>
      </c>
      <c r="O4" t="s">
        <v>3434</v>
      </c>
      <c r="P4" s="31" t="str">
        <f>HYPERLINK("https://b2b.kobi.pl/pl/product/12248,swietlowka-led-t8-9w-60cm-6500k-led2b-red?currency=PLN")</f>
        <v>https://b2b.kobi.pl/pl/product/12248,swietlowka-led-t8-9w-60cm-6500k-led2b-red?currency=PLN</v>
      </c>
      <c r="Q4" s="31" t="str">
        <f>HYPERLINK("https://eprel.ec.europa.eu/qr/1694534")</f>
        <v>https://eprel.ec.europa.eu/qr/1694534</v>
      </c>
      <c r="R4"/>
      <c r="S4" t="s">
        <v>2673</v>
      </c>
      <c r="T4"/>
      <c r="U4">
        <v>9.0999999999999998E-2</v>
      </c>
      <c r="V4">
        <v>9.2999999999999999E-2</v>
      </c>
      <c r="W4">
        <v>60</v>
      </c>
      <c r="X4">
        <v>2.8</v>
      </c>
      <c r="Y4">
        <v>2.8</v>
      </c>
    </row>
    <row r="5" spans="1:25" ht="60" customHeight="1" x14ac:dyDescent="0.25">
      <c r="A5"/>
      <c r="B5" t="s">
        <v>3367</v>
      </c>
      <c r="C5" t="s">
        <v>3368</v>
      </c>
      <c r="D5" t="s">
        <v>1047</v>
      </c>
      <c r="E5" t="s">
        <v>1460</v>
      </c>
      <c r="F5" t="s">
        <v>1461</v>
      </c>
      <c r="G5" t="s">
        <v>1455</v>
      </c>
      <c r="H5" s="30">
        <v>10.67</v>
      </c>
      <c r="I5" s="29">
        <f>H5*(1-IFERROR(VLOOKUP(G5,Rabat!$D$10:$E$41,2,FALSE),0))</f>
        <v>10.67</v>
      </c>
      <c r="J5" t="s">
        <v>1903</v>
      </c>
      <c r="K5" t="s">
        <v>143</v>
      </c>
      <c r="L5" t="s">
        <v>1901</v>
      </c>
      <c r="M5">
        <v>25</v>
      </c>
      <c r="N5">
        <v>1080</v>
      </c>
      <c r="O5" t="s">
        <v>3434</v>
      </c>
      <c r="P5" s="31" t="str">
        <f>HYPERLINK("https://b2b.kobi.pl/pl/product/12243,swietlowka-led-t8-18w-120cm-4000k-led2b-red?currency=PLN")</f>
        <v>https://b2b.kobi.pl/pl/product/12243,swietlowka-led-t8-18w-120cm-4000k-led2b-red?currency=PLN</v>
      </c>
      <c r="Q5" s="31" t="str">
        <f>HYPERLINK("https://eprel.ec.europa.eu/qr/1694581")</f>
        <v>https://eprel.ec.europa.eu/qr/1694581</v>
      </c>
      <c r="R5"/>
      <c r="S5" t="s">
        <v>2673</v>
      </c>
      <c r="T5"/>
      <c r="U5">
        <v>0.18</v>
      </c>
      <c r="V5">
        <v>0.2</v>
      </c>
      <c r="W5">
        <v>120</v>
      </c>
      <c r="X5">
        <v>2.8</v>
      </c>
      <c r="Y5">
        <v>2.8</v>
      </c>
    </row>
    <row r="6" spans="1:25" ht="60" customHeight="1" x14ac:dyDescent="0.25">
      <c r="A6"/>
      <c r="B6" t="s">
        <v>3367</v>
      </c>
      <c r="C6" t="s">
        <v>3368</v>
      </c>
      <c r="D6" t="s">
        <v>1047</v>
      </c>
      <c r="E6" t="s">
        <v>1462</v>
      </c>
      <c r="F6" t="s">
        <v>1463</v>
      </c>
      <c r="G6" t="s">
        <v>1455</v>
      </c>
      <c r="H6" s="30">
        <v>10.67</v>
      </c>
      <c r="I6" s="29">
        <f>H6*(1-IFERROR(VLOOKUP(G6,Rabat!$D$10:$E$41,2,FALSE),0))</f>
        <v>10.67</v>
      </c>
      <c r="J6" t="s">
        <v>1903</v>
      </c>
      <c r="K6" t="s">
        <v>144</v>
      </c>
      <c r="L6" t="s">
        <v>1901</v>
      </c>
      <c r="M6">
        <v>25</v>
      </c>
      <c r="N6">
        <v>900</v>
      </c>
      <c r="O6" t="s">
        <v>3434</v>
      </c>
      <c r="P6" s="31" t="str">
        <f>HYPERLINK("https://b2b.kobi.pl/pl/product/12244,swietlowka-led-t8-18w-120cm-6500k-led2b-red?currency=PLN")</f>
        <v>https://b2b.kobi.pl/pl/product/12244,swietlowka-led-t8-18w-120cm-6500k-led2b-red?currency=PLN</v>
      </c>
      <c r="Q6" s="31" t="str">
        <f>HYPERLINK("https://eprel.ec.europa.eu/qr/1694744")</f>
        <v>https://eprel.ec.europa.eu/qr/1694744</v>
      </c>
      <c r="R6"/>
      <c r="S6" t="s">
        <v>2673</v>
      </c>
      <c r="T6"/>
      <c r="U6">
        <v>0.18</v>
      </c>
      <c r="V6">
        <v>0.2</v>
      </c>
      <c r="W6">
        <v>120</v>
      </c>
      <c r="X6">
        <v>2.8</v>
      </c>
      <c r="Y6">
        <v>2.8</v>
      </c>
    </row>
    <row r="7" spans="1:25" ht="60" customHeight="1" x14ac:dyDescent="0.25">
      <c r="A7"/>
      <c r="B7" t="s">
        <v>3367</v>
      </c>
      <c r="C7" t="s">
        <v>3368</v>
      </c>
      <c r="D7" t="s">
        <v>1047</v>
      </c>
      <c r="E7" t="s">
        <v>1464</v>
      </c>
      <c r="F7" t="s">
        <v>1465</v>
      </c>
      <c r="G7" t="s">
        <v>1455</v>
      </c>
      <c r="H7" s="30">
        <v>14.42</v>
      </c>
      <c r="I7" s="29">
        <f>H7*(1-IFERROR(VLOOKUP(G7,Rabat!$D$10:$E$41,2,FALSE),0))</f>
        <v>14.42</v>
      </c>
      <c r="J7" t="s">
        <v>1903</v>
      </c>
      <c r="K7" t="s">
        <v>146</v>
      </c>
      <c r="L7" t="s">
        <v>1901</v>
      </c>
      <c r="M7">
        <v>25</v>
      </c>
      <c r="N7">
        <v>840</v>
      </c>
      <c r="O7" t="s">
        <v>3434</v>
      </c>
      <c r="P7" s="31" t="str">
        <f>HYPERLINK("https://b2b.kobi.pl/pl/product/12245,swietlowka-led-t8-22w-150cm-4000k-led2b-red?currency=PLN")</f>
        <v>https://b2b.kobi.pl/pl/product/12245,swietlowka-led-t8-22w-150cm-4000k-led2b-red?currency=PLN</v>
      </c>
      <c r="Q7" s="31" t="str">
        <f>HYPERLINK("https://eprel.ec.europa.eu/qr/1694757")</f>
        <v>https://eprel.ec.europa.eu/qr/1694757</v>
      </c>
      <c r="R7"/>
      <c r="S7" t="s">
        <v>2673</v>
      </c>
      <c r="T7"/>
      <c r="U7">
        <v>0.16800000000000001</v>
      </c>
      <c r="V7">
        <v>0.17199999999999999</v>
      </c>
      <c r="W7">
        <v>150</v>
      </c>
      <c r="X7">
        <v>2.8</v>
      </c>
      <c r="Y7">
        <v>2.8</v>
      </c>
    </row>
    <row r="8" spans="1:25" ht="60" customHeight="1" x14ac:dyDescent="0.25">
      <c r="A8"/>
      <c r="B8" t="s">
        <v>3367</v>
      </c>
      <c r="C8" t="s">
        <v>3368</v>
      </c>
      <c r="D8" t="s">
        <v>1047</v>
      </c>
      <c r="E8" t="s">
        <v>1468</v>
      </c>
      <c r="F8" t="s">
        <v>1469</v>
      </c>
      <c r="G8" t="s">
        <v>1455</v>
      </c>
      <c r="H8" s="30">
        <v>14.42</v>
      </c>
      <c r="I8" s="29">
        <f>H8*(1-IFERROR(VLOOKUP(G8,Rabat!$D$10:$E$41,2,FALSE),0))</f>
        <v>14.42</v>
      </c>
      <c r="J8" t="s">
        <v>1903</v>
      </c>
      <c r="K8" t="s">
        <v>147</v>
      </c>
      <c r="L8" t="s">
        <v>1901</v>
      </c>
      <c r="M8">
        <v>25</v>
      </c>
      <c r="N8">
        <v>700</v>
      </c>
      <c r="O8" t="s">
        <v>3434</v>
      </c>
      <c r="P8" s="31" t="str">
        <f>HYPERLINK("https://b2b.kobi.pl/pl/product/12246,swietlowka-led-t8-22w-150cm-6500k-led2b-red?currency=PLN")</f>
        <v>https://b2b.kobi.pl/pl/product/12246,swietlowka-led-t8-22w-150cm-6500k-led2b-red?currency=PLN</v>
      </c>
      <c r="Q8" s="31" t="str">
        <f>HYPERLINK("https://eprel.ec.europa.eu/qr/1694771")</f>
        <v>https://eprel.ec.europa.eu/qr/1694771</v>
      </c>
      <c r="R8"/>
      <c r="S8" t="s">
        <v>2673</v>
      </c>
      <c r="T8"/>
      <c r="U8">
        <v>0.16800000000000001</v>
      </c>
      <c r="V8">
        <v>0.17199999999999999</v>
      </c>
      <c r="W8">
        <v>150</v>
      </c>
      <c r="X8">
        <v>2.8</v>
      </c>
      <c r="Y8">
        <v>2.8</v>
      </c>
    </row>
    <row r="9" spans="1:25" ht="60" customHeight="1" x14ac:dyDescent="0.25">
      <c r="A9"/>
      <c r="B9" t="s">
        <v>3367</v>
      </c>
      <c r="C9" t="s">
        <v>3368</v>
      </c>
      <c r="D9" t="s">
        <v>17</v>
      </c>
      <c r="E9" t="s">
        <v>1466</v>
      </c>
      <c r="F9" t="s">
        <v>1467</v>
      </c>
      <c r="G9" t="s">
        <v>1455</v>
      </c>
      <c r="H9" s="30">
        <v>24.78</v>
      </c>
      <c r="I9" s="29">
        <f>H9*(1-IFERROR(VLOOKUP(G9,Rabat!$D$10:$E$41,2,FALSE),0))</f>
        <v>24.78</v>
      </c>
      <c r="J9" t="s">
        <v>1903</v>
      </c>
      <c r="K9" t="s">
        <v>145</v>
      </c>
      <c r="L9" t="s">
        <v>1901</v>
      </c>
      <c r="M9">
        <v>25</v>
      </c>
      <c r="N9">
        <v>700</v>
      </c>
      <c r="O9" t="s">
        <v>3434</v>
      </c>
      <c r="P9" s="31" t="str">
        <f>HYPERLINK("https://b2b.kobi.pl/pl/product/9651,swietlowka-led-t8-22w-150cm-6500k-led2b?currency=PLN")</f>
        <v>https://b2b.kobi.pl/pl/product/9651,swietlowka-led-t8-22w-150cm-6500k-led2b?currency=PLN</v>
      </c>
      <c r="Q9" s="31" t="str">
        <f>HYPERLINK("https://eprel.ec.europa.eu/qr/914714")</f>
        <v>https://eprel.ec.europa.eu/qr/914714</v>
      </c>
      <c r="R9" t="s">
        <v>2035</v>
      </c>
      <c r="S9" t="s">
        <v>2673</v>
      </c>
      <c r="T9"/>
      <c r="U9">
        <v>0.20799999999999999</v>
      </c>
      <c r="V9">
        <v>0.28399999999999997</v>
      </c>
      <c r="W9">
        <v>150</v>
      </c>
      <c r="X9">
        <v>3.4</v>
      </c>
      <c r="Y9">
        <v>3.4</v>
      </c>
    </row>
    <row r="10" spans="1:25" ht="60" customHeight="1" x14ac:dyDescent="0.25">
      <c r="A10"/>
      <c r="B10" t="s">
        <v>3367</v>
      </c>
      <c r="C10" t="s">
        <v>3368</v>
      </c>
      <c r="D10" t="s">
        <v>631</v>
      </c>
      <c r="E10" t="s">
        <v>1470</v>
      </c>
      <c r="F10" t="s">
        <v>1471</v>
      </c>
      <c r="G10" t="s">
        <v>1455</v>
      </c>
      <c r="H10" s="30">
        <v>16.440000000000001</v>
      </c>
      <c r="I10" s="29">
        <f>H10*(1-IFERROR(VLOOKUP(G10,Rabat!$D$10:$E$41,2,FALSE),0))</f>
        <v>16.440000000000001</v>
      </c>
      <c r="J10" t="s">
        <v>1904</v>
      </c>
      <c r="K10" t="s">
        <v>1977</v>
      </c>
      <c r="L10" t="s">
        <v>1901</v>
      </c>
      <c r="M10">
        <v>25</v>
      </c>
      <c r="N10">
        <v>1575</v>
      </c>
      <c r="O10" t="s">
        <v>3435</v>
      </c>
      <c r="P10" s="31" t="str">
        <f>HYPERLINK("https://b2b.kobi.pl/pl/product/12367,swietlowka-led-t8-g2-9w-60cm-4000k-kobi-premium?currency=PLN")</f>
        <v>https://b2b.kobi.pl/pl/product/12367,swietlowka-led-t8-g2-9w-60cm-4000k-kobi-premium?currency=PLN</v>
      </c>
      <c r="Q10" s="31" t="str">
        <f>HYPERLINK("https://eprel.ec.europa.eu/qr/2219283")</f>
        <v>https://eprel.ec.europa.eu/qr/2219283</v>
      </c>
      <c r="R10"/>
      <c r="S10" t="s">
        <v>2673</v>
      </c>
      <c r="T10"/>
      <c r="U10">
        <v>0.09</v>
      </c>
      <c r="V10">
        <v>0.13400000000000001</v>
      </c>
      <c r="W10">
        <v>61.4</v>
      </c>
      <c r="X10">
        <v>4</v>
      </c>
      <c r="Y10">
        <v>3.3</v>
      </c>
    </row>
    <row r="11" spans="1:25" ht="60" customHeight="1" x14ac:dyDescent="0.25">
      <c r="A11"/>
      <c r="B11" t="s">
        <v>3367</v>
      </c>
      <c r="C11" t="s">
        <v>3368</v>
      </c>
      <c r="D11" t="s">
        <v>631</v>
      </c>
      <c r="E11" t="s">
        <v>1472</v>
      </c>
      <c r="F11" t="s">
        <v>1473</v>
      </c>
      <c r="G11" t="s">
        <v>1455</v>
      </c>
      <c r="H11" s="30">
        <v>16.440000000000001</v>
      </c>
      <c r="I11" s="29">
        <f>H11*(1-IFERROR(VLOOKUP(G11,Rabat!$D$10:$E$41,2,FALSE),0))</f>
        <v>16.440000000000001</v>
      </c>
      <c r="J11" t="s">
        <v>1904</v>
      </c>
      <c r="K11" t="s">
        <v>1978</v>
      </c>
      <c r="L11" t="s">
        <v>1901</v>
      </c>
      <c r="M11">
        <v>25</v>
      </c>
      <c r="N11">
        <v>1575</v>
      </c>
      <c r="O11" t="s">
        <v>3435</v>
      </c>
      <c r="P11" s="31" t="str">
        <f>HYPERLINK("https://b2b.kobi.pl/pl/product/12368,swietlowka-led-t8-g2-9w-60cm-6500k-kobi-premium?currency=PLN")</f>
        <v>https://b2b.kobi.pl/pl/product/12368,swietlowka-led-t8-g2-9w-60cm-6500k-kobi-premium?currency=PLN</v>
      </c>
      <c r="Q11" s="31" t="str">
        <f>HYPERLINK("https://eprel.ec.europa.eu/qr/2219314")</f>
        <v>https://eprel.ec.europa.eu/qr/2219314</v>
      </c>
      <c r="R11"/>
      <c r="S11" t="s">
        <v>2673</v>
      </c>
      <c r="T11"/>
      <c r="U11">
        <v>0.09</v>
      </c>
      <c r="V11">
        <v>0.13400000000000001</v>
      </c>
      <c r="W11">
        <v>61.4</v>
      </c>
      <c r="X11">
        <v>4</v>
      </c>
      <c r="Y11">
        <v>3.3</v>
      </c>
    </row>
    <row r="12" spans="1:25" ht="60" customHeight="1" x14ac:dyDescent="0.25">
      <c r="A12"/>
      <c r="B12" t="s">
        <v>3367</v>
      </c>
      <c r="C12" t="s">
        <v>3368</v>
      </c>
      <c r="D12" t="s">
        <v>631</v>
      </c>
      <c r="E12" t="s">
        <v>1474</v>
      </c>
      <c r="F12" t="s">
        <v>1475</v>
      </c>
      <c r="G12" t="s">
        <v>1455</v>
      </c>
      <c r="H12" s="30">
        <v>22</v>
      </c>
      <c r="I12" s="29">
        <f>H12*(1-IFERROR(VLOOKUP(G12,Rabat!$D$10:$E$41,2,FALSE),0))</f>
        <v>22</v>
      </c>
      <c r="J12" t="s">
        <v>1907</v>
      </c>
      <c r="K12" t="s">
        <v>1979</v>
      </c>
      <c r="L12" t="s">
        <v>1901</v>
      </c>
      <c r="M12">
        <v>25</v>
      </c>
      <c r="N12">
        <v>900</v>
      </c>
      <c r="O12" t="s">
        <v>3435</v>
      </c>
      <c r="P12" s="31" t="str">
        <f>HYPERLINK("https://b2b.kobi.pl/pl/product/12369,swietlowka-led-t8-g2-18w-120cm-3000k-kobi-premium?currency=PLN")</f>
        <v>https://b2b.kobi.pl/pl/product/12369,swietlowka-led-t8-g2-18w-120cm-3000k-kobi-premium?currency=PLN</v>
      </c>
      <c r="Q12" s="31" t="str">
        <f>HYPERLINK("https://eprel.ec.europa.eu/qr/2214880")</f>
        <v>https://eprel.ec.europa.eu/qr/2214880</v>
      </c>
      <c r="R12"/>
      <c r="S12" t="s">
        <v>2673</v>
      </c>
      <c r="T12"/>
      <c r="U12">
        <v>0.17499999999999999</v>
      </c>
      <c r="V12">
        <v>0.26</v>
      </c>
      <c r="W12">
        <v>122.4</v>
      </c>
      <c r="X12">
        <v>4</v>
      </c>
      <c r="Y12">
        <v>3.3</v>
      </c>
    </row>
    <row r="13" spans="1:25" ht="60" customHeight="1" x14ac:dyDescent="0.25">
      <c r="A13"/>
      <c r="B13" t="s">
        <v>3367</v>
      </c>
      <c r="C13" t="s">
        <v>3368</v>
      </c>
      <c r="D13" t="s">
        <v>631</v>
      </c>
      <c r="E13" t="s">
        <v>1476</v>
      </c>
      <c r="F13" t="s">
        <v>1477</v>
      </c>
      <c r="G13" t="s">
        <v>1455</v>
      </c>
      <c r="H13" s="30">
        <v>19.98</v>
      </c>
      <c r="I13" s="29">
        <f>H13*(1-IFERROR(VLOOKUP(G13,Rabat!$D$10:$E$41,2,FALSE),0))</f>
        <v>19.98</v>
      </c>
      <c r="J13" t="s">
        <v>1904</v>
      </c>
      <c r="K13" t="s">
        <v>1980</v>
      </c>
      <c r="L13" t="s">
        <v>1901</v>
      </c>
      <c r="M13">
        <v>25</v>
      </c>
      <c r="N13">
        <v>900</v>
      </c>
      <c r="O13" t="s">
        <v>3435</v>
      </c>
      <c r="P13" s="31" t="str">
        <f>HYPERLINK("https://b2b.kobi.pl/pl/product/12370,swietlowka-led-t8-g2-18w-120cm-4000k-kobi-premium?currency=PLN")</f>
        <v>https://b2b.kobi.pl/pl/product/12370,swietlowka-led-t8-g2-18w-120cm-4000k-kobi-premium?currency=PLN</v>
      </c>
      <c r="Q13" s="31" t="str">
        <f>HYPERLINK("https://eprel.ec.europa.eu/qr/2214801")</f>
        <v>https://eprel.ec.europa.eu/qr/2214801</v>
      </c>
      <c r="R13"/>
      <c r="S13" t="s">
        <v>2673</v>
      </c>
      <c r="T13"/>
      <c r="U13">
        <v>0.17499999999999999</v>
      </c>
      <c r="V13">
        <v>0.26</v>
      </c>
      <c r="W13">
        <v>122.4</v>
      </c>
      <c r="X13">
        <v>4</v>
      </c>
      <c r="Y13">
        <v>3.3</v>
      </c>
    </row>
    <row r="14" spans="1:25" ht="60" customHeight="1" x14ac:dyDescent="0.25">
      <c r="A14"/>
      <c r="B14" t="s">
        <v>3367</v>
      </c>
      <c r="C14" t="s">
        <v>3368</v>
      </c>
      <c r="D14" t="s">
        <v>631</v>
      </c>
      <c r="E14" t="s">
        <v>1478</v>
      </c>
      <c r="F14" t="s">
        <v>1479</v>
      </c>
      <c r="G14" t="s">
        <v>1455</v>
      </c>
      <c r="H14" s="30">
        <v>19.98</v>
      </c>
      <c r="I14" s="29">
        <f>H14*(1-IFERROR(VLOOKUP(G14,Rabat!$D$10:$E$41,2,FALSE),0))</f>
        <v>19.98</v>
      </c>
      <c r="J14" t="s">
        <v>1904</v>
      </c>
      <c r="K14" t="s">
        <v>1981</v>
      </c>
      <c r="L14" t="s">
        <v>1901</v>
      </c>
      <c r="M14">
        <v>25</v>
      </c>
      <c r="N14">
        <v>900</v>
      </c>
      <c r="O14" t="s">
        <v>3435</v>
      </c>
      <c r="P14" s="31" t="str">
        <f>HYPERLINK("https://b2b.kobi.pl/pl/product/12371,swietlowka-led-t8-g2-18w-120cm-6500k-kobi-premium?currency=PLN")</f>
        <v>https://b2b.kobi.pl/pl/product/12371,swietlowka-led-t8-g2-18w-120cm-6500k-kobi-premium?currency=PLN</v>
      </c>
      <c r="Q14" s="31" t="str">
        <f>HYPERLINK("https://eprel.ec.europa.eu/qr/2214807")</f>
        <v>https://eprel.ec.europa.eu/qr/2214807</v>
      </c>
      <c r="R14"/>
      <c r="S14" t="s">
        <v>2673</v>
      </c>
      <c r="T14"/>
      <c r="U14">
        <v>0.17499999999999999</v>
      </c>
      <c r="V14">
        <v>0.26</v>
      </c>
      <c r="W14">
        <v>122.4</v>
      </c>
      <c r="X14">
        <v>4</v>
      </c>
      <c r="Y14">
        <v>3.3</v>
      </c>
    </row>
    <row r="15" spans="1:25" ht="60" customHeight="1" x14ac:dyDescent="0.25">
      <c r="A15"/>
      <c r="B15" t="s">
        <v>3367</v>
      </c>
      <c r="C15" t="s">
        <v>3368</v>
      </c>
      <c r="D15" t="s">
        <v>631</v>
      </c>
      <c r="E15" t="s">
        <v>2939</v>
      </c>
      <c r="F15" t="s">
        <v>2940</v>
      </c>
      <c r="G15" t="s">
        <v>1455</v>
      </c>
      <c r="H15" s="30">
        <v>23.33</v>
      </c>
      <c r="I15" s="29">
        <f>H15*(1-IFERROR(VLOOKUP(G15,Rabat!$D$10:$E$41,2,FALSE),0))</f>
        <v>23.33</v>
      </c>
      <c r="J15" t="s">
        <v>1904</v>
      </c>
      <c r="K15" t="s">
        <v>2972</v>
      </c>
      <c r="L15" t="s">
        <v>1901</v>
      </c>
      <c r="M15">
        <v>25</v>
      </c>
      <c r="N15"/>
      <c r="O15" t="s">
        <v>3435</v>
      </c>
      <c r="P15" s="31" t="str">
        <f>HYPERLINK("https://b2b.kobi.pl/pl/product/12983,swietlowka-led-t8-g2-22w-120cm-4000k-kobi-premium?currency=PLN")</f>
        <v>https://b2b.kobi.pl/pl/product/12983,swietlowka-led-t8-g2-22w-120cm-4000k-kobi-premium?currency=PLN</v>
      </c>
      <c r="Q15" s="31" t="str">
        <f>HYPERLINK("https://eprel.ec.europa.eu/qr/2417562")</f>
        <v>https://eprel.ec.europa.eu/qr/2417562</v>
      </c>
      <c r="R15"/>
      <c r="S15" t="s">
        <v>2673</v>
      </c>
      <c r="T15"/>
      <c r="U15">
        <v>0.17399999999999999</v>
      </c>
      <c r="V15">
        <v>0.249</v>
      </c>
      <c r="W15">
        <v>122</v>
      </c>
      <c r="X15">
        <v>3</v>
      </c>
      <c r="Y15">
        <v>3</v>
      </c>
    </row>
    <row r="16" spans="1:25" ht="60" customHeight="1" x14ac:dyDescent="0.25">
      <c r="A16"/>
      <c r="B16" t="s">
        <v>3367</v>
      </c>
      <c r="C16" t="s">
        <v>3368</v>
      </c>
      <c r="D16" t="s">
        <v>631</v>
      </c>
      <c r="E16" t="s">
        <v>2941</v>
      </c>
      <c r="F16" t="s">
        <v>2942</v>
      </c>
      <c r="G16" t="s">
        <v>1455</v>
      </c>
      <c r="H16" s="30">
        <v>23.33</v>
      </c>
      <c r="I16" s="29">
        <f>H16*(1-IFERROR(VLOOKUP(G16,Rabat!$D$10:$E$41,2,FALSE),0))</f>
        <v>23.33</v>
      </c>
      <c r="J16" t="s">
        <v>1904</v>
      </c>
      <c r="K16" t="s">
        <v>2973</v>
      </c>
      <c r="L16" t="s">
        <v>1901</v>
      </c>
      <c r="M16">
        <v>25</v>
      </c>
      <c r="N16"/>
      <c r="O16" t="s">
        <v>3435</v>
      </c>
      <c r="P16" s="31" t="str">
        <f>HYPERLINK("https://b2b.kobi.pl/pl/product/12984,swietlowka-led-t8-g2-22w-120cm-6500k-kobi-premium?currency=PLN")</f>
        <v>https://b2b.kobi.pl/pl/product/12984,swietlowka-led-t8-g2-22w-120cm-6500k-kobi-premium?currency=PLN</v>
      </c>
      <c r="Q16" s="31" t="str">
        <f>HYPERLINK("https://eprel.ec.europa.eu/qr/2417592")</f>
        <v>https://eprel.ec.europa.eu/qr/2417592</v>
      </c>
      <c r="R16"/>
      <c r="S16" t="s">
        <v>2673</v>
      </c>
      <c r="T16"/>
      <c r="U16">
        <v>0.17399999999999999</v>
      </c>
      <c r="V16">
        <v>0.249</v>
      </c>
      <c r="W16">
        <v>122</v>
      </c>
      <c r="X16">
        <v>3</v>
      </c>
      <c r="Y16">
        <v>3</v>
      </c>
    </row>
    <row r="17" spans="1:25" ht="60" customHeight="1" x14ac:dyDescent="0.25">
      <c r="A17"/>
      <c r="B17" t="s">
        <v>3367</v>
      </c>
      <c r="C17" t="s">
        <v>3368</v>
      </c>
      <c r="D17" t="s">
        <v>631</v>
      </c>
      <c r="E17" t="s">
        <v>1480</v>
      </c>
      <c r="F17" t="s">
        <v>1481</v>
      </c>
      <c r="G17" t="s">
        <v>1455</v>
      </c>
      <c r="H17" s="30">
        <v>27.78</v>
      </c>
      <c r="I17" s="29">
        <f>H17*(1-IFERROR(VLOOKUP(G17,Rabat!$D$10:$E$41,2,FALSE),0))</f>
        <v>27.78</v>
      </c>
      <c r="J17" t="s">
        <v>1904</v>
      </c>
      <c r="K17" t="s">
        <v>1982</v>
      </c>
      <c r="L17" t="s">
        <v>1901</v>
      </c>
      <c r="M17">
        <v>25</v>
      </c>
      <c r="N17">
        <v>700</v>
      </c>
      <c r="O17" t="s">
        <v>3435</v>
      </c>
      <c r="P17" s="31" t="str">
        <f>HYPERLINK("https://b2b.kobi.pl/pl/product/12372,swietlowka-led-t8-g2-22w-150cm-4000k-kobi-premium?currency=PLN")</f>
        <v>https://b2b.kobi.pl/pl/product/12372,swietlowka-led-t8-g2-22w-150cm-4000k-kobi-premium?currency=PLN</v>
      </c>
      <c r="Q17" s="31" t="str">
        <f>HYPERLINK("https://eprel.ec.europa.eu/qr/2214816")</f>
        <v>https://eprel.ec.europa.eu/qr/2214816</v>
      </c>
      <c r="R17"/>
      <c r="S17" t="s">
        <v>2673</v>
      </c>
      <c r="T17"/>
      <c r="U17">
        <v>0.218</v>
      </c>
      <c r="V17">
        <v>0.32100000000000001</v>
      </c>
      <c r="W17">
        <v>152.4</v>
      </c>
      <c r="X17">
        <v>4</v>
      </c>
      <c r="Y17">
        <v>3.3</v>
      </c>
    </row>
    <row r="18" spans="1:25" ht="60" customHeight="1" x14ac:dyDescent="0.25">
      <c r="A18"/>
      <c r="B18" t="s">
        <v>3367</v>
      </c>
      <c r="C18" t="s">
        <v>3368</v>
      </c>
      <c r="D18" t="s">
        <v>631</v>
      </c>
      <c r="E18" t="s">
        <v>1482</v>
      </c>
      <c r="F18" t="s">
        <v>1483</v>
      </c>
      <c r="G18" t="s">
        <v>1455</v>
      </c>
      <c r="H18" s="30">
        <v>27.78</v>
      </c>
      <c r="I18" s="29">
        <f>H18*(1-IFERROR(VLOOKUP(G18,Rabat!$D$10:$E$41,2,FALSE),0))</f>
        <v>27.78</v>
      </c>
      <c r="J18" t="s">
        <v>1904</v>
      </c>
      <c r="K18" t="s">
        <v>1983</v>
      </c>
      <c r="L18" t="s">
        <v>1901</v>
      </c>
      <c r="M18">
        <v>25</v>
      </c>
      <c r="N18">
        <v>700</v>
      </c>
      <c r="O18" t="s">
        <v>3435</v>
      </c>
      <c r="P18" s="31" t="str">
        <f>HYPERLINK("https://b2b.kobi.pl/pl/product/12373,swietlowka-led-t8-g2-22w-150cm-6500k-kobi-premium?currency=PLN")</f>
        <v>https://b2b.kobi.pl/pl/product/12373,swietlowka-led-t8-g2-22w-150cm-6500k-kobi-premium?currency=PLN</v>
      </c>
      <c r="Q18" s="31" t="str">
        <f>HYPERLINK("https://eprel.ec.europa.eu/qr/2214839")</f>
        <v>https://eprel.ec.europa.eu/qr/2214839</v>
      </c>
      <c r="R18"/>
      <c r="S18" t="s">
        <v>2673</v>
      </c>
      <c r="T18"/>
      <c r="U18">
        <v>0.218</v>
      </c>
      <c r="V18">
        <v>0.32100000000000001</v>
      </c>
      <c r="W18">
        <v>152.4</v>
      </c>
      <c r="X18">
        <v>4</v>
      </c>
      <c r="Y18">
        <v>3.3</v>
      </c>
    </row>
    <row r="19" spans="1:25" ht="60" customHeight="1" x14ac:dyDescent="0.25">
      <c r="A19"/>
      <c r="B19" t="s">
        <v>3367</v>
      </c>
      <c r="C19" t="s">
        <v>3369</v>
      </c>
      <c r="D19" t="s">
        <v>643</v>
      </c>
      <c r="E19" t="s">
        <v>1641</v>
      </c>
      <c r="F19" t="s">
        <v>1642</v>
      </c>
      <c r="G19" t="s">
        <v>1506</v>
      </c>
      <c r="H19" s="30">
        <v>7.55</v>
      </c>
      <c r="I19" s="29">
        <f>H19*(1-IFERROR(VLOOKUP(G19,Rabat!$D$10:$E$41,2,FALSE),0))</f>
        <v>7.55</v>
      </c>
      <c r="J19" t="s">
        <v>1903</v>
      </c>
      <c r="K19" t="s">
        <v>68</v>
      </c>
      <c r="L19" t="s">
        <v>1901</v>
      </c>
      <c r="M19">
        <v>100</v>
      </c>
      <c r="N19">
        <v>6000</v>
      </c>
      <c r="O19" t="s">
        <v>3434</v>
      </c>
      <c r="P19" s="31" t="str">
        <f>HYPERLINK("https://b2b.kobi.pl/pl/product/9536,zarowka-led-gu10-1w-3000k-kobi?currency=PLN")</f>
        <v>https://b2b.kobi.pl/pl/product/9536,zarowka-led-gu10-1w-3000k-kobi?currency=PLN</v>
      </c>
      <c r="Q19" s="31" t="str">
        <f>HYPERLINK("https://eprel.ec.europa.eu/qr/659854")</f>
        <v>https://eprel.ec.europa.eu/qr/659854</v>
      </c>
      <c r="R19"/>
      <c r="S19" t="s">
        <v>2673</v>
      </c>
      <c r="T19"/>
      <c r="U19">
        <v>1.7999999999999999E-2</v>
      </c>
      <c r="V19">
        <v>2.2599999999999999E-2</v>
      </c>
      <c r="W19">
        <v>5.0999999999999996</v>
      </c>
      <c r="X19">
        <v>5.0999999999999996</v>
      </c>
      <c r="Y19">
        <v>6.5</v>
      </c>
    </row>
    <row r="20" spans="1:25" ht="60" customHeight="1" x14ac:dyDescent="0.25">
      <c r="A20"/>
      <c r="B20" t="s">
        <v>3367</v>
      </c>
      <c r="C20" t="s">
        <v>3369</v>
      </c>
      <c r="D20" t="s">
        <v>643</v>
      </c>
      <c r="E20" t="s">
        <v>1643</v>
      </c>
      <c r="F20" t="s">
        <v>1644</v>
      </c>
      <c r="G20" t="s">
        <v>1506</v>
      </c>
      <c r="H20" s="30">
        <v>7.55</v>
      </c>
      <c r="I20" s="29">
        <f>H20*(1-IFERROR(VLOOKUP(G20,Rabat!$D$10:$E$41,2,FALSE),0))</f>
        <v>7.55</v>
      </c>
      <c r="J20" t="s">
        <v>1903</v>
      </c>
      <c r="K20" t="s">
        <v>69</v>
      </c>
      <c r="L20" t="s">
        <v>1901</v>
      </c>
      <c r="M20">
        <v>100</v>
      </c>
      <c r="N20">
        <v>6000</v>
      </c>
      <c r="O20" t="s">
        <v>3434</v>
      </c>
      <c r="P20" s="31" t="str">
        <f>HYPERLINK("https://b2b.kobi.pl/pl/product/9537,zarowka-led-gu10-1w-4000k-kobi?currency=PLN")</f>
        <v>https://b2b.kobi.pl/pl/product/9537,zarowka-led-gu10-1w-4000k-kobi?currency=PLN</v>
      </c>
      <c r="Q20" s="31" t="str">
        <f>HYPERLINK("https://eprel.ec.europa.eu/qr/659856")</f>
        <v>https://eprel.ec.europa.eu/qr/659856</v>
      </c>
      <c r="R20"/>
      <c r="S20" t="s">
        <v>2673</v>
      </c>
      <c r="T20"/>
      <c r="U20">
        <v>1.7999999999999999E-2</v>
      </c>
      <c r="V20">
        <v>2.2599999999999999E-2</v>
      </c>
      <c r="W20">
        <v>5.0999999999999996</v>
      </c>
      <c r="X20">
        <v>5.0999999999999996</v>
      </c>
      <c r="Y20">
        <v>6.5</v>
      </c>
    </row>
    <row r="21" spans="1:25" ht="60" customHeight="1" x14ac:dyDescent="0.25">
      <c r="A21"/>
      <c r="B21" t="s">
        <v>3367</v>
      </c>
      <c r="C21" t="s">
        <v>3369</v>
      </c>
      <c r="D21" t="s">
        <v>643</v>
      </c>
      <c r="E21" t="s">
        <v>1645</v>
      </c>
      <c r="F21" t="s">
        <v>1646</v>
      </c>
      <c r="G21" t="s">
        <v>1506</v>
      </c>
      <c r="H21" s="30">
        <v>7.55</v>
      </c>
      <c r="I21" s="29">
        <f>H21*(1-IFERROR(VLOOKUP(G21,Rabat!$D$10:$E$41,2,FALSE),0))</f>
        <v>7.55</v>
      </c>
      <c r="J21" t="s">
        <v>1903</v>
      </c>
      <c r="K21" t="s">
        <v>70</v>
      </c>
      <c r="L21" t="s">
        <v>1901</v>
      </c>
      <c r="M21">
        <v>100</v>
      </c>
      <c r="N21">
        <v>6000</v>
      </c>
      <c r="O21" t="s">
        <v>3434</v>
      </c>
      <c r="P21" s="31" t="str">
        <f>HYPERLINK("https://b2b.kobi.pl/pl/product/9538,zarowka-led-gu10-1w-6000k-kobi?currency=PLN")</f>
        <v>https://b2b.kobi.pl/pl/product/9538,zarowka-led-gu10-1w-6000k-kobi?currency=PLN</v>
      </c>
      <c r="Q21" s="31" t="str">
        <f>HYPERLINK("https://eprel.ec.europa.eu/qr/659858")</f>
        <v>https://eprel.ec.europa.eu/qr/659858</v>
      </c>
      <c r="R21"/>
      <c r="S21" t="s">
        <v>2673</v>
      </c>
      <c r="T21"/>
      <c r="U21">
        <v>1.7999999999999999E-2</v>
      </c>
      <c r="V21">
        <v>2.2599999999999999E-2</v>
      </c>
      <c r="W21">
        <v>5.0999999999999996</v>
      </c>
      <c r="X21">
        <v>5.0999999999999996</v>
      </c>
      <c r="Y21">
        <v>6.5</v>
      </c>
    </row>
    <row r="22" spans="1:25" ht="60" customHeight="1" x14ac:dyDescent="0.25">
      <c r="A22"/>
      <c r="B22" t="s">
        <v>3367</v>
      </c>
      <c r="C22" t="s">
        <v>3369</v>
      </c>
      <c r="D22" t="s">
        <v>643</v>
      </c>
      <c r="E22" t="s">
        <v>1653</v>
      </c>
      <c r="F22" t="s">
        <v>1654</v>
      </c>
      <c r="G22" t="s">
        <v>1506</v>
      </c>
      <c r="H22" s="30">
        <v>8.52</v>
      </c>
      <c r="I22" s="29">
        <f>H22*(1-IFERROR(VLOOKUP(G22,Rabat!$D$10:$E$41,2,FALSE),0))</f>
        <v>8.52</v>
      </c>
      <c r="J22" t="s">
        <v>1905</v>
      </c>
      <c r="K22" t="s">
        <v>74</v>
      </c>
      <c r="L22" t="s">
        <v>1901</v>
      </c>
      <c r="M22">
        <v>100</v>
      </c>
      <c r="N22">
        <v>6000</v>
      </c>
      <c r="O22" t="s">
        <v>3434</v>
      </c>
      <c r="P22" s="31" t="str">
        <f>HYPERLINK("https://b2b.kobi.pl/pl/product/9552,zarowka-led-gu10-5w-3000k-kobi?currency=PLN")</f>
        <v>https://b2b.kobi.pl/pl/product/9552,zarowka-led-gu10-5w-3000k-kobi?currency=PLN</v>
      </c>
      <c r="Q22" s="31" t="str">
        <f>HYPERLINK("https://eprel.ec.europa.eu/qr/659894")</f>
        <v>https://eprel.ec.europa.eu/qr/659894</v>
      </c>
      <c r="R22"/>
      <c r="S22" t="s">
        <v>2673</v>
      </c>
      <c r="T22"/>
      <c r="U22">
        <v>2.1000000000000001E-2</v>
      </c>
      <c r="V22">
        <v>2.3E-2</v>
      </c>
      <c r="W22">
        <v>5.0999999999999996</v>
      </c>
      <c r="X22">
        <v>5.0999999999999996</v>
      </c>
      <c r="Y22">
        <v>6.5</v>
      </c>
    </row>
    <row r="23" spans="1:25" ht="60" customHeight="1" x14ac:dyDescent="0.25">
      <c r="A23"/>
      <c r="B23" t="s">
        <v>3367</v>
      </c>
      <c r="C23" t="s">
        <v>3369</v>
      </c>
      <c r="D23" t="s">
        <v>643</v>
      </c>
      <c r="E23" t="s">
        <v>1659</v>
      </c>
      <c r="F23" t="s">
        <v>1660</v>
      </c>
      <c r="G23" t="s">
        <v>1506</v>
      </c>
      <c r="H23" s="30">
        <v>8.52</v>
      </c>
      <c r="I23" s="29">
        <f>H23*(1-IFERROR(VLOOKUP(G23,Rabat!$D$10:$E$41,2,FALSE),0))</f>
        <v>8.52</v>
      </c>
      <c r="J23" t="s">
        <v>1905</v>
      </c>
      <c r="K23" t="s">
        <v>75</v>
      </c>
      <c r="L23" t="s">
        <v>1901</v>
      </c>
      <c r="M23">
        <v>100</v>
      </c>
      <c r="N23">
        <v>6600</v>
      </c>
      <c r="O23" t="s">
        <v>3434</v>
      </c>
      <c r="P23" s="31" t="str">
        <f>HYPERLINK("https://b2b.kobi.pl/pl/product/9554,zarowka-led-gu10-5w-4000k-kobi?currency=PLN")</f>
        <v>https://b2b.kobi.pl/pl/product/9554,zarowka-led-gu10-5w-4000k-kobi?currency=PLN</v>
      </c>
      <c r="Q23" s="31" t="str">
        <f>HYPERLINK("https://eprel.ec.europa.eu/qr/659904")</f>
        <v>https://eprel.ec.europa.eu/qr/659904</v>
      </c>
      <c r="R23"/>
      <c r="S23" t="s">
        <v>2673</v>
      </c>
      <c r="T23"/>
      <c r="U23">
        <v>2.1000000000000001E-2</v>
      </c>
      <c r="V23">
        <v>2.3E-2</v>
      </c>
      <c r="W23">
        <v>5.0999999999999996</v>
      </c>
      <c r="X23">
        <v>5.0999999999999996</v>
      </c>
      <c r="Y23">
        <v>6.5</v>
      </c>
    </row>
    <row r="24" spans="1:25" ht="60" customHeight="1" x14ac:dyDescent="0.25">
      <c r="A24"/>
      <c r="B24" t="s">
        <v>3367</v>
      </c>
      <c r="C24" t="s">
        <v>3369</v>
      </c>
      <c r="D24" t="s">
        <v>643</v>
      </c>
      <c r="E24" t="s">
        <v>1661</v>
      </c>
      <c r="F24" t="s">
        <v>1662</v>
      </c>
      <c r="G24" t="s">
        <v>1506</v>
      </c>
      <c r="H24" s="30">
        <v>8.52</v>
      </c>
      <c r="I24" s="29">
        <f>H24*(1-IFERROR(VLOOKUP(G24,Rabat!$D$10:$E$41,2,FALSE),0))</f>
        <v>8.52</v>
      </c>
      <c r="J24" t="s">
        <v>1905</v>
      </c>
      <c r="K24" t="s">
        <v>76</v>
      </c>
      <c r="L24" t="s">
        <v>1901</v>
      </c>
      <c r="M24">
        <v>100</v>
      </c>
      <c r="N24">
        <v>6000</v>
      </c>
      <c r="O24" t="s">
        <v>3434</v>
      </c>
      <c r="P24" s="31" t="str">
        <f>HYPERLINK("https://b2b.kobi.pl/pl/product/9557,zarowka-led-gu10-5w-6000k-kobi?currency=PLN")</f>
        <v>https://b2b.kobi.pl/pl/product/9557,zarowka-led-gu10-5w-6000k-kobi?currency=PLN</v>
      </c>
      <c r="Q24" s="31" t="str">
        <f>HYPERLINK("https://eprel.ec.europa.eu/qr/660091")</f>
        <v>https://eprel.ec.europa.eu/qr/660091</v>
      </c>
      <c r="R24"/>
      <c r="S24" t="s">
        <v>2673</v>
      </c>
      <c r="T24"/>
      <c r="U24">
        <v>2.1000000000000001E-2</v>
      </c>
      <c r="V24">
        <v>2.3E-2</v>
      </c>
      <c r="W24">
        <v>5.0999999999999996</v>
      </c>
      <c r="X24">
        <v>5.0999999999999996</v>
      </c>
      <c r="Y24">
        <v>6.5</v>
      </c>
    </row>
    <row r="25" spans="1:25" ht="60" customHeight="1" x14ac:dyDescent="0.25">
      <c r="A25"/>
      <c r="B25" t="s">
        <v>3367</v>
      </c>
      <c r="C25" t="s">
        <v>3369</v>
      </c>
      <c r="D25" t="s">
        <v>643</v>
      </c>
      <c r="E25" t="s">
        <v>1665</v>
      </c>
      <c r="F25" t="s">
        <v>1666</v>
      </c>
      <c r="G25" t="s">
        <v>1506</v>
      </c>
      <c r="H25" s="30">
        <v>10.71</v>
      </c>
      <c r="I25" s="29">
        <f>H25*(1-IFERROR(VLOOKUP(G25,Rabat!$D$10:$E$41,2,FALSE),0))</f>
        <v>10.71</v>
      </c>
      <c r="J25" t="s">
        <v>1903</v>
      </c>
      <c r="K25" t="s">
        <v>80</v>
      </c>
      <c r="L25" t="s">
        <v>1901</v>
      </c>
      <c r="M25">
        <v>100</v>
      </c>
      <c r="N25">
        <v>6000</v>
      </c>
      <c r="O25" t="s">
        <v>3434</v>
      </c>
      <c r="P25" s="31" t="str">
        <f>HYPERLINK("https://b2b.kobi.pl/pl/product/9563,zarowka-led-gu10-7w-3000k-kobi?currency=PLN")</f>
        <v>https://b2b.kobi.pl/pl/product/9563,zarowka-led-gu10-7w-3000k-kobi?currency=PLN</v>
      </c>
      <c r="Q25" s="31" t="str">
        <f>HYPERLINK("https://eprel.ec.europa.eu/qr/660097")</f>
        <v>https://eprel.ec.europa.eu/qr/660097</v>
      </c>
      <c r="R25"/>
      <c r="S25" t="s">
        <v>2673</v>
      </c>
      <c r="T25"/>
      <c r="U25">
        <v>2.1999999999999999E-2</v>
      </c>
      <c r="V25">
        <v>2.7900000000000001E-2</v>
      </c>
      <c r="W25">
        <v>5.0999999999999996</v>
      </c>
      <c r="X25">
        <v>5.0999999999999996</v>
      </c>
      <c r="Y25">
        <v>6.5</v>
      </c>
    </row>
    <row r="26" spans="1:25" ht="60" customHeight="1" x14ac:dyDescent="0.25">
      <c r="A26"/>
      <c r="B26" t="s">
        <v>3367</v>
      </c>
      <c r="C26" t="s">
        <v>3369</v>
      </c>
      <c r="D26" t="s">
        <v>643</v>
      </c>
      <c r="E26" t="s">
        <v>1669</v>
      </c>
      <c r="F26" t="s">
        <v>1670</v>
      </c>
      <c r="G26" t="s">
        <v>1506</v>
      </c>
      <c r="H26" s="30">
        <v>10.71</v>
      </c>
      <c r="I26" s="29">
        <f>H26*(1-IFERROR(VLOOKUP(G26,Rabat!$D$10:$E$41,2,FALSE),0))</f>
        <v>10.71</v>
      </c>
      <c r="J26" t="s">
        <v>1903</v>
      </c>
      <c r="K26" t="s">
        <v>81</v>
      </c>
      <c r="L26" t="s">
        <v>1901</v>
      </c>
      <c r="M26">
        <v>100</v>
      </c>
      <c r="N26">
        <v>6000</v>
      </c>
      <c r="O26" t="s">
        <v>3434</v>
      </c>
      <c r="P26" s="31" t="str">
        <f>HYPERLINK("https://b2b.kobi.pl/pl/product/9565,zarowka-led-gu10-7w-4000k-kobi?currency=PLN")</f>
        <v>https://b2b.kobi.pl/pl/product/9565,zarowka-led-gu10-7w-4000k-kobi?currency=PLN</v>
      </c>
      <c r="Q26" s="31" t="str">
        <f>HYPERLINK("https://eprel.ec.europa.eu/qr/660103")</f>
        <v>https://eprel.ec.europa.eu/qr/660103</v>
      </c>
      <c r="R26"/>
      <c r="S26" t="s">
        <v>2673</v>
      </c>
      <c r="T26"/>
      <c r="U26">
        <v>2.1999999999999999E-2</v>
      </c>
      <c r="V26">
        <v>2.7900000000000001E-2</v>
      </c>
      <c r="W26">
        <v>5.0999999999999996</v>
      </c>
      <c r="X26">
        <v>5.0999999999999996</v>
      </c>
      <c r="Y26">
        <v>6.5</v>
      </c>
    </row>
    <row r="27" spans="1:25" ht="60" customHeight="1" x14ac:dyDescent="0.25">
      <c r="A27"/>
      <c r="B27" t="s">
        <v>3367</v>
      </c>
      <c r="C27" t="s">
        <v>3369</v>
      </c>
      <c r="D27" t="s">
        <v>643</v>
      </c>
      <c r="E27" t="s">
        <v>1673</v>
      </c>
      <c r="F27" t="s">
        <v>1674</v>
      </c>
      <c r="G27" t="s">
        <v>1506</v>
      </c>
      <c r="H27" s="30">
        <v>10.71</v>
      </c>
      <c r="I27" s="29">
        <f>H27*(1-IFERROR(VLOOKUP(G27,Rabat!$D$10:$E$41,2,FALSE),0))</f>
        <v>10.71</v>
      </c>
      <c r="J27" t="s">
        <v>1903</v>
      </c>
      <c r="K27" t="s">
        <v>82</v>
      </c>
      <c r="L27" t="s">
        <v>1901</v>
      </c>
      <c r="M27">
        <v>100</v>
      </c>
      <c r="N27">
        <v>6000</v>
      </c>
      <c r="O27" t="s">
        <v>3434</v>
      </c>
      <c r="P27" s="31" t="str">
        <f>HYPERLINK("https://b2b.kobi.pl/pl/product/9567,zarowka-led-gu10-7w-6000k-kobi?currency=PLN")</f>
        <v>https://b2b.kobi.pl/pl/product/9567,zarowka-led-gu10-7w-6000k-kobi?currency=PLN</v>
      </c>
      <c r="Q27" s="31" t="str">
        <f>HYPERLINK("https://eprel.ec.europa.eu/qr/660110")</f>
        <v>https://eprel.ec.europa.eu/qr/660110</v>
      </c>
      <c r="R27"/>
      <c r="S27" t="s">
        <v>2673</v>
      </c>
      <c r="T27"/>
      <c r="U27">
        <v>2.1999999999999999E-2</v>
      </c>
      <c r="V27">
        <v>2.7900000000000001E-2</v>
      </c>
      <c r="W27">
        <v>5.0999999999999996</v>
      </c>
      <c r="X27">
        <v>5.0999999999999996</v>
      </c>
      <c r="Y27">
        <v>6.5</v>
      </c>
    </row>
    <row r="28" spans="1:25" ht="60" customHeight="1" x14ac:dyDescent="0.25">
      <c r="A28"/>
      <c r="B28" t="s">
        <v>3367</v>
      </c>
      <c r="C28" t="s">
        <v>3369</v>
      </c>
      <c r="D28" t="s">
        <v>631</v>
      </c>
      <c r="E28" t="s">
        <v>1647</v>
      </c>
      <c r="F28" t="s">
        <v>1648</v>
      </c>
      <c r="G28" t="s">
        <v>1506</v>
      </c>
      <c r="H28" s="30">
        <v>10.210000000000001</v>
      </c>
      <c r="I28" s="29">
        <f>H28*(1-IFERROR(VLOOKUP(G28,Rabat!$D$10:$E$41,2,FALSE),0))</f>
        <v>10.210000000000001</v>
      </c>
      <c r="J28" t="s">
        <v>1903</v>
      </c>
      <c r="K28" t="s">
        <v>71</v>
      </c>
      <c r="L28" t="s">
        <v>1901</v>
      </c>
      <c r="M28">
        <v>100</v>
      </c>
      <c r="N28">
        <v>7200</v>
      </c>
      <c r="O28" t="s">
        <v>3435</v>
      </c>
      <c r="P28" s="31" t="str">
        <f>HYPERLINK("https://b2b.kobi.pl/pl/product/9542,zarowka-led-gu10-3w-3000k-kobi-premium?currency=PLN")</f>
        <v>https://b2b.kobi.pl/pl/product/9542,zarowka-led-gu10-3w-3000k-kobi-premium?currency=PLN</v>
      </c>
      <c r="Q28" s="31" t="str">
        <f>HYPERLINK("https://eprel.ec.europa.eu/qr/659875")</f>
        <v>https://eprel.ec.europa.eu/qr/659875</v>
      </c>
      <c r="R28"/>
      <c r="S28" t="s">
        <v>2673</v>
      </c>
      <c r="T28"/>
      <c r="U28">
        <v>2.5999999999999999E-2</v>
      </c>
      <c r="V28">
        <v>3.6999999999999998E-2</v>
      </c>
      <c r="W28">
        <v>5</v>
      </c>
      <c r="X28">
        <v>6.5</v>
      </c>
      <c r="Y28">
        <v>5</v>
      </c>
    </row>
    <row r="29" spans="1:25" ht="60" customHeight="1" x14ac:dyDescent="0.25">
      <c r="A29"/>
      <c r="B29" t="s">
        <v>3367</v>
      </c>
      <c r="C29" t="s">
        <v>3369</v>
      </c>
      <c r="D29" t="s">
        <v>631</v>
      </c>
      <c r="E29" t="s">
        <v>1649</v>
      </c>
      <c r="F29" t="s">
        <v>1650</v>
      </c>
      <c r="G29" t="s">
        <v>1506</v>
      </c>
      <c r="H29" s="30">
        <v>10.210000000000001</v>
      </c>
      <c r="I29" s="29">
        <f>H29*(1-IFERROR(VLOOKUP(G29,Rabat!$D$10:$E$41,2,FALSE),0))</f>
        <v>10.210000000000001</v>
      </c>
      <c r="J29" t="s">
        <v>1903</v>
      </c>
      <c r="K29" t="s">
        <v>72</v>
      </c>
      <c r="L29" t="s">
        <v>1901</v>
      </c>
      <c r="M29">
        <v>100</v>
      </c>
      <c r="N29">
        <v>7200</v>
      </c>
      <c r="O29" t="s">
        <v>3435</v>
      </c>
      <c r="P29" s="31" t="str">
        <f>HYPERLINK("https://b2b.kobi.pl/pl/product/9543,zarowka-led-gu10-3w-4000k-kobi-premium?currency=PLN")</f>
        <v>https://b2b.kobi.pl/pl/product/9543,zarowka-led-gu10-3w-4000k-kobi-premium?currency=PLN</v>
      </c>
      <c r="Q29" s="31" t="str">
        <f>HYPERLINK("https://eprel.ec.europa.eu/qr/659878")</f>
        <v>https://eprel.ec.europa.eu/qr/659878</v>
      </c>
      <c r="R29"/>
      <c r="S29" t="s">
        <v>2673</v>
      </c>
      <c r="T29"/>
      <c r="U29">
        <v>2.5999999999999999E-2</v>
      </c>
      <c r="V29">
        <v>3.6999999999999998E-2</v>
      </c>
      <c r="W29">
        <v>5</v>
      </c>
      <c r="X29">
        <v>6.5</v>
      </c>
      <c r="Y29">
        <v>5</v>
      </c>
    </row>
    <row r="30" spans="1:25" ht="60" customHeight="1" x14ac:dyDescent="0.25">
      <c r="A30"/>
      <c r="B30" t="s">
        <v>3367</v>
      </c>
      <c r="C30" t="s">
        <v>3369</v>
      </c>
      <c r="D30" t="s">
        <v>631</v>
      </c>
      <c r="E30" t="s">
        <v>1651</v>
      </c>
      <c r="F30" t="s">
        <v>1652</v>
      </c>
      <c r="G30" t="s">
        <v>1506</v>
      </c>
      <c r="H30" s="30">
        <v>10.210000000000001</v>
      </c>
      <c r="I30" s="29">
        <f>H30*(1-IFERROR(VLOOKUP(G30,Rabat!$D$10:$E$41,2,FALSE),0))</f>
        <v>10.210000000000001</v>
      </c>
      <c r="J30" t="s">
        <v>1903</v>
      </c>
      <c r="K30" t="s">
        <v>73</v>
      </c>
      <c r="L30" t="s">
        <v>1901</v>
      </c>
      <c r="M30">
        <v>100</v>
      </c>
      <c r="N30">
        <v>7200</v>
      </c>
      <c r="O30" t="s">
        <v>3435</v>
      </c>
      <c r="P30" s="31" t="str">
        <f>HYPERLINK("https://b2b.kobi.pl/pl/product/9545,zarowka-led-gu10-3w-6200k-kobi-premium?currency=PLN")</f>
        <v>https://b2b.kobi.pl/pl/product/9545,zarowka-led-gu10-3w-6200k-kobi-premium?currency=PLN</v>
      </c>
      <c r="Q30" s="31" t="str">
        <f>HYPERLINK("https://eprel.ec.europa.eu/qr/659881")</f>
        <v>https://eprel.ec.europa.eu/qr/659881</v>
      </c>
      <c r="R30"/>
      <c r="S30" t="s">
        <v>2673</v>
      </c>
      <c r="T30"/>
      <c r="U30">
        <v>2.5999999999999999E-2</v>
      </c>
      <c r="V30">
        <v>3.6999999999999998E-2</v>
      </c>
      <c r="W30">
        <v>5</v>
      </c>
      <c r="X30">
        <v>6.5</v>
      </c>
      <c r="Y30">
        <v>5</v>
      </c>
    </row>
    <row r="31" spans="1:25" ht="60" customHeight="1" x14ac:dyDescent="0.25">
      <c r="A31"/>
      <c r="B31" t="s">
        <v>3367</v>
      </c>
      <c r="C31" t="s">
        <v>3369</v>
      </c>
      <c r="D31" t="s">
        <v>631</v>
      </c>
      <c r="E31" t="s">
        <v>1655</v>
      </c>
      <c r="F31" t="s">
        <v>1656</v>
      </c>
      <c r="G31" t="s">
        <v>1506</v>
      </c>
      <c r="H31" s="30">
        <v>8.9</v>
      </c>
      <c r="I31" s="29">
        <f>H31*(1-IFERROR(VLOOKUP(G31,Rabat!$D$10:$E$41,2,FALSE),0))</f>
        <v>8.9</v>
      </c>
      <c r="J31" t="s">
        <v>1903</v>
      </c>
      <c r="K31" t="s">
        <v>77</v>
      </c>
      <c r="L31" t="s">
        <v>1901</v>
      </c>
      <c r="M31">
        <v>100</v>
      </c>
      <c r="N31">
        <v>7200</v>
      </c>
      <c r="O31" t="s">
        <v>3435</v>
      </c>
      <c r="P31" s="31" t="str">
        <f>HYPERLINK("https://b2b.kobi.pl/pl/product/9553,zarowka-led-gu10-5w-3000k-kobi-premium?currency=PLN")</f>
        <v>https://b2b.kobi.pl/pl/product/9553,zarowka-led-gu10-5w-3000k-kobi-premium?currency=PLN</v>
      </c>
      <c r="Q31" s="31" t="str">
        <f>HYPERLINK("https://eprel.ec.europa.eu/qr/659902")</f>
        <v>https://eprel.ec.europa.eu/qr/659902</v>
      </c>
      <c r="R31"/>
      <c r="S31" t="s">
        <v>2673</v>
      </c>
      <c r="T31"/>
      <c r="U31">
        <v>2.5000000000000001E-2</v>
      </c>
      <c r="V31">
        <v>3.6999999999999998E-2</v>
      </c>
      <c r="W31">
        <v>5</v>
      </c>
      <c r="X31">
        <v>6.5</v>
      </c>
      <c r="Y31">
        <v>5</v>
      </c>
    </row>
    <row r="32" spans="1:25" ht="60" customHeight="1" x14ac:dyDescent="0.25">
      <c r="A32"/>
      <c r="B32" t="s">
        <v>3367</v>
      </c>
      <c r="C32" t="s">
        <v>3369</v>
      </c>
      <c r="D32" t="s">
        <v>631</v>
      </c>
      <c r="E32" t="s">
        <v>1657</v>
      </c>
      <c r="F32" t="s">
        <v>1658</v>
      </c>
      <c r="G32" t="s">
        <v>1506</v>
      </c>
      <c r="H32" s="30">
        <v>10.95</v>
      </c>
      <c r="I32" s="29">
        <f>H32*(1-IFERROR(VLOOKUP(G32,Rabat!$D$10:$E$41,2,FALSE),0))</f>
        <v>10.95</v>
      </c>
      <c r="J32" t="s">
        <v>1903</v>
      </c>
      <c r="K32" t="s">
        <v>78</v>
      </c>
      <c r="L32" t="s">
        <v>1901</v>
      </c>
      <c r="M32">
        <v>100</v>
      </c>
      <c r="N32">
        <v>7200</v>
      </c>
      <c r="O32" t="s">
        <v>3435</v>
      </c>
      <c r="P32" s="31" t="str">
        <f>HYPERLINK("https://b2b.kobi.pl/pl/product/9555,zarowka-led-gu10-5w-4000k-kobi-premium?currency=PLN")</f>
        <v>https://b2b.kobi.pl/pl/product/9555,zarowka-led-gu10-5w-4000k-kobi-premium?currency=PLN</v>
      </c>
      <c r="Q32" s="31" t="str">
        <f>HYPERLINK("https://eprel.ec.europa.eu/qr/660087")</f>
        <v>https://eprel.ec.europa.eu/qr/660087</v>
      </c>
      <c r="R32"/>
      <c r="S32" t="s">
        <v>2673</v>
      </c>
      <c r="T32"/>
      <c r="U32">
        <v>2.5000000000000001E-2</v>
      </c>
      <c r="V32">
        <v>3.6999999999999998E-2</v>
      </c>
      <c r="W32">
        <v>5</v>
      </c>
      <c r="X32">
        <v>6.5</v>
      </c>
      <c r="Y32">
        <v>5</v>
      </c>
    </row>
    <row r="33" spans="1:25" ht="60" customHeight="1" x14ac:dyDescent="0.25">
      <c r="A33"/>
      <c r="B33" t="s">
        <v>3367</v>
      </c>
      <c r="C33" t="s">
        <v>3369</v>
      </c>
      <c r="D33" t="s">
        <v>631</v>
      </c>
      <c r="E33" t="s">
        <v>1663</v>
      </c>
      <c r="F33" t="s">
        <v>1664</v>
      </c>
      <c r="G33" t="s">
        <v>1506</v>
      </c>
      <c r="H33" s="30">
        <v>10.95</v>
      </c>
      <c r="I33" s="29">
        <f>H33*(1-IFERROR(VLOOKUP(G33,Rabat!$D$10:$E$41,2,FALSE),0))</f>
        <v>10.95</v>
      </c>
      <c r="J33" t="s">
        <v>1903</v>
      </c>
      <c r="K33" t="s">
        <v>79</v>
      </c>
      <c r="L33" t="s">
        <v>1901</v>
      </c>
      <c r="M33">
        <v>100</v>
      </c>
      <c r="N33">
        <v>7200</v>
      </c>
      <c r="O33" t="s">
        <v>3435</v>
      </c>
      <c r="P33" s="31" t="str">
        <f>HYPERLINK("https://b2b.kobi.pl/pl/product/9558,zarowka-led-gu10-5w-6500k-kobi-premium?currency=PLN")</f>
        <v>https://b2b.kobi.pl/pl/product/9558,zarowka-led-gu10-5w-6500k-kobi-premium?currency=PLN</v>
      </c>
      <c r="Q33" s="31" t="str">
        <f>HYPERLINK("https://eprel.ec.europa.eu/qr/660096")</f>
        <v>https://eprel.ec.europa.eu/qr/660096</v>
      </c>
      <c r="R33"/>
      <c r="S33" t="s">
        <v>2673</v>
      </c>
      <c r="T33"/>
      <c r="U33">
        <v>2.5000000000000001E-2</v>
      </c>
      <c r="V33">
        <v>3.6999999999999998E-2</v>
      </c>
      <c r="W33">
        <v>5</v>
      </c>
      <c r="X33">
        <v>6.5</v>
      </c>
      <c r="Y33">
        <v>5</v>
      </c>
    </row>
    <row r="34" spans="1:25" ht="60" customHeight="1" x14ac:dyDescent="0.25">
      <c r="A34"/>
      <c r="B34" t="s">
        <v>3367</v>
      </c>
      <c r="C34" t="s">
        <v>3369</v>
      </c>
      <c r="D34" t="s">
        <v>631</v>
      </c>
      <c r="E34" t="s">
        <v>1667</v>
      </c>
      <c r="F34" t="s">
        <v>1668</v>
      </c>
      <c r="G34" t="s">
        <v>1506</v>
      </c>
      <c r="H34" s="30">
        <v>14.17</v>
      </c>
      <c r="I34" s="29">
        <f>H34*(1-IFERROR(VLOOKUP(G34,Rabat!$D$10:$E$41,2,FALSE),0))</f>
        <v>14.17</v>
      </c>
      <c r="J34" t="s">
        <v>1903</v>
      </c>
      <c r="K34" t="s">
        <v>83</v>
      </c>
      <c r="L34" t="s">
        <v>1901</v>
      </c>
      <c r="M34">
        <v>100</v>
      </c>
      <c r="N34">
        <v>7200</v>
      </c>
      <c r="O34" t="s">
        <v>3435</v>
      </c>
      <c r="P34" s="31" t="str">
        <f>HYPERLINK("https://b2b.kobi.pl/pl/product/9564,zarowka-led-gu10-7w-3000k-kobi-premium?currency=PLN")</f>
        <v>https://b2b.kobi.pl/pl/product/9564,zarowka-led-gu10-7w-3000k-kobi-premium?currency=PLN</v>
      </c>
      <c r="Q34" s="31" t="str">
        <f>HYPERLINK("https://eprel.ec.europa.eu/qr/660099")</f>
        <v>https://eprel.ec.europa.eu/qr/660099</v>
      </c>
      <c r="R34"/>
      <c r="S34" t="s">
        <v>2673</v>
      </c>
      <c r="T34"/>
      <c r="U34">
        <v>2.7E-2</v>
      </c>
      <c r="V34">
        <v>0.04</v>
      </c>
      <c r="W34">
        <v>5</v>
      </c>
      <c r="X34">
        <v>6.5</v>
      </c>
      <c r="Y34">
        <v>5</v>
      </c>
    </row>
    <row r="35" spans="1:25" ht="60" customHeight="1" x14ac:dyDescent="0.25">
      <c r="A35"/>
      <c r="B35" t="s">
        <v>3367</v>
      </c>
      <c r="C35" t="s">
        <v>3369</v>
      </c>
      <c r="D35" t="s">
        <v>631</v>
      </c>
      <c r="E35" t="s">
        <v>1671</v>
      </c>
      <c r="F35" t="s">
        <v>1672</v>
      </c>
      <c r="G35" t="s">
        <v>1506</v>
      </c>
      <c r="H35" s="30">
        <v>14.17</v>
      </c>
      <c r="I35" s="29">
        <f>H35*(1-IFERROR(VLOOKUP(G35,Rabat!$D$10:$E$41,2,FALSE),0))</f>
        <v>14.17</v>
      </c>
      <c r="J35" t="s">
        <v>1903</v>
      </c>
      <c r="K35" t="s">
        <v>84</v>
      </c>
      <c r="L35" t="s">
        <v>1901</v>
      </c>
      <c r="M35">
        <v>100</v>
      </c>
      <c r="N35">
        <v>7200</v>
      </c>
      <c r="O35" t="s">
        <v>3435</v>
      </c>
      <c r="P35" s="31" t="str">
        <f>HYPERLINK("https://b2b.kobi.pl/pl/product/9566,zarowka-led-gu10-7w-4000k-kobi-premium?currency=PLN")</f>
        <v>https://b2b.kobi.pl/pl/product/9566,zarowka-led-gu10-7w-4000k-kobi-premium?currency=PLN</v>
      </c>
      <c r="Q35" s="31" t="str">
        <f>HYPERLINK("https://eprel.ec.europa.eu/qr/660106")</f>
        <v>https://eprel.ec.europa.eu/qr/660106</v>
      </c>
      <c r="R35"/>
      <c r="S35" t="s">
        <v>2673</v>
      </c>
      <c r="T35"/>
      <c r="U35">
        <v>2.7E-2</v>
      </c>
      <c r="V35">
        <v>0.04</v>
      </c>
      <c r="W35">
        <v>5</v>
      </c>
      <c r="X35">
        <v>6.5</v>
      </c>
      <c r="Y35">
        <v>5</v>
      </c>
    </row>
    <row r="36" spans="1:25" ht="60" customHeight="1" x14ac:dyDescent="0.25">
      <c r="A36"/>
      <c r="B36" t="s">
        <v>3367</v>
      </c>
      <c r="C36" t="s">
        <v>3369</v>
      </c>
      <c r="D36" t="s">
        <v>631</v>
      </c>
      <c r="E36" t="s">
        <v>1675</v>
      </c>
      <c r="F36" t="s">
        <v>1676</v>
      </c>
      <c r="G36" t="s">
        <v>1506</v>
      </c>
      <c r="H36" s="30">
        <v>14.17</v>
      </c>
      <c r="I36" s="29">
        <f>H36*(1-IFERROR(VLOOKUP(G36,Rabat!$D$10:$E$41,2,FALSE),0))</f>
        <v>14.17</v>
      </c>
      <c r="J36" t="s">
        <v>1903</v>
      </c>
      <c r="K36" t="s">
        <v>85</v>
      </c>
      <c r="L36" t="s">
        <v>1901</v>
      </c>
      <c r="M36">
        <v>100</v>
      </c>
      <c r="N36">
        <v>7200</v>
      </c>
      <c r="O36" t="s">
        <v>3435</v>
      </c>
      <c r="P36" s="31" t="str">
        <f>HYPERLINK("https://b2b.kobi.pl/pl/product/9568,zarowka-led-gu10-7w-6500k-kobi-premium?currency=PLN")</f>
        <v>https://b2b.kobi.pl/pl/product/9568,zarowka-led-gu10-7w-6500k-kobi-premium?currency=PLN</v>
      </c>
      <c r="Q36" s="31" t="str">
        <f>HYPERLINK("https://eprel.ec.europa.eu/qr/660149")</f>
        <v>https://eprel.ec.europa.eu/qr/660149</v>
      </c>
      <c r="R36"/>
      <c r="S36" t="s">
        <v>2673</v>
      </c>
      <c r="T36"/>
      <c r="U36">
        <v>2.7E-2</v>
      </c>
      <c r="V36">
        <v>0.04</v>
      </c>
      <c r="W36">
        <v>5</v>
      </c>
      <c r="X36">
        <v>6.5</v>
      </c>
      <c r="Y36">
        <v>5</v>
      </c>
    </row>
    <row r="37" spans="1:25" ht="60" customHeight="1" x14ac:dyDescent="0.25">
      <c r="A37"/>
      <c r="B37" t="s">
        <v>3367</v>
      </c>
      <c r="C37" t="s">
        <v>3369</v>
      </c>
      <c r="D37" t="s">
        <v>631</v>
      </c>
      <c r="E37" t="s">
        <v>1683</v>
      </c>
      <c r="F37" t="s">
        <v>1684</v>
      </c>
      <c r="G37" t="s">
        <v>1506</v>
      </c>
      <c r="H37" s="30">
        <v>21.95</v>
      </c>
      <c r="I37" s="29">
        <f>H37*(1-IFERROR(VLOOKUP(G37,Rabat!$D$10:$E$41,2,FALSE),0))</f>
        <v>21.95</v>
      </c>
      <c r="J37" t="s">
        <v>1907</v>
      </c>
      <c r="K37" t="s">
        <v>86</v>
      </c>
      <c r="L37" t="s">
        <v>1901</v>
      </c>
      <c r="M37">
        <v>100</v>
      </c>
      <c r="N37">
        <v>6000</v>
      </c>
      <c r="O37" t="s">
        <v>3434</v>
      </c>
      <c r="P37" s="31" t="str">
        <f>HYPERLINK("https://b2b.kobi.pl/pl/product/9572,zarowka-led-gu10-9w-3000k-kobi-premium?currency=PLN")</f>
        <v>https://b2b.kobi.pl/pl/product/9572,zarowka-led-gu10-9w-3000k-kobi-premium?currency=PLN</v>
      </c>
      <c r="Q37" s="31" t="str">
        <f>HYPERLINK("https://eprel.ec.europa.eu/qr/793979")</f>
        <v>https://eprel.ec.europa.eu/qr/793979</v>
      </c>
      <c r="R37"/>
      <c r="S37" t="s">
        <v>2673</v>
      </c>
      <c r="T37"/>
      <c r="U37">
        <v>5.8000000000000003E-2</v>
      </c>
      <c r="V37">
        <v>6.7000000000000004E-2</v>
      </c>
      <c r="W37">
        <v>6.8</v>
      </c>
      <c r="X37">
        <v>5.2</v>
      </c>
      <c r="Y37">
        <v>5.2</v>
      </c>
    </row>
    <row r="38" spans="1:25" ht="60" customHeight="1" x14ac:dyDescent="0.25">
      <c r="A38"/>
      <c r="B38" t="s">
        <v>3367</v>
      </c>
      <c r="C38" t="s">
        <v>3369</v>
      </c>
      <c r="D38" t="s">
        <v>631</v>
      </c>
      <c r="E38" t="s">
        <v>1685</v>
      </c>
      <c r="F38" t="s">
        <v>1686</v>
      </c>
      <c r="G38" t="s">
        <v>1506</v>
      </c>
      <c r="H38" s="30">
        <v>21.95</v>
      </c>
      <c r="I38" s="29">
        <f>H38*(1-IFERROR(VLOOKUP(G38,Rabat!$D$10:$E$41,2,FALSE),0))</f>
        <v>21.95</v>
      </c>
      <c r="J38" t="s">
        <v>1907</v>
      </c>
      <c r="K38" t="s">
        <v>87</v>
      </c>
      <c r="L38" t="s">
        <v>1901</v>
      </c>
      <c r="M38">
        <v>100</v>
      </c>
      <c r="N38">
        <v>6000</v>
      </c>
      <c r="O38" t="s">
        <v>3434</v>
      </c>
      <c r="P38" s="31" t="str">
        <f>HYPERLINK("https://b2b.kobi.pl/pl/product/9573,zarowka-led-gu10-9w-4000k-kobi-premium?currency=PLN")</f>
        <v>https://b2b.kobi.pl/pl/product/9573,zarowka-led-gu10-9w-4000k-kobi-premium?currency=PLN</v>
      </c>
      <c r="Q38" s="31" t="str">
        <f>HYPERLINK("https://eprel.ec.europa.eu/qr/794019")</f>
        <v>https://eprel.ec.europa.eu/qr/794019</v>
      </c>
      <c r="R38"/>
      <c r="S38" t="s">
        <v>2673</v>
      </c>
      <c r="T38"/>
      <c r="U38">
        <v>5.8000000000000003E-2</v>
      </c>
      <c r="V38">
        <v>6.7000000000000004E-2</v>
      </c>
      <c r="W38">
        <v>6.8</v>
      </c>
      <c r="X38">
        <v>5.2</v>
      </c>
      <c r="Y38">
        <v>5.2</v>
      </c>
    </row>
    <row r="39" spans="1:25" ht="60" customHeight="1" x14ac:dyDescent="0.25">
      <c r="A39"/>
      <c r="B39" t="s">
        <v>3367</v>
      </c>
      <c r="C39" t="s">
        <v>3369</v>
      </c>
      <c r="D39" t="s">
        <v>631</v>
      </c>
      <c r="E39" t="s">
        <v>1687</v>
      </c>
      <c r="F39" t="s">
        <v>1688</v>
      </c>
      <c r="G39" t="s">
        <v>1506</v>
      </c>
      <c r="H39" s="30">
        <v>21.95</v>
      </c>
      <c r="I39" s="29">
        <f>H39*(1-IFERROR(VLOOKUP(G39,Rabat!$D$10:$E$41,2,FALSE),0))</f>
        <v>21.95</v>
      </c>
      <c r="J39" t="s">
        <v>1907</v>
      </c>
      <c r="K39" t="s">
        <v>88</v>
      </c>
      <c r="L39" t="s">
        <v>1901</v>
      </c>
      <c r="M39">
        <v>100</v>
      </c>
      <c r="N39">
        <v>6000</v>
      </c>
      <c r="O39" t="s">
        <v>3434</v>
      </c>
      <c r="P39" s="31" t="str">
        <f>HYPERLINK("https://b2b.kobi.pl/pl/product/9574,zarowka-led-gu10-9w-6000k-kobi-premium?currency=PLN")</f>
        <v>https://b2b.kobi.pl/pl/product/9574,zarowka-led-gu10-9w-6000k-kobi-premium?currency=PLN</v>
      </c>
      <c r="Q39" s="31" t="str">
        <f>HYPERLINK("https://eprel.ec.europa.eu/qr/794024")</f>
        <v>https://eprel.ec.europa.eu/qr/794024</v>
      </c>
      <c r="R39"/>
      <c r="S39" t="s">
        <v>2673</v>
      </c>
      <c r="T39"/>
      <c r="U39">
        <v>5.8000000000000003E-2</v>
      </c>
      <c r="V39">
        <v>6.7000000000000004E-2</v>
      </c>
      <c r="W39">
        <v>6.8</v>
      </c>
      <c r="X39">
        <v>5.2</v>
      </c>
      <c r="Y39">
        <v>5.2</v>
      </c>
    </row>
    <row r="40" spans="1:25" ht="60" customHeight="1" x14ac:dyDescent="0.25">
      <c r="A40"/>
      <c r="B40" t="s">
        <v>3367</v>
      </c>
      <c r="C40" t="s">
        <v>3369</v>
      </c>
      <c r="D40" t="s">
        <v>17</v>
      </c>
      <c r="E40" t="s">
        <v>1677</v>
      </c>
      <c r="F40" t="s">
        <v>1678</v>
      </c>
      <c r="G40" t="s">
        <v>1506</v>
      </c>
      <c r="H40" s="30">
        <v>9.7799999999999994</v>
      </c>
      <c r="I40" s="29">
        <f>H40*(1-IFERROR(VLOOKUP(G40,Rabat!$D$10:$E$41,2,FALSE),0))</f>
        <v>9.7799999999999994</v>
      </c>
      <c r="J40" t="s">
        <v>1903</v>
      </c>
      <c r="K40" t="s">
        <v>1989</v>
      </c>
      <c r="L40" t="s">
        <v>1901</v>
      </c>
      <c r="M40">
        <v>100</v>
      </c>
      <c r="N40">
        <v>5000</v>
      </c>
      <c r="O40" t="s">
        <v>3434</v>
      </c>
      <c r="P40" s="31" t="str">
        <f>HYPERLINK("https://b2b.kobi.pl/pl/product/12253,zarowka-led-gu10-8-5w-3000k-led2b?currency=PLN")</f>
        <v>https://b2b.kobi.pl/pl/product/12253,zarowka-led-gu10-8-5w-3000k-led2b?currency=PLN</v>
      </c>
      <c r="Q40" s="31" t="str">
        <f>HYPERLINK("https://eprel.ec.europa.eu/qr/2178052")</f>
        <v>https://eprel.ec.europa.eu/qr/2178052</v>
      </c>
      <c r="R40"/>
      <c r="S40" t="s">
        <v>2673</v>
      </c>
      <c r="T40"/>
      <c r="U40">
        <v>2.1000000000000001E-2</v>
      </c>
      <c r="V40">
        <v>2.9000000000000001E-2</v>
      </c>
      <c r="W40">
        <v>5.4</v>
      </c>
      <c r="X40">
        <v>5.4</v>
      </c>
      <c r="Y40">
        <v>6</v>
      </c>
    </row>
    <row r="41" spans="1:25" ht="60" customHeight="1" x14ac:dyDescent="0.25">
      <c r="A41"/>
      <c r="B41" t="s">
        <v>3367</v>
      </c>
      <c r="C41" t="s">
        <v>3369</v>
      </c>
      <c r="D41" t="s">
        <v>17</v>
      </c>
      <c r="E41" t="s">
        <v>1679</v>
      </c>
      <c r="F41" t="s">
        <v>1680</v>
      </c>
      <c r="G41" t="s">
        <v>1506</v>
      </c>
      <c r="H41" s="30">
        <v>9.7799999999999994</v>
      </c>
      <c r="I41" s="29">
        <f>H41*(1-IFERROR(VLOOKUP(G41,Rabat!$D$10:$E$41,2,FALSE),0))</f>
        <v>9.7799999999999994</v>
      </c>
      <c r="J41" t="s">
        <v>1903</v>
      </c>
      <c r="K41" t="s">
        <v>1990</v>
      </c>
      <c r="L41" t="s">
        <v>1901</v>
      </c>
      <c r="M41">
        <v>100</v>
      </c>
      <c r="N41">
        <v>5000</v>
      </c>
      <c r="O41" t="s">
        <v>3434</v>
      </c>
      <c r="P41" s="31" t="str">
        <f>HYPERLINK("https://b2b.kobi.pl/pl/product/12254,zarowka-led-gu10-8-5w-4000k-led2b?currency=PLN")</f>
        <v>https://b2b.kobi.pl/pl/product/12254,zarowka-led-gu10-8-5w-4000k-led2b?currency=PLN</v>
      </c>
      <c r="Q41" s="31" t="str">
        <f>HYPERLINK("https://eprel.ec.europa.eu/qr/2178058")</f>
        <v>https://eprel.ec.europa.eu/qr/2178058</v>
      </c>
      <c r="R41"/>
      <c r="S41" t="s">
        <v>2673</v>
      </c>
      <c r="T41"/>
      <c r="U41">
        <v>2.1000000000000001E-2</v>
      </c>
      <c r="V41">
        <v>2.9000000000000001E-2</v>
      </c>
      <c r="W41">
        <v>5.4</v>
      </c>
      <c r="X41">
        <v>5.4</v>
      </c>
      <c r="Y41">
        <v>6</v>
      </c>
    </row>
    <row r="42" spans="1:25" ht="60" customHeight="1" x14ac:dyDescent="0.25">
      <c r="A42"/>
      <c r="B42" t="s">
        <v>3367</v>
      </c>
      <c r="C42" t="s">
        <v>3369</v>
      </c>
      <c r="D42" t="s">
        <v>17</v>
      </c>
      <c r="E42" t="s">
        <v>1681</v>
      </c>
      <c r="F42" t="s">
        <v>1682</v>
      </c>
      <c r="G42" t="s">
        <v>1506</v>
      </c>
      <c r="H42" s="30">
        <v>9.7799999999999994</v>
      </c>
      <c r="I42" s="29">
        <f>H42*(1-IFERROR(VLOOKUP(G42,Rabat!$D$10:$E$41,2,FALSE),0))</f>
        <v>9.7799999999999994</v>
      </c>
      <c r="J42" t="s">
        <v>1903</v>
      </c>
      <c r="K42" t="s">
        <v>1991</v>
      </c>
      <c r="L42" t="s">
        <v>1901</v>
      </c>
      <c r="M42">
        <v>100</v>
      </c>
      <c r="N42">
        <v>5000</v>
      </c>
      <c r="O42" t="s">
        <v>3434</v>
      </c>
      <c r="P42" s="31" t="str">
        <f>HYPERLINK("https://b2b.kobi.pl/pl/product/12255,zarowka-led-gu10-8-5w-6500k-led2b?currency=PLN")</f>
        <v>https://b2b.kobi.pl/pl/product/12255,zarowka-led-gu10-8-5w-6500k-led2b?currency=PLN</v>
      </c>
      <c r="Q42" s="31" t="str">
        <f>HYPERLINK("https://eprel.ec.europa.eu/qr/2178065")</f>
        <v>https://eprel.ec.europa.eu/qr/2178065</v>
      </c>
      <c r="R42"/>
      <c r="S42" t="s">
        <v>2673</v>
      </c>
      <c r="T42"/>
      <c r="U42">
        <v>2.1000000000000001E-2</v>
      </c>
      <c r="V42">
        <v>2.9000000000000001E-2</v>
      </c>
      <c r="W42">
        <v>5.4</v>
      </c>
      <c r="X42">
        <v>5.4</v>
      </c>
      <c r="Y42">
        <v>6</v>
      </c>
    </row>
    <row r="43" spans="1:25" ht="60" customHeight="1" x14ac:dyDescent="0.25">
      <c r="A43"/>
      <c r="B43" t="s">
        <v>3367</v>
      </c>
      <c r="C43" t="s">
        <v>3369</v>
      </c>
      <c r="D43" t="s">
        <v>643</v>
      </c>
      <c r="E43" t="s">
        <v>3158</v>
      </c>
      <c r="F43" t="s">
        <v>3159</v>
      </c>
      <c r="G43" t="s">
        <v>1506</v>
      </c>
      <c r="H43" s="30">
        <v>6.98</v>
      </c>
      <c r="I43" s="29">
        <f>H43*(1-IFERROR(VLOOKUP(G43,Rabat!$D$10:$E$41,2,FALSE),0))</f>
        <v>6.98</v>
      </c>
      <c r="J43" t="s">
        <v>1905</v>
      </c>
      <c r="K43" t="s">
        <v>3207</v>
      </c>
      <c r="L43" t="s">
        <v>1901</v>
      </c>
      <c r="M43">
        <v>100</v>
      </c>
      <c r="N43"/>
      <c r="O43" t="s">
        <v>3434</v>
      </c>
      <c r="P43" s="31" t="str">
        <f>HYPERLINK("https://b2b.kobi.pl/pl/product/13118,zarowka-led-gx53-5w-3000k-kobi?currency=PLN")</f>
        <v>https://b2b.kobi.pl/pl/product/13118,zarowka-led-gx53-5w-3000k-kobi?currency=PLN</v>
      </c>
      <c r="Q43" s="31" t="str">
        <f>HYPERLINK("https://eprel.ec.europa.eu/qr/2492355")</f>
        <v>https://eprel.ec.europa.eu/qr/2492355</v>
      </c>
      <c r="R43"/>
      <c r="S43" t="s">
        <v>2673</v>
      </c>
      <c r="T43"/>
      <c r="U43">
        <v>0.02</v>
      </c>
      <c r="V43">
        <v>0.03</v>
      </c>
      <c r="W43">
        <v>7.5</v>
      </c>
      <c r="X43">
        <v>2.9</v>
      </c>
      <c r="Y43">
        <v>7.5</v>
      </c>
    </row>
    <row r="44" spans="1:25" ht="60" customHeight="1" x14ac:dyDescent="0.25">
      <c r="A44"/>
      <c r="B44" t="s">
        <v>3367</v>
      </c>
      <c r="C44" t="s">
        <v>3369</v>
      </c>
      <c r="D44" t="s">
        <v>643</v>
      </c>
      <c r="E44" t="s">
        <v>3160</v>
      </c>
      <c r="F44" t="s">
        <v>3161</v>
      </c>
      <c r="G44" t="s">
        <v>1506</v>
      </c>
      <c r="H44" s="30">
        <v>6.98</v>
      </c>
      <c r="I44" s="29">
        <f>H44*(1-IFERROR(VLOOKUP(G44,Rabat!$D$10:$E$41,2,FALSE),0))</f>
        <v>6.98</v>
      </c>
      <c r="J44" t="s">
        <v>1905</v>
      </c>
      <c r="K44" t="s">
        <v>3208</v>
      </c>
      <c r="L44" t="s">
        <v>1901</v>
      </c>
      <c r="M44">
        <v>100</v>
      </c>
      <c r="N44"/>
      <c r="O44" t="s">
        <v>3434</v>
      </c>
      <c r="P44" s="31" t="str">
        <f>HYPERLINK("https://b2b.kobi.pl/pl/product/13119,zarowka-led-gx53-5w-4000k-kobi?currency=PLN")</f>
        <v>https://b2b.kobi.pl/pl/product/13119,zarowka-led-gx53-5w-4000k-kobi?currency=PLN</v>
      </c>
      <c r="Q44" s="31" t="str">
        <f>HYPERLINK("https://eprel.ec.europa.eu/qr/2497805")</f>
        <v>https://eprel.ec.europa.eu/qr/2497805</v>
      </c>
      <c r="R44"/>
      <c r="S44" t="s">
        <v>2673</v>
      </c>
      <c r="T44"/>
      <c r="U44">
        <v>0.02</v>
      </c>
      <c r="V44">
        <v>0.03</v>
      </c>
      <c r="W44">
        <v>7.5</v>
      </c>
      <c r="X44">
        <v>2.9</v>
      </c>
      <c r="Y44">
        <v>7.5</v>
      </c>
    </row>
    <row r="45" spans="1:25" ht="60" customHeight="1" x14ac:dyDescent="0.25">
      <c r="A45"/>
      <c r="B45" t="s">
        <v>3367</v>
      </c>
      <c r="C45" t="s">
        <v>3369</v>
      </c>
      <c r="D45" t="s">
        <v>643</v>
      </c>
      <c r="E45" t="s">
        <v>3162</v>
      </c>
      <c r="F45" t="s">
        <v>3163</v>
      </c>
      <c r="G45" t="s">
        <v>1506</v>
      </c>
      <c r="H45" s="30">
        <v>9.1300000000000008</v>
      </c>
      <c r="I45" s="29">
        <f>H45*(1-IFERROR(VLOOKUP(G45,Rabat!$D$10:$E$41,2,FALSE),0))</f>
        <v>9.1300000000000008</v>
      </c>
      <c r="J45" t="s">
        <v>1903</v>
      </c>
      <c r="K45" t="s">
        <v>3209</v>
      </c>
      <c r="L45" t="s">
        <v>1901</v>
      </c>
      <c r="M45">
        <v>100</v>
      </c>
      <c r="N45"/>
      <c r="O45" t="s">
        <v>3434</v>
      </c>
      <c r="P45" s="31" t="str">
        <f>HYPERLINK("https://b2b.kobi.pl/pl/product/13120,zarowka-led-gx53-9w-3000k-kobi?currency=PLN")</f>
        <v>https://b2b.kobi.pl/pl/product/13120,zarowka-led-gx53-9w-3000k-kobi?currency=PLN</v>
      </c>
      <c r="Q45" s="31" t="str">
        <f>HYPERLINK("https://eprel.ec.europa.eu/qr/2498692")</f>
        <v>https://eprel.ec.europa.eu/qr/2498692</v>
      </c>
      <c r="R45"/>
      <c r="S45" t="s">
        <v>2673</v>
      </c>
      <c r="T45"/>
      <c r="U45">
        <v>0.03</v>
      </c>
      <c r="V45">
        <v>3.7999999999999999E-2</v>
      </c>
      <c r="W45">
        <v>7.5</v>
      </c>
      <c r="X45">
        <v>3.2</v>
      </c>
      <c r="Y45">
        <v>7.5</v>
      </c>
    </row>
    <row r="46" spans="1:25" ht="60" customHeight="1" x14ac:dyDescent="0.25">
      <c r="A46"/>
      <c r="B46" t="s">
        <v>3367</v>
      </c>
      <c r="C46" t="s">
        <v>3369</v>
      </c>
      <c r="D46" t="s">
        <v>643</v>
      </c>
      <c r="E46" t="s">
        <v>3164</v>
      </c>
      <c r="F46" t="s">
        <v>3165</v>
      </c>
      <c r="G46" t="s">
        <v>1506</v>
      </c>
      <c r="H46" s="30">
        <v>9.1300000000000008</v>
      </c>
      <c r="I46" s="29">
        <f>H46*(1-IFERROR(VLOOKUP(G46,Rabat!$D$10:$E$41,2,FALSE),0))</f>
        <v>9.1300000000000008</v>
      </c>
      <c r="J46" t="s">
        <v>1903</v>
      </c>
      <c r="K46" t="s">
        <v>3210</v>
      </c>
      <c r="L46" t="s">
        <v>1901</v>
      </c>
      <c r="M46">
        <v>100</v>
      </c>
      <c r="N46"/>
      <c r="O46" t="s">
        <v>3434</v>
      </c>
      <c r="P46" s="31" t="str">
        <f>HYPERLINK("https://b2b.kobi.pl/pl/product/13121,zarowka-led-gx53-9w-4000k-kobi?currency=PLN")</f>
        <v>https://b2b.kobi.pl/pl/product/13121,zarowka-led-gx53-9w-4000k-kobi?currency=PLN</v>
      </c>
      <c r="Q46" s="31" t="str">
        <f>HYPERLINK("https://eprel.ec.europa.eu/qr/2499034")</f>
        <v>https://eprel.ec.europa.eu/qr/2499034</v>
      </c>
      <c r="R46"/>
      <c r="S46" t="s">
        <v>2673</v>
      </c>
      <c r="T46"/>
      <c r="U46">
        <v>0.03</v>
      </c>
      <c r="V46">
        <v>3.7999999999999999E-2</v>
      </c>
      <c r="W46">
        <v>7.5</v>
      </c>
      <c r="X46">
        <v>3.2</v>
      </c>
      <c r="Y46">
        <v>7.5</v>
      </c>
    </row>
    <row r="47" spans="1:25" ht="60" customHeight="1" x14ac:dyDescent="0.25">
      <c r="A47"/>
      <c r="B47" t="s">
        <v>3367</v>
      </c>
      <c r="C47" t="s">
        <v>3369</v>
      </c>
      <c r="D47" t="s">
        <v>643</v>
      </c>
      <c r="E47" t="s">
        <v>3166</v>
      </c>
      <c r="F47" t="s">
        <v>3167</v>
      </c>
      <c r="G47" t="s">
        <v>1506</v>
      </c>
      <c r="H47" s="30">
        <v>10.24</v>
      </c>
      <c r="I47" s="29">
        <f>H47*(1-IFERROR(VLOOKUP(G47,Rabat!$D$10:$E$41,2,FALSE),0))</f>
        <v>10.24</v>
      </c>
      <c r="J47" t="s">
        <v>1903</v>
      </c>
      <c r="K47" t="s">
        <v>3211</v>
      </c>
      <c r="L47" t="s">
        <v>1901</v>
      </c>
      <c r="M47">
        <v>100</v>
      </c>
      <c r="N47"/>
      <c r="O47" t="s">
        <v>3434</v>
      </c>
      <c r="P47" s="31" t="str">
        <f>HYPERLINK("https://b2b.kobi.pl/pl/product/13122,zarowka-led-gx53-11w-3000k-kobi?currency=PLN")</f>
        <v>https://b2b.kobi.pl/pl/product/13122,zarowka-led-gx53-11w-3000k-kobi?currency=PLN</v>
      </c>
      <c r="Q47" s="31" t="str">
        <f>HYPERLINK("https://eprel.ec.europa.eu/qr/2499052")</f>
        <v>https://eprel.ec.europa.eu/qr/2499052</v>
      </c>
      <c r="R47"/>
      <c r="S47" t="s">
        <v>2673</v>
      </c>
      <c r="T47"/>
      <c r="U47">
        <v>0.03</v>
      </c>
      <c r="V47">
        <v>0.04</v>
      </c>
      <c r="W47">
        <v>7.5</v>
      </c>
      <c r="X47">
        <v>3.2</v>
      </c>
      <c r="Y47">
        <v>7.5</v>
      </c>
    </row>
    <row r="48" spans="1:25" ht="60" customHeight="1" x14ac:dyDescent="0.25">
      <c r="A48"/>
      <c r="B48" t="s">
        <v>3367</v>
      </c>
      <c r="C48" t="s">
        <v>3369</v>
      </c>
      <c r="D48" t="s">
        <v>643</v>
      </c>
      <c r="E48" t="s">
        <v>1577</v>
      </c>
      <c r="F48" t="s">
        <v>1578</v>
      </c>
      <c r="G48" t="s">
        <v>1506</v>
      </c>
      <c r="H48" s="30">
        <v>17.239999999999998</v>
      </c>
      <c r="I48" s="29">
        <f>H48*(1-IFERROR(VLOOKUP(G48,Rabat!$D$10:$E$41,2,FALSE),0))</f>
        <v>17.239999999999998</v>
      </c>
      <c r="J48" t="s">
        <v>1900</v>
      </c>
      <c r="K48" t="s">
        <v>35</v>
      </c>
      <c r="L48" t="s">
        <v>1901</v>
      </c>
      <c r="M48">
        <v>500</v>
      </c>
      <c r="N48"/>
      <c r="O48" t="s">
        <v>3434</v>
      </c>
      <c r="P48" s="31" t="str">
        <f>HYPERLINK("https://b2b.kobi.pl/pl/product/9498,zarowka-led-g9-3w-3000k-kobi?currency=PLN")</f>
        <v>https://b2b.kobi.pl/pl/product/9498,zarowka-led-g9-3w-3000k-kobi?currency=PLN</v>
      </c>
      <c r="Q48" s="31" t="str">
        <f>HYPERLINK("https://eprel.ec.europa.eu/qr/1682098")</f>
        <v>https://eprel.ec.europa.eu/qr/1682098</v>
      </c>
      <c r="R48"/>
      <c r="S48" t="s">
        <v>2673</v>
      </c>
      <c r="T48"/>
      <c r="U48">
        <v>0.02</v>
      </c>
      <c r="V48">
        <v>2.1999999999999999E-2</v>
      </c>
      <c r="W48">
        <v>9.5</v>
      </c>
      <c r="X48">
        <v>6</v>
      </c>
      <c r="Y48">
        <v>24</v>
      </c>
    </row>
    <row r="49" spans="1:25" ht="60" customHeight="1" x14ac:dyDescent="0.25">
      <c r="A49"/>
      <c r="B49" t="s">
        <v>3367</v>
      </c>
      <c r="C49" t="s">
        <v>3369</v>
      </c>
      <c r="D49" t="s">
        <v>643</v>
      </c>
      <c r="E49" t="s">
        <v>3168</v>
      </c>
      <c r="F49" t="s">
        <v>3169</v>
      </c>
      <c r="G49" t="s">
        <v>1506</v>
      </c>
      <c r="H49" s="30">
        <v>10.24</v>
      </c>
      <c r="I49" s="29">
        <f>H49*(1-IFERROR(VLOOKUP(G49,Rabat!$D$10:$E$41,2,FALSE),0))</f>
        <v>10.24</v>
      </c>
      <c r="J49" t="s">
        <v>1903</v>
      </c>
      <c r="K49" t="s">
        <v>3212</v>
      </c>
      <c r="L49" t="s">
        <v>1901</v>
      </c>
      <c r="M49">
        <v>100</v>
      </c>
      <c r="N49"/>
      <c r="O49" t="s">
        <v>3434</v>
      </c>
      <c r="P49" s="31" t="str">
        <f>HYPERLINK("https://b2b.kobi.pl/pl/product/13123,zarowka-led-gx53-11w-4000k-kobi?currency=PLN")</f>
        <v>https://b2b.kobi.pl/pl/product/13123,zarowka-led-gx53-11w-4000k-kobi?currency=PLN</v>
      </c>
      <c r="Q49" s="31" t="str">
        <f>HYPERLINK("https://eprel.ec.europa.eu/qr/2499063")</f>
        <v>https://eprel.ec.europa.eu/qr/2499063</v>
      </c>
      <c r="R49"/>
      <c r="S49" t="s">
        <v>2673</v>
      </c>
      <c r="T49"/>
      <c r="U49">
        <v>0.03</v>
      </c>
      <c r="V49">
        <v>0.04</v>
      </c>
      <c r="W49">
        <v>7.5</v>
      </c>
      <c r="X49">
        <v>3.2</v>
      </c>
      <c r="Y49">
        <v>7.5</v>
      </c>
    </row>
    <row r="50" spans="1:25" ht="60" customHeight="1" x14ac:dyDescent="0.25">
      <c r="A50"/>
      <c r="B50" t="s">
        <v>3367</v>
      </c>
      <c r="C50" t="s">
        <v>3369</v>
      </c>
      <c r="D50" t="s">
        <v>643</v>
      </c>
      <c r="E50" t="s">
        <v>1579</v>
      </c>
      <c r="F50" t="s">
        <v>1580</v>
      </c>
      <c r="G50" t="s">
        <v>1506</v>
      </c>
      <c r="H50" s="30">
        <v>17.239999999999998</v>
      </c>
      <c r="I50" s="29">
        <f>H50*(1-IFERROR(VLOOKUP(G50,Rabat!$D$10:$E$41,2,FALSE),0))</f>
        <v>17.239999999999998</v>
      </c>
      <c r="J50" t="s">
        <v>1900</v>
      </c>
      <c r="K50" t="s">
        <v>36</v>
      </c>
      <c r="L50" t="s">
        <v>1901</v>
      </c>
      <c r="M50">
        <v>500</v>
      </c>
      <c r="N50"/>
      <c r="O50" t="s">
        <v>3434</v>
      </c>
      <c r="P50" s="31" t="str">
        <f>HYPERLINK("https://b2b.kobi.pl/pl/product/9499,zarowka-led-g9-3w-4000k-kobi?currency=PLN")</f>
        <v>https://b2b.kobi.pl/pl/product/9499,zarowka-led-g9-3w-4000k-kobi?currency=PLN</v>
      </c>
      <c r="Q50" s="31" t="str">
        <f>HYPERLINK("https://eprel.ec.europa.eu/qr/1682160")</f>
        <v>https://eprel.ec.europa.eu/qr/1682160</v>
      </c>
      <c r="R50"/>
      <c r="S50" t="s">
        <v>2673</v>
      </c>
      <c r="T50"/>
      <c r="U50">
        <v>0.02</v>
      </c>
      <c r="V50">
        <v>2.1999999999999999E-2</v>
      </c>
      <c r="W50">
        <v>9.5</v>
      </c>
      <c r="X50">
        <v>6</v>
      </c>
      <c r="Y50">
        <v>24</v>
      </c>
    </row>
    <row r="51" spans="1:25" ht="60" customHeight="1" x14ac:dyDescent="0.25">
      <c r="A51"/>
      <c r="B51" t="s">
        <v>3367</v>
      </c>
      <c r="C51" t="s">
        <v>3369</v>
      </c>
      <c r="D51" t="s">
        <v>643</v>
      </c>
      <c r="E51" t="s">
        <v>3170</v>
      </c>
      <c r="F51" t="s">
        <v>3171</v>
      </c>
      <c r="G51" t="s">
        <v>1506</v>
      </c>
      <c r="H51" s="30">
        <v>12.78</v>
      </c>
      <c r="I51" s="29">
        <f>H51*(1-IFERROR(VLOOKUP(G51,Rabat!$D$10:$E$41,2,FALSE),0))</f>
        <v>12.78</v>
      </c>
      <c r="J51" t="s">
        <v>1903</v>
      </c>
      <c r="K51" t="s">
        <v>3213</v>
      </c>
      <c r="L51" t="s">
        <v>1901</v>
      </c>
      <c r="M51">
        <v>100</v>
      </c>
      <c r="N51"/>
      <c r="O51" t="s">
        <v>3434</v>
      </c>
      <c r="P51" s="31" t="str">
        <f>HYPERLINK("https://b2b.kobi.pl/pl/product/13124,zarowka-led-gx53-13w-3000k-kobi?currency=PLN")</f>
        <v>https://b2b.kobi.pl/pl/product/13124,zarowka-led-gx53-13w-3000k-kobi?currency=PLN</v>
      </c>
      <c r="Q51" s="31" t="str">
        <f>HYPERLINK("https://eprel.ec.europa.eu/qr/2499074")</f>
        <v>https://eprel.ec.europa.eu/qr/2499074</v>
      </c>
      <c r="R51"/>
      <c r="S51" t="s">
        <v>2673</v>
      </c>
      <c r="T51"/>
      <c r="U51">
        <v>3.5999999999999997E-2</v>
      </c>
      <c r="V51">
        <v>4.2999999999999997E-2</v>
      </c>
      <c r="W51">
        <v>7.5</v>
      </c>
      <c r="X51">
        <v>3.2</v>
      </c>
      <c r="Y51">
        <v>7.5</v>
      </c>
    </row>
    <row r="52" spans="1:25" ht="60" customHeight="1" x14ac:dyDescent="0.25">
      <c r="A52"/>
      <c r="B52" t="s">
        <v>3367</v>
      </c>
      <c r="C52" t="s">
        <v>3369</v>
      </c>
      <c r="D52" t="s">
        <v>643</v>
      </c>
      <c r="E52" t="s">
        <v>1581</v>
      </c>
      <c r="F52" t="s">
        <v>1582</v>
      </c>
      <c r="G52" t="s">
        <v>1506</v>
      </c>
      <c r="H52" s="30">
        <v>17.239999999999998</v>
      </c>
      <c r="I52" s="29">
        <f>H52*(1-IFERROR(VLOOKUP(G52,Rabat!$D$10:$E$41,2,FALSE),0))</f>
        <v>17.239999999999998</v>
      </c>
      <c r="J52" t="s">
        <v>1900</v>
      </c>
      <c r="K52" t="s">
        <v>37</v>
      </c>
      <c r="L52" t="s">
        <v>1901</v>
      </c>
      <c r="M52">
        <v>500</v>
      </c>
      <c r="N52"/>
      <c r="O52" t="s">
        <v>3434</v>
      </c>
      <c r="P52" s="31" t="str">
        <f>HYPERLINK("https://b2b.kobi.pl/pl/product/9500,zarowka-led-g9-3w-6000k-kobi?currency=PLN")</f>
        <v>https://b2b.kobi.pl/pl/product/9500,zarowka-led-g9-3w-6000k-kobi?currency=PLN</v>
      </c>
      <c r="Q52" s="31" t="str">
        <f>HYPERLINK("https://eprel.ec.europa.eu/qr/1682294")</f>
        <v>https://eprel.ec.europa.eu/qr/1682294</v>
      </c>
      <c r="R52"/>
      <c r="S52" t="s">
        <v>2673</v>
      </c>
      <c r="T52"/>
      <c r="U52">
        <v>0.02</v>
      </c>
      <c r="V52">
        <v>2.1999999999999999E-2</v>
      </c>
      <c r="W52">
        <v>9.5</v>
      </c>
      <c r="X52">
        <v>6</v>
      </c>
      <c r="Y52">
        <v>24</v>
      </c>
    </row>
    <row r="53" spans="1:25" ht="60" customHeight="1" x14ac:dyDescent="0.25">
      <c r="A53"/>
      <c r="B53" t="s">
        <v>3367</v>
      </c>
      <c r="C53" t="s">
        <v>3369</v>
      </c>
      <c r="D53" t="s">
        <v>643</v>
      </c>
      <c r="E53" t="s">
        <v>3172</v>
      </c>
      <c r="F53" t="s">
        <v>3173</v>
      </c>
      <c r="G53" t="s">
        <v>1506</v>
      </c>
      <c r="H53" s="30">
        <v>12.78</v>
      </c>
      <c r="I53" s="29">
        <f>H53*(1-IFERROR(VLOOKUP(G53,Rabat!$D$10:$E$41,2,FALSE),0))</f>
        <v>12.78</v>
      </c>
      <c r="J53" t="s">
        <v>1903</v>
      </c>
      <c r="K53" t="s">
        <v>3214</v>
      </c>
      <c r="L53" t="s">
        <v>1901</v>
      </c>
      <c r="M53">
        <v>100</v>
      </c>
      <c r="N53"/>
      <c r="O53" t="s">
        <v>3434</v>
      </c>
      <c r="P53" s="31" t="str">
        <f>HYPERLINK("https://b2b.kobi.pl/pl/product/13125,zarowka-led-gx53-13w-4000k-kobi?currency=PLN")</f>
        <v>https://b2b.kobi.pl/pl/product/13125,zarowka-led-gx53-13w-4000k-kobi?currency=PLN</v>
      </c>
      <c r="Q53" s="31" t="str">
        <f>HYPERLINK("https://eprel.ec.europa.eu/qr/2499085")</f>
        <v>https://eprel.ec.europa.eu/qr/2499085</v>
      </c>
      <c r="R53"/>
      <c r="S53" t="s">
        <v>2673</v>
      </c>
      <c r="T53"/>
      <c r="U53">
        <v>3.5999999999999997E-2</v>
      </c>
      <c r="V53">
        <v>4.2999999999999997E-2</v>
      </c>
      <c r="W53">
        <v>7.5</v>
      </c>
      <c r="X53">
        <v>3.2</v>
      </c>
      <c r="Y53">
        <v>7.5</v>
      </c>
    </row>
    <row r="54" spans="1:25" ht="60" customHeight="1" x14ac:dyDescent="0.25">
      <c r="A54"/>
      <c r="B54" t="s">
        <v>3367</v>
      </c>
      <c r="C54" t="s">
        <v>3369</v>
      </c>
      <c r="D54" t="s">
        <v>643</v>
      </c>
      <c r="E54" t="s">
        <v>1583</v>
      </c>
      <c r="F54" t="s">
        <v>1584</v>
      </c>
      <c r="G54" t="s">
        <v>1506</v>
      </c>
      <c r="H54" s="30">
        <v>15.43</v>
      </c>
      <c r="I54" s="29">
        <f>H54*(1-IFERROR(VLOOKUP(G54,Rabat!$D$10:$E$41,2,FALSE),0))</f>
        <v>15.43</v>
      </c>
      <c r="J54" t="s">
        <v>1903</v>
      </c>
      <c r="K54" t="s">
        <v>38</v>
      </c>
      <c r="L54" t="s">
        <v>1901</v>
      </c>
      <c r="M54">
        <v>100</v>
      </c>
      <c r="N54">
        <v>6600</v>
      </c>
      <c r="O54" t="s">
        <v>3434</v>
      </c>
      <c r="P54" s="31" t="str">
        <f>HYPERLINK("https://b2b.kobi.pl/pl/product/9501,zarowka-led-g9-4w-3000k-kobi?currency=PLN")</f>
        <v>https://b2b.kobi.pl/pl/product/9501,zarowka-led-g9-4w-3000k-kobi?currency=PLN</v>
      </c>
      <c r="Q54" s="31" t="str">
        <f>HYPERLINK("https://eprel.ec.europa.eu/qr/659766")</f>
        <v>https://eprel.ec.europa.eu/qr/659766</v>
      </c>
      <c r="R54"/>
      <c r="S54" t="s">
        <v>2673</v>
      </c>
      <c r="T54"/>
      <c r="U54">
        <v>1.0999999999999999E-2</v>
      </c>
      <c r="V54">
        <v>2.1000000000000001E-2</v>
      </c>
      <c r="W54">
        <v>2.5</v>
      </c>
      <c r="X54">
        <v>7.6</v>
      </c>
      <c r="Y54">
        <v>13.1</v>
      </c>
    </row>
    <row r="55" spans="1:25" ht="60" customHeight="1" x14ac:dyDescent="0.25">
      <c r="A55"/>
      <c r="B55" t="s">
        <v>3367</v>
      </c>
      <c r="C55" t="s">
        <v>3369</v>
      </c>
      <c r="D55" t="s">
        <v>643</v>
      </c>
      <c r="E55" t="s">
        <v>1585</v>
      </c>
      <c r="F55" t="s">
        <v>1586</v>
      </c>
      <c r="G55" t="s">
        <v>1506</v>
      </c>
      <c r="H55" s="30">
        <v>15.43</v>
      </c>
      <c r="I55" s="29">
        <f>H55*(1-IFERROR(VLOOKUP(G55,Rabat!$D$10:$E$41,2,FALSE),0))</f>
        <v>15.43</v>
      </c>
      <c r="J55" t="s">
        <v>1903</v>
      </c>
      <c r="K55" t="s">
        <v>39</v>
      </c>
      <c r="L55" t="s">
        <v>1901</v>
      </c>
      <c r="M55">
        <v>100</v>
      </c>
      <c r="N55">
        <v>6600</v>
      </c>
      <c r="O55" t="s">
        <v>3434</v>
      </c>
      <c r="P55" s="31" t="str">
        <f>HYPERLINK("https://b2b.kobi.pl/pl/product/9502,zarowka-led-g9-4w-4000k-kobi?currency=PLN")</f>
        <v>https://b2b.kobi.pl/pl/product/9502,zarowka-led-g9-4w-4000k-kobi?currency=PLN</v>
      </c>
      <c r="Q55" s="31" t="str">
        <f>HYPERLINK("https://eprel.ec.europa.eu/qr/659773")</f>
        <v>https://eprel.ec.europa.eu/qr/659773</v>
      </c>
      <c r="R55"/>
      <c r="S55" t="s">
        <v>2673</v>
      </c>
      <c r="T55"/>
      <c r="U55">
        <v>1.0999999999999999E-2</v>
      </c>
      <c r="V55">
        <v>2.1000000000000001E-2</v>
      </c>
      <c r="W55">
        <v>2.5</v>
      </c>
      <c r="X55">
        <v>7.6</v>
      </c>
      <c r="Y55">
        <v>13.7</v>
      </c>
    </row>
    <row r="56" spans="1:25" ht="60" customHeight="1" x14ac:dyDescent="0.25">
      <c r="A56"/>
      <c r="B56" t="s">
        <v>3367</v>
      </c>
      <c r="C56" t="s">
        <v>3369</v>
      </c>
      <c r="D56" t="s">
        <v>643</v>
      </c>
      <c r="E56" t="s">
        <v>1587</v>
      </c>
      <c r="F56" t="s">
        <v>1588</v>
      </c>
      <c r="G56" t="s">
        <v>1506</v>
      </c>
      <c r="H56" s="30">
        <v>15.43</v>
      </c>
      <c r="I56" s="29">
        <f>H56*(1-IFERROR(VLOOKUP(G56,Rabat!$D$10:$E$41,2,FALSE),0))</f>
        <v>15.43</v>
      </c>
      <c r="J56" t="s">
        <v>1903</v>
      </c>
      <c r="K56" t="s">
        <v>40</v>
      </c>
      <c r="L56" t="s">
        <v>1901</v>
      </c>
      <c r="M56">
        <v>100</v>
      </c>
      <c r="N56">
        <v>3000</v>
      </c>
      <c r="O56" t="s">
        <v>3434</v>
      </c>
      <c r="P56" s="31" t="str">
        <f>HYPERLINK("https://b2b.kobi.pl/pl/product/9503,zarowka-led-g9-4w-6000k-kobi?currency=PLN")</f>
        <v>https://b2b.kobi.pl/pl/product/9503,zarowka-led-g9-4w-6000k-kobi?currency=PLN</v>
      </c>
      <c r="Q56" s="31" t="str">
        <f>HYPERLINK("https://eprel.ec.europa.eu/qr/659777")</f>
        <v>https://eprel.ec.europa.eu/qr/659777</v>
      </c>
      <c r="R56"/>
      <c r="S56" t="s">
        <v>2673</v>
      </c>
      <c r="T56"/>
      <c r="U56">
        <v>1.0999999999999999E-2</v>
      </c>
      <c r="V56">
        <v>2.1000000000000001E-2</v>
      </c>
      <c r="W56">
        <v>2</v>
      </c>
      <c r="X56">
        <v>7.7</v>
      </c>
      <c r="Y56">
        <v>13.2</v>
      </c>
    </row>
    <row r="57" spans="1:25" ht="60" customHeight="1" x14ac:dyDescent="0.25">
      <c r="A57"/>
      <c r="B57" t="s">
        <v>3367</v>
      </c>
      <c r="C57" t="s">
        <v>3369</v>
      </c>
      <c r="D57" t="s">
        <v>643</v>
      </c>
      <c r="E57" t="s">
        <v>1569</v>
      </c>
      <c r="F57" t="s">
        <v>1570</v>
      </c>
      <c r="G57" t="s">
        <v>1506</v>
      </c>
      <c r="H57" s="30">
        <v>14</v>
      </c>
      <c r="I57" s="29">
        <f>H57*(1-IFERROR(VLOOKUP(G57,Rabat!$D$10:$E$41,2,FALSE),0))</f>
        <v>14</v>
      </c>
      <c r="J57" t="s">
        <v>1903</v>
      </c>
      <c r="K57" t="s">
        <v>31</v>
      </c>
      <c r="L57" t="s">
        <v>1901</v>
      </c>
      <c r="M57">
        <v>100</v>
      </c>
      <c r="N57">
        <v>6000</v>
      </c>
      <c r="O57" t="s">
        <v>3434</v>
      </c>
      <c r="P57" s="31" t="str">
        <f>HYPERLINK("https://b2b.kobi.pl/pl/product/9489,zarowka-led-g4-1-5w-3000k-kobi?currency=PLN")</f>
        <v>https://b2b.kobi.pl/pl/product/9489,zarowka-led-g4-1-5w-3000k-kobi?currency=PLN</v>
      </c>
      <c r="Q57" s="31" t="str">
        <f>HYPERLINK("https://eprel.ec.europa.eu/qr/996106")</f>
        <v>https://eprel.ec.europa.eu/qr/996106</v>
      </c>
      <c r="R57"/>
      <c r="S57" t="s">
        <v>2673</v>
      </c>
      <c r="T57"/>
      <c r="U57">
        <v>0.01</v>
      </c>
      <c r="V57">
        <v>0.01</v>
      </c>
      <c r="W57">
        <v>9.9</v>
      </c>
      <c r="X57">
        <v>7.9</v>
      </c>
      <c r="Y57">
        <v>2</v>
      </c>
    </row>
    <row r="58" spans="1:25" ht="60" customHeight="1" x14ac:dyDescent="0.25">
      <c r="A58"/>
      <c r="B58" t="s">
        <v>3367</v>
      </c>
      <c r="C58" t="s">
        <v>3369</v>
      </c>
      <c r="D58" t="s">
        <v>643</v>
      </c>
      <c r="E58" t="s">
        <v>1571</v>
      </c>
      <c r="F58" t="s">
        <v>1572</v>
      </c>
      <c r="G58" t="s">
        <v>1506</v>
      </c>
      <c r="H58" s="30">
        <v>14</v>
      </c>
      <c r="I58" s="29">
        <f>H58*(1-IFERROR(VLOOKUP(G58,Rabat!$D$10:$E$41,2,FALSE),0))</f>
        <v>14</v>
      </c>
      <c r="J58" t="s">
        <v>1903</v>
      </c>
      <c r="K58" t="s">
        <v>32</v>
      </c>
      <c r="L58" t="s">
        <v>1901</v>
      </c>
      <c r="M58">
        <v>100</v>
      </c>
      <c r="N58">
        <v>6000</v>
      </c>
      <c r="O58" t="s">
        <v>3434</v>
      </c>
      <c r="P58" s="31" t="str">
        <f>HYPERLINK("https://b2b.kobi.pl/pl/product/9490,zarowka-led-g4-1-5w-4000k-kobi?currency=PLN")</f>
        <v>https://b2b.kobi.pl/pl/product/9490,zarowka-led-g4-1-5w-4000k-kobi?currency=PLN</v>
      </c>
      <c r="Q58" s="31" t="str">
        <f>HYPERLINK("https://eprel.ec.europa.eu/qr/996107")</f>
        <v>https://eprel.ec.europa.eu/qr/996107</v>
      </c>
      <c r="R58"/>
      <c r="S58" t="s">
        <v>2673</v>
      </c>
      <c r="T58"/>
      <c r="U58">
        <v>0.01</v>
      </c>
      <c r="V58">
        <v>0.01</v>
      </c>
      <c r="W58">
        <v>9.9</v>
      </c>
      <c r="X58">
        <v>7.9</v>
      </c>
      <c r="Y58">
        <v>2</v>
      </c>
    </row>
    <row r="59" spans="1:25" ht="60" customHeight="1" x14ac:dyDescent="0.25">
      <c r="A59"/>
      <c r="B59" t="s">
        <v>3367</v>
      </c>
      <c r="C59" t="s">
        <v>3369</v>
      </c>
      <c r="D59" t="s">
        <v>643</v>
      </c>
      <c r="E59" t="s">
        <v>1573</v>
      </c>
      <c r="F59" t="s">
        <v>1574</v>
      </c>
      <c r="G59" t="s">
        <v>1506</v>
      </c>
      <c r="H59" s="30">
        <v>15.67</v>
      </c>
      <c r="I59" s="29">
        <f>H59*(1-IFERROR(VLOOKUP(G59,Rabat!$D$10:$E$41,2,FALSE),0))</f>
        <v>15.67</v>
      </c>
      <c r="J59" t="s">
        <v>1903</v>
      </c>
      <c r="K59" t="s">
        <v>33</v>
      </c>
      <c r="L59" t="s">
        <v>1901</v>
      </c>
      <c r="M59">
        <v>100</v>
      </c>
      <c r="N59">
        <v>7000</v>
      </c>
      <c r="O59" t="s">
        <v>3434</v>
      </c>
      <c r="P59" s="31" t="str">
        <f>HYPERLINK("https://b2b.kobi.pl/pl/product/9495,zarowka-led-g4-2w-3000k-kobi?currency=PLN")</f>
        <v>https://b2b.kobi.pl/pl/product/9495,zarowka-led-g4-2w-3000k-kobi?currency=PLN</v>
      </c>
      <c r="Q59" s="31" t="str">
        <f>HYPERLINK("https://eprel.ec.europa.eu/qr/816926")</f>
        <v>https://eprel.ec.europa.eu/qr/816926</v>
      </c>
      <c r="R59"/>
      <c r="S59" t="s">
        <v>2673</v>
      </c>
      <c r="T59"/>
      <c r="U59">
        <v>3.0000000000000001E-3</v>
      </c>
      <c r="V59">
        <v>0.01</v>
      </c>
      <c r="W59">
        <v>9.9</v>
      </c>
      <c r="X59">
        <v>7.9</v>
      </c>
      <c r="Y59">
        <v>2</v>
      </c>
    </row>
    <row r="60" spans="1:25" ht="60" customHeight="1" x14ac:dyDescent="0.25">
      <c r="A60"/>
      <c r="B60" t="s">
        <v>3367</v>
      </c>
      <c r="C60" t="s">
        <v>3369</v>
      </c>
      <c r="D60" t="s">
        <v>643</v>
      </c>
      <c r="E60" t="s">
        <v>1575</v>
      </c>
      <c r="F60" t="s">
        <v>1576</v>
      </c>
      <c r="G60" t="s">
        <v>1506</v>
      </c>
      <c r="H60" s="30">
        <v>15.67</v>
      </c>
      <c r="I60" s="29">
        <f>H60*(1-IFERROR(VLOOKUP(G60,Rabat!$D$10:$E$41,2,FALSE),0))</f>
        <v>15.67</v>
      </c>
      <c r="J60" t="s">
        <v>1903</v>
      </c>
      <c r="K60" t="s">
        <v>34</v>
      </c>
      <c r="L60" t="s">
        <v>1901</v>
      </c>
      <c r="M60">
        <v>100</v>
      </c>
      <c r="N60">
        <v>6000</v>
      </c>
      <c r="O60" t="s">
        <v>3434</v>
      </c>
      <c r="P60" s="31" t="str">
        <f>HYPERLINK("https://b2b.kobi.pl/pl/product/9496,zarowka-led-g4-2w-4000k-kobi?currency=PLN")</f>
        <v>https://b2b.kobi.pl/pl/product/9496,zarowka-led-g4-2w-4000k-kobi?currency=PLN</v>
      </c>
      <c r="Q60" s="31" t="str">
        <f>HYPERLINK("https://eprel.ec.europa.eu/qr/816995")</f>
        <v>https://eprel.ec.europa.eu/qr/816995</v>
      </c>
      <c r="R60"/>
      <c r="S60" t="s">
        <v>2673</v>
      </c>
      <c r="T60"/>
      <c r="U60">
        <v>0.01</v>
      </c>
      <c r="V60">
        <v>0.01</v>
      </c>
      <c r="W60">
        <v>9.9</v>
      </c>
      <c r="X60">
        <v>7.9</v>
      </c>
      <c r="Y60">
        <v>2</v>
      </c>
    </row>
    <row r="61" spans="1:25" ht="60" customHeight="1" x14ac:dyDescent="0.25">
      <c r="A61"/>
      <c r="B61" t="s">
        <v>3367</v>
      </c>
      <c r="C61" t="s">
        <v>3369</v>
      </c>
      <c r="D61" t="s">
        <v>643</v>
      </c>
      <c r="E61" t="s">
        <v>1749</v>
      </c>
      <c r="F61" t="s">
        <v>1750</v>
      </c>
      <c r="G61" t="s">
        <v>1506</v>
      </c>
      <c r="H61" s="30">
        <v>16.71</v>
      </c>
      <c r="I61" s="29">
        <f>H61*(1-IFERROR(VLOOKUP(G61,Rabat!$D$10:$E$41,2,FALSE),0))</f>
        <v>16.71</v>
      </c>
      <c r="J61" t="s">
        <v>1903</v>
      </c>
      <c r="K61" t="s">
        <v>113</v>
      </c>
      <c r="L61" t="s">
        <v>1901</v>
      </c>
      <c r="M61">
        <v>100</v>
      </c>
      <c r="N61">
        <v>13200</v>
      </c>
      <c r="O61" t="s">
        <v>3434</v>
      </c>
      <c r="P61" s="31" t="str">
        <f>HYPERLINK("https://b2b.kobi.pl/pl/product/9659,zarowka-led-mr11-4w-gu10-3000k-kobi?currency=PLN")</f>
        <v>https://b2b.kobi.pl/pl/product/9659,zarowka-led-mr11-4w-gu10-3000k-kobi?currency=PLN</v>
      </c>
      <c r="Q61" s="31" t="str">
        <f>HYPERLINK("https://eprel.ec.europa.eu/qr/660632")</f>
        <v>https://eprel.ec.europa.eu/qr/660632</v>
      </c>
      <c r="R61"/>
      <c r="S61" t="s">
        <v>2673</v>
      </c>
      <c r="T61"/>
      <c r="U61">
        <v>2.9000000000000001E-2</v>
      </c>
      <c r="V61">
        <v>3.5999999999999997E-2</v>
      </c>
      <c r="W61">
        <v>3.5</v>
      </c>
      <c r="X61">
        <v>5.5</v>
      </c>
      <c r="Y61">
        <v>3.5</v>
      </c>
    </row>
    <row r="62" spans="1:25" ht="60" customHeight="1" x14ac:dyDescent="0.25">
      <c r="A62"/>
      <c r="B62" t="s">
        <v>3367</v>
      </c>
      <c r="C62" t="s">
        <v>3369</v>
      </c>
      <c r="D62" t="s">
        <v>643</v>
      </c>
      <c r="E62" t="s">
        <v>1751</v>
      </c>
      <c r="F62" t="s">
        <v>1752</v>
      </c>
      <c r="G62" t="s">
        <v>1506</v>
      </c>
      <c r="H62" s="30">
        <v>16.71</v>
      </c>
      <c r="I62" s="29">
        <f>H62*(1-IFERROR(VLOOKUP(G62,Rabat!$D$10:$E$41,2,FALSE),0))</f>
        <v>16.71</v>
      </c>
      <c r="J62" t="s">
        <v>1903</v>
      </c>
      <c r="K62" t="s">
        <v>114</v>
      </c>
      <c r="L62" t="s">
        <v>1901</v>
      </c>
      <c r="M62">
        <v>100</v>
      </c>
      <c r="N62">
        <v>13200</v>
      </c>
      <c r="O62" t="s">
        <v>3434</v>
      </c>
      <c r="P62" s="31" t="str">
        <f>HYPERLINK("https://b2b.kobi.pl/pl/product/9660,zarowka-led-mr11-4w-gu10-4000k-kobi?currency=PLN")</f>
        <v>https://b2b.kobi.pl/pl/product/9660,zarowka-led-mr11-4w-gu10-4000k-kobi?currency=PLN</v>
      </c>
      <c r="Q62" s="31" t="str">
        <f>HYPERLINK("https://eprel.ec.europa.eu/qr/660634")</f>
        <v>https://eprel.ec.europa.eu/qr/660634</v>
      </c>
      <c r="R62"/>
      <c r="S62" t="s">
        <v>2673</v>
      </c>
      <c r="T62"/>
      <c r="U62">
        <v>2.9000000000000001E-2</v>
      </c>
      <c r="V62">
        <v>3.5999999999999997E-2</v>
      </c>
      <c r="W62">
        <v>3.5</v>
      </c>
      <c r="X62">
        <v>5.5</v>
      </c>
      <c r="Y62">
        <v>3.5</v>
      </c>
    </row>
    <row r="63" spans="1:25" ht="60" customHeight="1" x14ac:dyDescent="0.25">
      <c r="A63"/>
      <c r="B63" t="s">
        <v>3367</v>
      </c>
      <c r="C63" t="s">
        <v>3369</v>
      </c>
      <c r="D63" t="s">
        <v>643</v>
      </c>
      <c r="E63" t="s">
        <v>1753</v>
      </c>
      <c r="F63" t="s">
        <v>1754</v>
      </c>
      <c r="G63" t="s">
        <v>1506</v>
      </c>
      <c r="H63" s="30">
        <v>16.71</v>
      </c>
      <c r="I63" s="29">
        <f>H63*(1-IFERROR(VLOOKUP(G63,Rabat!$D$10:$E$41,2,FALSE),0))</f>
        <v>16.71</v>
      </c>
      <c r="J63" t="s">
        <v>1903</v>
      </c>
      <c r="K63" t="s">
        <v>115</v>
      </c>
      <c r="L63" t="s">
        <v>1901</v>
      </c>
      <c r="M63">
        <v>100</v>
      </c>
      <c r="N63">
        <v>13200</v>
      </c>
      <c r="O63" t="s">
        <v>3434</v>
      </c>
      <c r="P63" s="31" t="str">
        <f>HYPERLINK("https://b2b.kobi.pl/pl/product/9661,zarowka-led-mr11-4w-gu10-6000k-kobi?currency=PLN")</f>
        <v>https://b2b.kobi.pl/pl/product/9661,zarowka-led-mr11-4w-gu10-6000k-kobi?currency=PLN</v>
      </c>
      <c r="Q63" s="31" t="str">
        <f>HYPERLINK("https://eprel.ec.europa.eu/qr/660638")</f>
        <v>https://eprel.ec.europa.eu/qr/660638</v>
      </c>
      <c r="R63"/>
      <c r="S63" t="s">
        <v>2673</v>
      </c>
      <c r="T63"/>
      <c r="U63">
        <v>2.9000000000000001E-2</v>
      </c>
      <c r="V63">
        <v>3.5999999999999997E-2</v>
      </c>
      <c r="W63">
        <v>3.5</v>
      </c>
      <c r="X63">
        <v>5.5</v>
      </c>
      <c r="Y63">
        <v>3.5</v>
      </c>
    </row>
    <row r="64" spans="1:25" ht="60" customHeight="1" x14ac:dyDescent="0.25">
      <c r="A64"/>
      <c r="B64" t="s">
        <v>3367</v>
      </c>
      <c r="C64" t="s">
        <v>3369</v>
      </c>
      <c r="D64" t="s">
        <v>643</v>
      </c>
      <c r="E64" t="s">
        <v>1689</v>
      </c>
      <c r="F64" t="s">
        <v>1690</v>
      </c>
      <c r="G64" t="s">
        <v>1506</v>
      </c>
      <c r="H64" s="30">
        <v>47.38</v>
      </c>
      <c r="I64" s="29">
        <f>H64*(1-IFERROR(VLOOKUP(G64,Rabat!$D$10:$E$41,2,FALSE),0))</f>
        <v>47.38</v>
      </c>
      <c r="J64" t="s">
        <v>1900</v>
      </c>
      <c r="K64" t="s">
        <v>89</v>
      </c>
      <c r="L64" t="s">
        <v>1901</v>
      </c>
      <c r="M64">
        <v>24</v>
      </c>
      <c r="N64"/>
      <c r="O64" t="s">
        <v>3434</v>
      </c>
      <c r="P64" s="31" t="str">
        <f>HYPERLINK("https://b2b.kobi.pl/pl/product/9586,zarowka-led-j78-8w-r7s-3000k-kobi?currency=PLN")</f>
        <v>https://b2b.kobi.pl/pl/product/9586,zarowka-led-j78-8w-r7s-3000k-kobi?currency=PLN</v>
      </c>
      <c r="Q64" s="31" t="str">
        <f>HYPERLINK("https://eprel.ec.europa.eu/qr/1243613")</f>
        <v>https://eprel.ec.europa.eu/qr/1243613</v>
      </c>
      <c r="R64"/>
      <c r="S64" t="s">
        <v>2673</v>
      </c>
      <c r="T64"/>
      <c r="U64">
        <v>0.04</v>
      </c>
      <c r="V64">
        <v>4.0599999999999997E-2</v>
      </c>
      <c r="W64">
        <v>3.137</v>
      </c>
      <c r="X64">
        <v>3</v>
      </c>
      <c r="Y64">
        <v>3</v>
      </c>
    </row>
    <row r="65" spans="1:25" ht="60" customHeight="1" x14ac:dyDescent="0.25">
      <c r="A65"/>
      <c r="B65" t="s">
        <v>3367</v>
      </c>
      <c r="C65" t="s">
        <v>3369</v>
      </c>
      <c r="D65" t="s">
        <v>643</v>
      </c>
      <c r="E65" t="s">
        <v>1691</v>
      </c>
      <c r="F65" t="s">
        <v>1692</v>
      </c>
      <c r="G65" t="s">
        <v>1506</v>
      </c>
      <c r="H65" s="30">
        <v>47.38</v>
      </c>
      <c r="I65" s="29">
        <f>H65*(1-IFERROR(VLOOKUP(G65,Rabat!$D$10:$E$41,2,FALSE),0))</f>
        <v>47.38</v>
      </c>
      <c r="J65" t="s">
        <v>1900</v>
      </c>
      <c r="K65" t="s">
        <v>90</v>
      </c>
      <c r="L65" t="s">
        <v>1901</v>
      </c>
      <c r="M65">
        <v>24</v>
      </c>
      <c r="N65"/>
      <c r="O65" t="s">
        <v>3434</v>
      </c>
      <c r="P65" s="31" t="str">
        <f>HYPERLINK("https://b2b.kobi.pl/pl/product/9587,zarowka-led-j78-8w-r7s-4000k-kobi?currency=PLN")</f>
        <v>https://b2b.kobi.pl/pl/product/9587,zarowka-led-j78-8w-r7s-4000k-kobi?currency=PLN</v>
      </c>
      <c r="Q65" s="31" t="str">
        <f>HYPERLINK("https://eprel.ec.europa.eu/qr/1243615")</f>
        <v>https://eprel.ec.europa.eu/qr/1243615</v>
      </c>
      <c r="R65"/>
      <c r="S65" t="s">
        <v>2673</v>
      </c>
      <c r="T65"/>
      <c r="U65">
        <v>0.04</v>
      </c>
      <c r="V65">
        <v>4.0599999999999997E-2</v>
      </c>
      <c r="W65">
        <v>3.137</v>
      </c>
      <c r="X65">
        <v>3</v>
      </c>
      <c r="Y65">
        <v>3</v>
      </c>
    </row>
    <row r="66" spans="1:25" ht="60" customHeight="1" x14ac:dyDescent="0.25">
      <c r="A66"/>
      <c r="B66" t="s">
        <v>3367</v>
      </c>
      <c r="C66" t="s">
        <v>3369</v>
      </c>
      <c r="D66" t="s">
        <v>643</v>
      </c>
      <c r="E66" t="s">
        <v>1693</v>
      </c>
      <c r="F66" t="s">
        <v>1694</v>
      </c>
      <c r="G66" t="s">
        <v>1506</v>
      </c>
      <c r="H66" s="30">
        <v>54.64</v>
      </c>
      <c r="I66" s="29">
        <f>H66*(1-IFERROR(VLOOKUP(G66,Rabat!$D$10:$E$41,2,FALSE),0))</f>
        <v>54.64</v>
      </c>
      <c r="J66" t="s">
        <v>1900</v>
      </c>
      <c r="K66" t="s">
        <v>91</v>
      </c>
      <c r="L66" t="s">
        <v>1901</v>
      </c>
      <c r="M66">
        <v>24</v>
      </c>
      <c r="N66"/>
      <c r="O66" t="s">
        <v>3434</v>
      </c>
      <c r="P66" s="31" t="str">
        <f>HYPERLINK("https://b2b.kobi.pl/pl/product/9583,zarowka-led-j118-15w-r7s-3000k-kobi?currency=PLN")</f>
        <v>https://b2b.kobi.pl/pl/product/9583,zarowka-led-j118-15w-r7s-3000k-kobi?currency=PLN</v>
      </c>
      <c r="Q66" s="31" t="str">
        <f>HYPERLINK("https://eprel.ec.europa.eu/qr/1243616")</f>
        <v>https://eprel.ec.europa.eu/qr/1243616</v>
      </c>
      <c r="R66"/>
      <c r="S66" t="s">
        <v>2673</v>
      </c>
      <c r="T66"/>
      <c r="U66">
        <v>0.06</v>
      </c>
      <c r="V66">
        <v>6.5000000000000002E-2</v>
      </c>
      <c r="W66">
        <v>12</v>
      </c>
      <c r="X66">
        <v>3</v>
      </c>
      <c r="Y66">
        <v>3</v>
      </c>
    </row>
    <row r="67" spans="1:25" ht="60" customHeight="1" x14ac:dyDescent="0.25">
      <c r="A67"/>
      <c r="B67" t="s">
        <v>3367</v>
      </c>
      <c r="C67" t="s">
        <v>3369</v>
      </c>
      <c r="D67" t="s">
        <v>643</v>
      </c>
      <c r="E67" t="s">
        <v>1695</v>
      </c>
      <c r="F67" t="s">
        <v>1696</v>
      </c>
      <c r="G67" t="s">
        <v>1506</v>
      </c>
      <c r="H67" s="30">
        <v>54.64</v>
      </c>
      <c r="I67" s="29">
        <f>H67*(1-IFERROR(VLOOKUP(G67,Rabat!$D$10:$E$41,2,FALSE),0))</f>
        <v>54.64</v>
      </c>
      <c r="J67" t="s">
        <v>1900</v>
      </c>
      <c r="K67" t="s">
        <v>92</v>
      </c>
      <c r="L67" t="s">
        <v>1901</v>
      </c>
      <c r="M67">
        <v>120</v>
      </c>
      <c r="N67"/>
      <c r="O67" t="s">
        <v>3434</v>
      </c>
      <c r="P67" s="31" t="str">
        <f>HYPERLINK("https://b2b.kobi.pl/pl/product/9584,zarowka-led-j118-15w-r7s-4000k-kobi?currency=PLN")</f>
        <v>https://b2b.kobi.pl/pl/product/9584,zarowka-led-j118-15w-r7s-4000k-kobi?currency=PLN</v>
      </c>
      <c r="Q67" s="31" t="str">
        <f>HYPERLINK("https://eprel.ec.europa.eu/qr/1243618")</f>
        <v>https://eprel.ec.europa.eu/qr/1243618</v>
      </c>
      <c r="R67"/>
      <c r="S67" t="s">
        <v>2673</v>
      </c>
      <c r="T67"/>
      <c r="U67">
        <v>0.06</v>
      </c>
      <c r="V67">
        <v>6.5000000000000002E-2</v>
      </c>
      <c r="W67">
        <v>12</v>
      </c>
      <c r="X67">
        <v>3</v>
      </c>
      <c r="Y67">
        <v>3</v>
      </c>
    </row>
    <row r="68" spans="1:25" ht="60" customHeight="1" x14ac:dyDescent="0.25">
      <c r="A68"/>
      <c r="B68" t="s">
        <v>3367</v>
      </c>
      <c r="C68" t="s">
        <v>3369</v>
      </c>
      <c r="D68" t="s">
        <v>643</v>
      </c>
      <c r="E68" t="s">
        <v>1567</v>
      </c>
      <c r="F68" t="s">
        <v>1568</v>
      </c>
      <c r="G68" t="s">
        <v>1506</v>
      </c>
      <c r="H68" s="30">
        <v>52.62</v>
      </c>
      <c r="I68" s="29">
        <f>H68*(1-IFERROR(VLOOKUP(G68,Rabat!$D$10:$E$41,2,FALSE),0))</f>
        <v>52.62</v>
      </c>
      <c r="J68" t="s">
        <v>1903</v>
      </c>
      <c r="K68" t="s">
        <v>21</v>
      </c>
      <c r="L68" t="s">
        <v>1901</v>
      </c>
      <c r="M68">
        <v>100</v>
      </c>
      <c r="N68"/>
      <c r="O68" t="s">
        <v>3434</v>
      </c>
      <c r="P68" s="31" t="str">
        <f>HYPERLINK("https://b2b.kobi.pl/pl/product/9470,zarowka-led-es111-15w-gu10-4000k-kobi?currency=PLN")</f>
        <v>https://b2b.kobi.pl/pl/product/9470,zarowka-led-es111-15w-gu10-4000k-kobi?currency=PLN</v>
      </c>
      <c r="Q68" s="31" t="str">
        <f>HYPERLINK("https://eprel.ec.europa.eu/qr/659606")</f>
        <v>https://eprel.ec.europa.eu/qr/659606</v>
      </c>
      <c r="R68" t="s">
        <v>2035</v>
      </c>
      <c r="S68" t="s">
        <v>2673</v>
      </c>
      <c r="T68"/>
      <c r="U68">
        <v>0.12</v>
      </c>
      <c r="V68">
        <v>0.14899999999999999</v>
      </c>
      <c r="W68">
        <v>11.5</v>
      </c>
      <c r="X68">
        <v>7.5</v>
      </c>
      <c r="Y68">
        <v>11.5</v>
      </c>
    </row>
    <row r="69" spans="1:25" ht="60" customHeight="1" x14ac:dyDescent="0.25">
      <c r="A69"/>
      <c r="B69" t="s">
        <v>3367</v>
      </c>
      <c r="C69" t="s">
        <v>3369</v>
      </c>
      <c r="D69" t="s">
        <v>643</v>
      </c>
      <c r="E69" t="s">
        <v>1593</v>
      </c>
      <c r="F69" t="s">
        <v>1594</v>
      </c>
      <c r="G69" t="s">
        <v>1506</v>
      </c>
      <c r="H69" s="30">
        <v>8.6</v>
      </c>
      <c r="I69" s="29">
        <f>H69*(1-IFERROR(VLOOKUP(G69,Rabat!$D$10:$E$41,2,FALSE),0))</f>
        <v>8.6</v>
      </c>
      <c r="J69" t="s">
        <v>1903</v>
      </c>
      <c r="K69" t="s">
        <v>43</v>
      </c>
      <c r="L69" t="s">
        <v>1901</v>
      </c>
      <c r="M69">
        <v>100</v>
      </c>
      <c r="N69">
        <v>2500</v>
      </c>
      <c r="O69" t="s">
        <v>3434</v>
      </c>
      <c r="P69" s="31" t="str">
        <f>HYPERLINK("https://b2b.kobi.pl/pl/product/9527,zarowka-led-gs-7w-e27-3000k-kobi?currency=PLN")</f>
        <v>https://b2b.kobi.pl/pl/product/9527,zarowka-led-gs-7w-e27-3000k-kobi?currency=PLN</v>
      </c>
      <c r="Q69" s="31" t="str">
        <f>HYPERLINK("https://eprel.ec.europa.eu/qr/659843")</f>
        <v>https://eprel.ec.europa.eu/qr/659843</v>
      </c>
      <c r="R69"/>
      <c r="S69" t="s">
        <v>2673</v>
      </c>
      <c r="T69"/>
      <c r="U69">
        <v>2.9000000000000001E-2</v>
      </c>
      <c r="V69">
        <v>2.9499999999999998E-2</v>
      </c>
      <c r="W69">
        <v>6</v>
      </c>
      <c r="X69">
        <v>6</v>
      </c>
      <c r="Y69">
        <v>10.5</v>
      </c>
    </row>
    <row r="70" spans="1:25" ht="60" customHeight="1" x14ac:dyDescent="0.25">
      <c r="A70"/>
      <c r="B70" t="s">
        <v>3367</v>
      </c>
      <c r="C70" t="s">
        <v>3369</v>
      </c>
      <c r="D70" t="s">
        <v>643</v>
      </c>
      <c r="E70" t="s">
        <v>1597</v>
      </c>
      <c r="F70" t="s">
        <v>1598</v>
      </c>
      <c r="G70" t="s">
        <v>1506</v>
      </c>
      <c r="H70" s="30">
        <v>8.6</v>
      </c>
      <c r="I70" s="29">
        <f>H70*(1-IFERROR(VLOOKUP(G70,Rabat!$D$10:$E$41,2,FALSE),0))</f>
        <v>8.6</v>
      </c>
      <c r="J70" t="s">
        <v>1903</v>
      </c>
      <c r="K70" t="s">
        <v>44</v>
      </c>
      <c r="L70" t="s">
        <v>1901</v>
      </c>
      <c r="M70">
        <v>100</v>
      </c>
      <c r="N70">
        <v>2500</v>
      </c>
      <c r="O70" t="s">
        <v>3434</v>
      </c>
      <c r="P70" s="31" t="str">
        <f>HYPERLINK("https://b2b.kobi.pl/pl/product/9528,zarowka-led-gs-7w-e27-4000k-kobi?currency=PLN")</f>
        <v>https://b2b.kobi.pl/pl/product/9528,zarowka-led-gs-7w-e27-4000k-kobi?currency=PLN</v>
      </c>
      <c r="Q70" s="31" t="str">
        <f>HYPERLINK("https://eprel.ec.europa.eu/qr/659844")</f>
        <v>https://eprel.ec.europa.eu/qr/659844</v>
      </c>
      <c r="R70"/>
      <c r="S70" t="s">
        <v>2673</v>
      </c>
      <c r="T70"/>
      <c r="U70">
        <v>2.9000000000000001E-2</v>
      </c>
      <c r="V70">
        <v>2.9499999999999998E-2</v>
      </c>
      <c r="W70">
        <v>6</v>
      </c>
      <c r="X70">
        <v>6</v>
      </c>
      <c r="Y70">
        <v>10.5</v>
      </c>
    </row>
    <row r="71" spans="1:25" ht="60" customHeight="1" x14ac:dyDescent="0.25">
      <c r="A71"/>
      <c r="B71" t="s">
        <v>3367</v>
      </c>
      <c r="C71" t="s">
        <v>3369</v>
      </c>
      <c r="D71" t="s">
        <v>643</v>
      </c>
      <c r="E71" t="s">
        <v>1601</v>
      </c>
      <c r="F71" t="s">
        <v>1602</v>
      </c>
      <c r="G71" t="s">
        <v>1506</v>
      </c>
      <c r="H71" s="30">
        <v>8.6</v>
      </c>
      <c r="I71" s="29">
        <f>H71*(1-IFERROR(VLOOKUP(G71,Rabat!$D$10:$E$41,2,FALSE),0))</f>
        <v>8.6</v>
      </c>
      <c r="J71" t="s">
        <v>1903</v>
      </c>
      <c r="K71" t="s">
        <v>45</v>
      </c>
      <c r="L71" t="s">
        <v>1901</v>
      </c>
      <c r="M71">
        <v>100</v>
      </c>
      <c r="N71">
        <v>2500</v>
      </c>
      <c r="O71" t="s">
        <v>3434</v>
      </c>
      <c r="P71" s="31" t="str">
        <f>HYPERLINK("https://b2b.kobi.pl/pl/product/9529,zarowka-led-gs-7w-e27-6000k-kobi?currency=PLN")</f>
        <v>https://b2b.kobi.pl/pl/product/9529,zarowka-led-gs-7w-e27-6000k-kobi?currency=PLN</v>
      </c>
      <c r="Q71" s="31" t="str">
        <f>HYPERLINK("https://eprel.ec.europa.eu/qr/659846")</f>
        <v>https://eprel.ec.europa.eu/qr/659846</v>
      </c>
      <c r="R71"/>
      <c r="S71" t="s">
        <v>2673</v>
      </c>
      <c r="T71"/>
      <c r="U71">
        <v>2.9000000000000001E-2</v>
      </c>
      <c r="V71">
        <v>2.9499999999999998E-2</v>
      </c>
      <c r="W71">
        <v>6</v>
      </c>
      <c r="X71">
        <v>6</v>
      </c>
      <c r="Y71">
        <v>10.5</v>
      </c>
    </row>
    <row r="72" spans="1:25" ht="60" customHeight="1" x14ac:dyDescent="0.25">
      <c r="A72"/>
      <c r="B72" t="s">
        <v>3367</v>
      </c>
      <c r="C72" t="s">
        <v>3369</v>
      </c>
      <c r="D72" t="s">
        <v>643</v>
      </c>
      <c r="E72" t="s">
        <v>1617</v>
      </c>
      <c r="F72" t="s">
        <v>1618</v>
      </c>
      <c r="G72" t="s">
        <v>1506</v>
      </c>
      <c r="H72" s="30">
        <v>9.31</v>
      </c>
      <c r="I72" s="29">
        <f>H72*(1-IFERROR(VLOOKUP(G72,Rabat!$D$10:$E$41,2,FALSE),0))</f>
        <v>9.31</v>
      </c>
      <c r="J72" t="s">
        <v>1903</v>
      </c>
      <c r="K72" t="s">
        <v>55</v>
      </c>
      <c r="L72" t="s">
        <v>1901</v>
      </c>
      <c r="M72">
        <v>100</v>
      </c>
      <c r="N72">
        <v>2500</v>
      </c>
      <c r="O72" t="s">
        <v>3434</v>
      </c>
      <c r="P72" s="31" t="str">
        <f>HYPERLINK("https://b2b.kobi.pl/pl/product/9508,zarowka-led-gs-10w-e27-3000k-kobi?currency=PLN")</f>
        <v>https://b2b.kobi.pl/pl/product/9508,zarowka-led-gs-10w-e27-3000k-kobi?currency=PLN</v>
      </c>
      <c r="Q72" s="31" t="str">
        <f>HYPERLINK("https://eprel.ec.europa.eu/qr/659813")</f>
        <v>https://eprel.ec.europa.eu/qr/659813</v>
      </c>
      <c r="R72"/>
      <c r="S72" t="s">
        <v>2673</v>
      </c>
      <c r="T72"/>
      <c r="U72">
        <v>2.9000000000000001E-2</v>
      </c>
      <c r="V72">
        <v>3.7100000000000001E-2</v>
      </c>
      <c r="W72">
        <v>6</v>
      </c>
      <c r="X72">
        <v>6</v>
      </c>
      <c r="Y72">
        <v>10.8</v>
      </c>
    </row>
    <row r="73" spans="1:25" ht="60" customHeight="1" x14ac:dyDescent="0.25">
      <c r="A73"/>
      <c r="B73" t="s">
        <v>3367</v>
      </c>
      <c r="C73" t="s">
        <v>3369</v>
      </c>
      <c r="D73" t="s">
        <v>643</v>
      </c>
      <c r="E73" t="s">
        <v>1619</v>
      </c>
      <c r="F73" t="s">
        <v>1620</v>
      </c>
      <c r="G73" t="s">
        <v>1506</v>
      </c>
      <c r="H73" s="30">
        <v>9.31</v>
      </c>
      <c r="I73" s="29">
        <f>H73*(1-IFERROR(VLOOKUP(G73,Rabat!$D$10:$E$41,2,FALSE),0))</f>
        <v>9.31</v>
      </c>
      <c r="J73" t="s">
        <v>1903</v>
      </c>
      <c r="K73" t="s">
        <v>56</v>
      </c>
      <c r="L73" t="s">
        <v>1901</v>
      </c>
      <c r="M73">
        <v>100</v>
      </c>
      <c r="N73">
        <v>2500</v>
      </c>
      <c r="O73" t="s">
        <v>3434</v>
      </c>
      <c r="P73" s="31" t="str">
        <f>HYPERLINK("https://b2b.kobi.pl/pl/product/9509,zarowka-led-gs-10w-e27-4000k-kobi?currency=PLN")</f>
        <v>https://b2b.kobi.pl/pl/product/9509,zarowka-led-gs-10w-e27-4000k-kobi?currency=PLN</v>
      </c>
      <c r="Q73" s="31" t="str">
        <f>HYPERLINK("https://eprel.ec.europa.eu/qr/659817")</f>
        <v>https://eprel.ec.europa.eu/qr/659817</v>
      </c>
      <c r="R73"/>
      <c r="S73" t="s">
        <v>2673</v>
      </c>
      <c r="T73"/>
      <c r="U73">
        <v>2.9000000000000001E-2</v>
      </c>
      <c r="V73">
        <v>3.7100000000000001E-2</v>
      </c>
      <c r="W73">
        <v>6</v>
      </c>
      <c r="X73">
        <v>6</v>
      </c>
      <c r="Y73">
        <v>10.8</v>
      </c>
    </row>
    <row r="74" spans="1:25" ht="60" customHeight="1" x14ac:dyDescent="0.25">
      <c r="A74"/>
      <c r="B74" t="s">
        <v>3367</v>
      </c>
      <c r="C74" t="s">
        <v>3369</v>
      </c>
      <c r="D74" t="s">
        <v>643</v>
      </c>
      <c r="E74" t="s">
        <v>1621</v>
      </c>
      <c r="F74" t="s">
        <v>1622</v>
      </c>
      <c r="G74" t="s">
        <v>1506</v>
      </c>
      <c r="H74" s="30">
        <v>9.31</v>
      </c>
      <c r="I74" s="29">
        <f>H74*(1-IFERROR(VLOOKUP(G74,Rabat!$D$10:$E$41,2,FALSE),0))</f>
        <v>9.31</v>
      </c>
      <c r="J74" t="s">
        <v>1903</v>
      </c>
      <c r="K74" t="s">
        <v>57</v>
      </c>
      <c r="L74" t="s">
        <v>1901</v>
      </c>
      <c r="M74">
        <v>100</v>
      </c>
      <c r="N74">
        <v>2500</v>
      </c>
      <c r="O74" t="s">
        <v>3434</v>
      </c>
      <c r="P74" s="31" t="str">
        <f>HYPERLINK("https://b2b.kobi.pl/pl/product/9510,zarowka-led-gs-10w-e27-6000k-kobi?currency=PLN")</f>
        <v>https://b2b.kobi.pl/pl/product/9510,zarowka-led-gs-10w-e27-6000k-kobi?currency=PLN</v>
      </c>
      <c r="Q74" s="31" t="str">
        <f>HYPERLINK("https://eprel.ec.europa.eu/qr/659818")</f>
        <v>https://eprel.ec.europa.eu/qr/659818</v>
      </c>
      <c r="R74"/>
      <c r="S74" t="s">
        <v>2673</v>
      </c>
      <c r="T74"/>
      <c r="U74">
        <v>2.9000000000000001E-2</v>
      </c>
      <c r="V74">
        <v>3.7100000000000001E-2</v>
      </c>
      <c r="W74">
        <v>6</v>
      </c>
      <c r="X74">
        <v>6</v>
      </c>
      <c r="Y74">
        <v>10.8</v>
      </c>
    </row>
    <row r="75" spans="1:25" ht="60" customHeight="1" x14ac:dyDescent="0.25">
      <c r="A75"/>
      <c r="B75" t="s">
        <v>3367</v>
      </c>
      <c r="C75" t="s">
        <v>3369</v>
      </c>
      <c r="D75" t="s">
        <v>643</v>
      </c>
      <c r="E75" t="s">
        <v>1625</v>
      </c>
      <c r="F75" t="s">
        <v>1626</v>
      </c>
      <c r="G75" t="s">
        <v>1506</v>
      </c>
      <c r="H75" s="30">
        <v>10.62</v>
      </c>
      <c r="I75" s="29">
        <f>H75*(1-IFERROR(VLOOKUP(G75,Rabat!$D$10:$E$41,2,FALSE),0))</f>
        <v>10.62</v>
      </c>
      <c r="J75" t="s">
        <v>1903</v>
      </c>
      <c r="K75" t="s">
        <v>59</v>
      </c>
      <c r="L75" t="s">
        <v>1901</v>
      </c>
      <c r="M75">
        <v>100</v>
      </c>
      <c r="N75">
        <v>2500</v>
      </c>
      <c r="O75" t="s">
        <v>3434</v>
      </c>
      <c r="P75" s="31" t="str">
        <f>HYPERLINK("https://b2b.kobi.pl/pl/product/9515,zarowka-led-gs-13w-e27-3000k-kobi?currency=PLN")</f>
        <v>https://b2b.kobi.pl/pl/product/9515,zarowka-led-gs-13w-e27-3000k-kobi?currency=PLN</v>
      </c>
      <c r="Q75" s="31" t="str">
        <f>HYPERLINK("https://eprel.ec.europa.eu/qr/659821")</f>
        <v>https://eprel.ec.europa.eu/qr/659821</v>
      </c>
      <c r="R75"/>
      <c r="S75" t="s">
        <v>2673</v>
      </c>
      <c r="T75"/>
      <c r="U75">
        <v>3.9E-2</v>
      </c>
      <c r="V75">
        <v>4.7300000000000002E-2</v>
      </c>
      <c r="W75">
        <v>6</v>
      </c>
      <c r="X75">
        <v>6</v>
      </c>
      <c r="Y75">
        <v>11.8</v>
      </c>
    </row>
    <row r="76" spans="1:25" ht="60" customHeight="1" x14ac:dyDescent="0.25">
      <c r="A76"/>
      <c r="B76" t="s">
        <v>3367</v>
      </c>
      <c r="C76" t="s">
        <v>3369</v>
      </c>
      <c r="D76" t="s">
        <v>643</v>
      </c>
      <c r="E76" t="s">
        <v>1627</v>
      </c>
      <c r="F76" t="s">
        <v>1628</v>
      </c>
      <c r="G76" t="s">
        <v>1506</v>
      </c>
      <c r="H76" s="30">
        <v>10.62</v>
      </c>
      <c r="I76" s="29">
        <f>H76*(1-IFERROR(VLOOKUP(G76,Rabat!$D$10:$E$41,2,FALSE),0))</f>
        <v>10.62</v>
      </c>
      <c r="J76" t="s">
        <v>1903</v>
      </c>
      <c r="K76" t="s">
        <v>60</v>
      </c>
      <c r="L76" t="s">
        <v>1901</v>
      </c>
      <c r="M76">
        <v>100</v>
      </c>
      <c r="N76">
        <v>2500</v>
      </c>
      <c r="O76" t="s">
        <v>3434</v>
      </c>
      <c r="P76" s="31" t="str">
        <f>HYPERLINK("https://b2b.kobi.pl/pl/product/9517,zarowka-led-gs-13w-e27-4000k-kobi?currency=PLN")</f>
        <v>https://b2b.kobi.pl/pl/product/9517,zarowka-led-gs-13w-e27-4000k-kobi?currency=PLN</v>
      </c>
      <c r="Q76" s="31" t="str">
        <f>HYPERLINK("https://eprel.ec.europa.eu/qr/659826")</f>
        <v>https://eprel.ec.europa.eu/qr/659826</v>
      </c>
      <c r="R76"/>
      <c r="S76" t="s">
        <v>2673</v>
      </c>
      <c r="T76"/>
      <c r="U76">
        <v>3.9E-2</v>
      </c>
      <c r="V76">
        <v>4.7300000000000002E-2</v>
      </c>
      <c r="W76">
        <v>6</v>
      </c>
      <c r="X76">
        <v>6</v>
      </c>
      <c r="Y76">
        <v>11.8</v>
      </c>
    </row>
    <row r="77" spans="1:25" ht="60" customHeight="1" x14ac:dyDescent="0.25">
      <c r="A77"/>
      <c r="B77" t="s">
        <v>3367</v>
      </c>
      <c r="C77" t="s">
        <v>3369</v>
      </c>
      <c r="D77" t="s">
        <v>643</v>
      </c>
      <c r="E77" t="s">
        <v>2776</v>
      </c>
      <c r="F77" t="s">
        <v>1629</v>
      </c>
      <c r="G77" t="s">
        <v>1506</v>
      </c>
      <c r="H77" s="30">
        <v>10.62</v>
      </c>
      <c r="I77" s="29">
        <f>H77*(1-IFERROR(VLOOKUP(G77,Rabat!$D$10:$E$41,2,FALSE),0))</f>
        <v>10.62</v>
      </c>
      <c r="J77" t="s">
        <v>1903</v>
      </c>
      <c r="K77" t="s">
        <v>61</v>
      </c>
      <c r="L77" t="s">
        <v>1901</v>
      </c>
      <c r="M77">
        <v>100</v>
      </c>
      <c r="N77">
        <v>2500</v>
      </c>
      <c r="O77" t="s">
        <v>3434</v>
      </c>
      <c r="P77" s="31" t="str">
        <f>HYPERLINK("https://b2b.kobi.pl/pl/product/9518,zarowka-led-gs-13w-e27-6000k-kobi?currency=PLN")</f>
        <v>https://b2b.kobi.pl/pl/product/9518,zarowka-led-gs-13w-e27-6000k-kobi?currency=PLN</v>
      </c>
      <c r="Q77" s="31" t="str">
        <f>HYPERLINK("https://eprel.ec.europa.eu/qr/659831")</f>
        <v>https://eprel.ec.europa.eu/qr/659831</v>
      </c>
      <c r="R77"/>
      <c r="S77" t="s">
        <v>2673</v>
      </c>
      <c r="T77"/>
      <c r="U77">
        <v>3.9E-2</v>
      </c>
      <c r="V77">
        <v>4.7300000000000002E-2</v>
      </c>
      <c r="W77">
        <v>6</v>
      </c>
      <c r="X77">
        <v>6</v>
      </c>
      <c r="Y77">
        <v>11.8</v>
      </c>
    </row>
    <row r="78" spans="1:25" ht="60" customHeight="1" x14ac:dyDescent="0.25">
      <c r="A78"/>
      <c r="B78" t="s">
        <v>3367</v>
      </c>
      <c r="C78" t="s">
        <v>3369</v>
      </c>
      <c r="D78" t="s">
        <v>643</v>
      </c>
      <c r="E78" t="s">
        <v>1630</v>
      </c>
      <c r="F78" t="s">
        <v>1631</v>
      </c>
      <c r="G78" t="s">
        <v>1506</v>
      </c>
      <c r="H78" s="30">
        <v>14.52</v>
      </c>
      <c r="I78" s="29">
        <f>H78*(1-IFERROR(VLOOKUP(G78,Rabat!$D$10:$E$41,2,FALSE),0))</f>
        <v>14.52</v>
      </c>
      <c r="J78" t="s">
        <v>1903</v>
      </c>
      <c r="K78" t="s">
        <v>62</v>
      </c>
      <c r="L78" t="s">
        <v>1901</v>
      </c>
      <c r="M78">
        <v>100</v>
      </c>
      <c r="N78">
        <v>1500</v>
      </c>
      <c r="O78" t="s">
        <v>3434</v>
      </c>
      <c r="P78" s="31" t="str">
        <f>HYPERLINK("https://b2b.kobi.pl/pl/product/9519,zarowka-led-gs-15w-e27-3000k-kobi?currency=PLN")</f>
        <v>https://b2b.kobi.pl/pl/product/9519,zarowka-led-gs-15w-e27-3000k-kobi?currency=PLN</v>
      </c>
      <c r="Q78" s="31" t="str">
        <f>HYPERLINK("https://eprel.ec.europa.eu/qr/2354749")</f>
        <v>https://eprel.ec.europa.eu/qr/2354749</v>
      </c>
      <c r="R78"/>
      <c r="S78" t="s">
        <v>2673</v>
      </c>
      <c r="T78"/>
      <c r="U78">
        <v>5.5E-2</v>
      </c>
      <c r="V78">
        <v>7.4999999999999997E-2</v>
      </c>
      <c r="W78">
        <v>6</v>
      </c>
      <c r="X78">
        <v>6</v>
      </c>
      <c r="Y78">
        <v>13.3</v>
      </c>
    </row>
    <row r="79" spans="1:25" ht="60" customHeight="1" x14ac:dyDescent="0.25">
      <c r="A79"/>
      <c r="B79" t="s">
        <v>3367</v>
      </c>
      <c r="C79" t="s">
        <v>3369</v>
      </c>
      <c r="D79" t="s">
        <v>643</v>
      </c>
      <c r="E79" t="s">
        <v>1632</v>
      </c>
      <c r="F79" t="s">
        <v>1633</v>
      </c>
      <c r="G79" t="s">
        <v>1506</v>
      </c>
      <c r="H79" s="30">
        <v>14.52</v>
      </c>
      <c r="I79" s="29">
        <f>H79*(1-IFERROR(VLOOKUP(G79,Rabat!$D$10:$E$41,2,FALSE),0))</f>
        <v>14.52</v>
      </c>
      <c r="J79" t="s">
        <v>1903</v>
      </c>
      <c r="K79" t="s">
        <v>63</v>
      </c>
      <c r="L79" t="s">
        <v>1901</v>
      </c>
      <c r="M79">
        <v>100</v>
      </c>
      <c r="N79">
        <v>1500</v>
      </c>
      <c r="O79" t="s">
        <v>3434</v>
      </c>
      <c r="P79" s="31" t="str">
        <f>HYPERLINK("https://b2b.kobi.pl/pl/product/9521,zarowka-led-gs-15w-e27-4000k-kobi?currency=PLN")</f>
        <v>https://b2b.kobi.pl/pl/product/9521,zarowka-led-gs-15w-e27-4000k-kobi?currency=PLN</v>
      </c>
      <c r="Q79" s="31" t="str">
        <f>HYPERLINK("https://eprel.ec.europa.eu/qr/659834")</f>
        <v>https://eprel.ec.europa.eu/qr/659834</v>
      </c>
      <c r="R79"/>
      <c r="S79" t="s">
        <v>2673</v>
      </c>
      <c r="T79"/>
      <c r="U79">
        <v>5.5E-2</v>
      </c>
      <c r="V79">
        <v>7.4999999999999997E-2</v>
      </c>
      <c r="W79">
        <v>6</v>
      </c>
      <c r="X79">
        <v>6</v>
      </c>
      <c r="Y79">
        <v>13.3</v>
      </c>
    </row>
    <row r="80" spans="1:25" ht="60" customHeight="1" x14ac:dyDescent="0.25">
      <c r="A80"/>
      <c r="B80" t="s">
        <v>3367</v>
      </c>
      <c r="C80" t="s">
        <v>3369</v>
      </c>
      <c r="D80" t="s">
        <v>643</v>
      </c>
      <c r="E80" t="s">
        <v>2777</v>
      </c>
      <c r="F80" t="s">
        <v>1634</v>
      </c>
      <c r="G80" t="s">
        <v>1506</v>
      </c>
      <c r="H80" s="30">
        <v>14.52</v>
      </c>
      <c r="I80" s="29">
        <f>H80*(1-IFERROR(VLOOKUP(G80,Rabat!$D$10:$E$41,2,FALSE),0))</f>
        <v>14.52</v>
      </c>
      <c r="J80" t="s">
        <v>1903</v>
      </c>
      <c r="K80" t="s">
        <v>64</v>
      </c>
      <c r="L80" t="s">
        <v>1901</v>
      </c>
      <c r="M80">
        <v>100</v>
      </c>
      <c r="N80">
        <v>1500</v>
      </c>
      <c r="O80" t="s">
        <v>3434</v>
      </c>
      <c r="P80" s="31" t="str">
        <f>HYPERLINK("https://b2b.kobi.pl/pl/product/9523,zarowka-led-gs-15w-e27-6000k-kobi?currency=PLN")</f>
        <v>https://b2b.kobi.pl/pl/product/9523,zarowka-led-gs-15w-e27-6000k-kobi?currency=PLN</v>
      </c>
      <c r="Q80" s="31" t="str">
        <f>HYPERLINK("https://eprel.ec.europa.eu/qr/659835")</f>
        <v>https://eprel.ec.europa.eu/qr/659835</v>
      </c>
      <c r="R80"/>
      <c r="S80" t="s">
        <v>2673</v>
      </c>
      <c r="T80"/>
      <c r="U80">
        <v>5.5E-2</v>
      </c>
      <c r="V80">
        <v>7.4999999999999997E-2</v>
      </c>
      <c r="W80">
        <v>6</v>
      </c>
      <c r="X80">
        <v>6</v>
      </c>
      <c r="Y80">
        <v>13.3</v>
      </c>
    </row>
    <row r="81" spans="1:25" ht="60" customHeight="1" x14ac:dyDescent="0.25">
      <c r="A81"/>
      <c r="B81" t="s">
        <v>3367</v>
      </c>
      <c r="C81" t="s">
        <v>3369</v>
      </c>
      <c r="D81" t="s">
        <v>17</v>
      </c>
      <c r="E81" t="s">
        <v>2778</v>
      </c>
      <c r="F81" t="s">
        <v>2779</v>
      </c>
      <c r="G81" t="s">
        <v>1506</v>
      </c>
      <c r="H81" s="30">
        <v>9.93</v>
      </c>
      <c r="I81" s="29">
        <f>H81*(1-IFERROR(VLOOKUP(G81,Rabat!$D$10:$E$41,2,FALSE),0))</f>
        <v>9.93</v>
      </c>
      <c r="J81" t="s">
        <v>1903</v>
      </c>
      <c r="K81" t="s">
        <v>2814</v>
      </c>
      <c r="L81" t="s">
        <v>1901</v>
      </c>
      <c r="M81">
        <v>100</v>
      </c>
      <c r="N81">
        <v>1500</v>
      </c>
      <c r="O81" t="s">
        <v>3434</v>
      </c>
      <c r="P81" s="31" t="str">
        <f>HYPERLINK("https://b2b.kobi.pl/pl/product/12739,zarowka-led-gs-17w-e27-3000k-led2b?currency=PLN")</f>
        <v>https://b2b.kobi.pl/pl/product/12739,zarowka-led-gs-17w-e27-3000k-led2b?currency=PLN</v>
      </c>
      <c r="Q81" s="31" t="str">
        <f>HYPERLINK("https://eprel.ec.europa.eu/qr/2355312")</f>
        <v>https://eprel.ec.europa.eu/qr/2355312</v>
      </c>
      <c r="R81"/>
      <c r="S81" t="s">
        <v>2673</v>
      </c>
      <c r="T81"/>
      <c r="U81">
        <v>3.5000000000000003E-2</v>
      </c>
      <c r="V81">
        <v>4.9000000000000002E-2</v>
      </c>
      <c r="W81">
        <v>6.4</v>
      </c>
      <c r="X81">
        <v>6.4</v>
      </c>
      <c r="Y81">
        <v>13.5</v>
      </c>
    </row>
    <row r="82" spans="1:25" ht="60" customHeight="1" x14ac:dyDescent="0.25">
      <c r="A82"/>
      <c r="B82" t="s">
        <v>3367</v>
      </c>
      <c r="C82" t="s">
        <v>3369</v>
      </c>
      <c r="D82" t="s">
        <v>17</v>
      </c>
      <c r="E82" t="s">
        <v>2780</v>
      </c>
      <c r="F82" t="s">
        <v>2781</v>
      </c>
      <c r="G82" t="s">
        <v>1506</v>
      </c>
      <c r="H82" s="30">
        <v>9.93</v>
      </c>
      <c r="I82" s="29">
        <f>H82*(1-IFERROR(VLOOKUP(G82,Rabat!$D$10:$E$41,2,FALSE),0))</f>
        <v>9.93</v>
      </c>
      <c r="J82" t="s">
        <v>1903</v>
      </c>
      <c r="K82" t="s">
        <v>2815</v>
      </c>
      <c r="L82" t="s">
        <v>1901</v>
      </c>
      <c r="M82">
        <v>100</v>
      </c>
      <c r="N82">
        <v>1500</v>
      </c>
      <c r="O82" t="s">
        <v>3434</v>
      </c>
      <c r="P82" s="31" t="str">
        <f>HYPERLINK("https://b2b.kobi.pl/pl/product/12740,zarowka-led-gs-17w-e27-4000k-led2b?currency=PLN")</f>
        <v>https://b2b.kobi.pl/pl/product/12740,zarowka-led-gs-17w-e27-4000k-led2b?currency=PLN</v>
      </c>
      <c r="Q82" s="31" t="str">
        <f>HYPERLINK("https://eprel.ec.europa.eu/qr/2355370")</f>
        <v>https://eprel.ec.europa.eu/qr/2355370</v>
      </c>
      <c r="R82"/>
      <c r="S82" t="s">
        <v>2673</v>
      </c>
      <c r="T82"/>
      <c r="U82">
        <v>3.5000000000000003E-2</v>
      </c>
      <c r="V82">
        <v>4.9000000000000002E-2</v>
      </c>
      <c r="W82">
        <v>6.4</v>
      </c>
      <c r="X82">
        <v>6.4</v>
      </c>
      <c r="Y82">
        <v>13.5</v>
      </c>
    </row>
    <row r="83" spans="1:25" ht="60" customHeight="1" x14ac:dyDescent="0.25">
      <c r="A83"/>
      <c r="B83" t="s">
        <v>3367</v>
      </c>
      <c r="C83" t="s">
        <v>3369</v>
      </c>
      <c r="D83" t="s">
        <v>17</v>
      </c>
      <c r="E83" t="s">
        <v>2782</v>
      </c>
      <c r="F83" t="s">
        <v>2783</v>
      </c>
      <c r="G83" t="s">
        <v>1506</v>
      </c>
      <c r="H83" s="30">
        <v>9.93</v>
      </c>
      <c r="I83" s="29">
        <f>H83*(1-IFERROR(VLOOKUP(G83,Rabat!$D$10:$E$41,2,FALSE),0))</f>
        <v>9.93</v>
      </c>
      <c r="J83" t="s">
        <v>1903</v>
      </c>
      <c r="K83" t="s">
        <v>2816</v>
      </c>
      <c r="L83" t="s">
        <v>1901</v>
      </c>
      <c r="M83">
        <v>100</v>
      </c>
      <c r="N83">
        <v>1500</v>
      </c>
      <c r="O83" t="s">
        <v>3434</v>
      </c>
      <c r="P83" s="31" t="str">
        <f>HYPERLINK("https://b2b.kobi.pl/pl/product/12741,zarowka-led-gs-17w-e27-6500k-led2b?currency=PLN")</f>
        <v>https://b2b.kobi.pl/pl/product/12741,zarowka-led-gs-17w-e27-6500k-led2b?currency=PLN</v>
      </c>
      <c r="Q83" s="31" t="str">
        <f>HYPERLINK("https://eprel.ec.europa.eu/qr/2355416")</f>
        <v>https://eprel.ec.europa.eu/qr/2355416</v>
      </c>
      <c r="R83"/>
      <c r="S83" t="s">
        <v>2673</v>
      </c>
      <c r="T83"/>
      <c r="U83">
        <v>3.5000000000000003E-2</v>
      </c>
      <c r="V83">
        <v>4.9000000000000002E-2</v>
      </c>
      <c r="W83">
        <v>6.4</v>
      </c>
      <c r="X83">
        <v>6.4</v>
      </c>
      <c r="Y83">
        <v>13.5</v>
      </c>
    </row>
    <row r="84" spans="1:25" ht="60" customHeight="1" x14ac:dyDescent="0.25">
      <c r="A84"/>
      <c r="B84" t="s">
        <v>3367</v>
      </c>
      <c r="C84" t="s">
        <v>3369</v>
      </c>
      <c r="D84" t="s">
        <v>643</v>
      </c>
      <c r="E84" t="s">
        <v>1635</v>
      </c>
      <c r="F84" t="s">
        <v>1636</v>
      </c>
      <c r="G84" t="s">
        <v>1506</v>
      </c>
      <c r="H84" s="30">
        <v>21.1</v>
      </c>
      <c r="I84" s="29">
        <f>H84*(1-IFERROR(VLOOKUP(G84,Rabat!$D$10:$E$41,2,FALSE),0))</f>
        <v>21.1</v>
      </c>
      <c r="J84" t="s">
        <v>1900</v>
      </c>
      <c r="K84" t="s">
        <v>65</v>
      </c>
      <c r="L84" t="s">
        <v>1901</v>
      </c>
      <c r="M84">
        <v>100</v>
      </c>
      <c r="N84">
        <v>1500</v>
      </c>
      <c r="O84" t="s">
        <v>3434</v>
      </c>
      <c r="P84" s="31" t="str">
        <f>HYPERLINK("https://b2b.kobi.pl/pl/product/9524,zarowka-led-gs-18w-e27-3000k-kobi?currency=PLN")</f>
        <v>https://b2b.kobi.pl/pl/product/9524,zarowka-led-gs-18w-e27-3000k-kobi?currency=PLN</v>
      </c>
      <c r="Q84" s="31" t="str">
        <f>HYPERLINK("https://eprel.ec.europa.eu/qr/659839")</f>
        <v>https://eprel.ec.europa.eu/qr/659839</v>
      </c>
      <c r="R84"/>
      <c r="S84" t="s">
        <v>2673</v>
      </c>
      <c r="T84"/>
      <c r="U84">
        <v>7.0000000000000007E-2</v>
      </c>
      <c r="V84">
        <v>8.2000000000000003E-2</v>
      </c>
      <c r="W84">
        <v>6</v>
      </c>
      <c r="X84">
        <v>6</v>
      </c>
      <c r="Y84">
        <v>13.9</v>
      </c>
    </row>
    <row r="85" spans="1:25" ht="60" customHeight="1" x14ac:dyDescent="0.25">
      <c r="A85"/>
      <c r="B85" t="s">
        <v>3367</v>
      </c>
      <c r="C85" t="s">
        <v>3369</v>
      </c>
      <c r="D85" t="s">
        <v>643</v>
      </c>
      <c r="E85" t="s">
        <v>1637</v>
      </c>
      <c r="F85" t="s">
        <v>1638</v>
      </c>
      <c r="G85" t="s">
        <v>1506</v>
      </c>
      <c r="H85" s="30">
        <v>21.1</v>
      </c>
      <c r="I85" s="29">
        <f>H85*(1-IFERROR(VLOOKUP(G85,Rabat!$D$10:$E$41,2,FALSE),0))</f>
        <v>21.1</v>
      </c>
      <c r="J85" t="s">
        <v>1900</v>
      </c>
      <c r="K85" t="s">
        <v>66</v>
      </c>
      <c r="L85" t="s">
        <v>1901</v>
      </c>
      <c r="M85">
        <v>100</v>
      </c>
      <c r="N85">
        <v>1500</v>
      </c>
      <c r="O85" t="s">
        <v>3434</v>
      </c>
      <c r="P85" s="31" t="str">
        <f>HYPERLINK("https://b2b.kobi.pl/pl/product/9525,zarowka-led-gs-18w-e27-4000k-kobi?currency=PLN")</f>
        <v>https://b2b.kobi.pl/pl/product/9525,zarowka-led-gs-18w-e27-4000k-kobi?currency=PLN</v>
      </c>
      <c r="Q85" s="31" t="str">
        <f>HYPERLINK("https://eprel.ec.europa.eu/qr/659840")</f>
        <v>https://eprel.ec.europa.eu/qr/659840</v>
      </c>
      <c r="R85"/>
      <c r="S85" t="s">
        <v>2673</v>
      </c>
      <c r="T85"/>
      <c r="U85">
        <v>7.0000000000000007E-2</v>
      </c>
      <c r="V85">
        <v>8.2000000000000003E-2</v>
      </c>
      <c r="W85">
        <v>6</v>
      </c>
      <c r="X85">
        <v>6</v>
      </c>
      <c r="Y85">
        <v>13.9</v>
      </c>
    </row>
    <row r="86" spans="1:25" ht="60" customHeight="1" x14ac:dyDescent="0.25">
      <c r="A86"/>
      <c r="B86" t="s">
        <v>3367</v>
      </c>
      <c r="C86" t="s">
        <v>3369</v>
      </c>
      <c r="D86" t="s">
        <v>643</v>
      </c>
      <c r="E86" t="s">
        <v>1639</v>
      </c>
      <c r="F86" t="s">
        <v>1640</v>
      </c>
      <c r="G86" t="s">
        <v>1506</v>
      </c>
      <c r="H86" s="30">
        <v>21.1</v>
      </c>
      <c r="I86" s="29">
        <f>H86*(1-IFERROR(VLOOKUP(G86,Rabat!$D$10:$E$41,2,FALSE),0))</f>
        <v>21.1</v>
      </c>
      <c r="J86" t="s">
        <v>1900</v>
      </c>
      <c r="K86" t="s">
        <v>67</v>
      </c>
      <c r="L86" t="s">
        <v>1901</v>
      </c>
      <c r="M86">
        <v>100</v>
      </c>
      <c r="N86">
        <v>1500</v>
      </c>
      <c r="O86" t="s">
        <v>3434</v>
      </c>
      <c r="P86" s="31" t="str">
        <f>HYPERLINK("https://b2b.kobi.pl/pl/product/9526,zarowka-led-gs-18w-e27-6000k-kobi?currency=PLN")</f>
        <v>https://b2b.kobi.pl/pl/product/9526,zarowka-led-gs-18w-e27-6000k-kobi?currency=PLN</v>
      </c>
      <c r="Q86" s="31" t="str">
        <f>HYPERLINK("https://eprel.ec.europa.eu/qr/659841")</f>
        <v>https://eprel.ec.europa.eu/qr/659841</v>
      </c>
      <c r="R86"/>
      <c r="S86" t="s">
        <v>2673</v>
      </c>
      <c r="T86"/>
      <c r="U86">
        <v>7.0000000000000007E-2</v>
      </c>
      <c r="V86">
        <v>8.2000000000000003E-2</v>
      </c>
      <c r="W86">
        <v>6</v>
      </c>
      <c r="X86">
        <v>6</v>
      </c>
      <c r="Y86">
        <v>13.9</v>
      </c>
    </row>
    <row r="87" spans="1:25" ht="60" customHeight="1" x14ac:dyDescent="0.25">
      <c r="A87"/>
      <c r="B87" t="s">
        <v>3367</v>
      </c>
      <c r="C87" t="s">
        <v>3369</v>
      </c>
      <c r="D87" t="s">
        <v>643</v>
      </c>
      <c r="E87" t="s">
        <v>2784</v>
      </c>
      <c r="F87" t="s">
        <v>2785</v>
      </c>
      <c r="G87" t="s">
        <v>1506</v>
      </c>
      <c r="H87" s="30">
        <v>23.79</v>
      </c>
      <c r="I87" s="29">
        <f>H87*(1-IFERROR(VLOOKUP(G87,Rabat!$D$10:$E$41,2,FALSE),0))</f>
        <v>23.79</v>
      </c>
      <c r="J87" t="s">
        <v>1900</v>
      </c>
      <c r="K87" t="s">
        <v>2817</v>
      </c>
      <c r="L87" t="s">
        <v>1901</v>
      </c>
      <c r="M87">
        <v>100</v>
      </c>
      <c r="N87">
        <v>1500</v>
      </c>
      <c r="O87" t="s">
        <v>3434</v>
      </c>
      <c r="P87" s="31" t="str">
        <f>HYPERLINK("https://b2b.kobi.pl/pl/product/12742,zarowka-led-gs-22w-e27-3000k-kobi?currency=PLN")</f>
        <v>https://b2b.kobi.pl/pl/product/12742,zarowka-led-gs-22w-e27-3000k-kobi?currency=PLN</v>
      </c>
      <c r="Q87" s="31" t="str">
        <f>HYPERLINK("https://eprel.ec.europa.eu/qr/2355432")</f>
        <v>https://eprel.ec.europa.eu/qr/2355432</v>
      </c>
      <c r="R87"/>
      <c r="S87" t="s">
        <v>2673</v>
      </c>
      <c r="T87"/>
      <c r="U87">
        <v>0.05</v>
      </c>
      <c r="V87">
        <v>6.6000000000000003E-2</v>
      </c>
      <c r="W87">
        <v>6.5</v>
      </c>
      <c r="X87">
        <v>6.5</v>
      </c>
      <c r="Y87">
        <v>13.7</v>
      </c>
    </row>
    <row r="88" spans="1:25" ht="60" customHeight="1" x14ac:dyDescent="0.25">
      <c r="A88"/>
      <c r="B88" t="s">
        <v>3367</v>
      </c>
      <c r="C88" t="s">
        <v>3369</v>
      </c>
      <c r="D88" t="s">
        <v>643</v>
      </c>
      <c r="E88" t="s">
        <v>2786</v>
      </c>
      <c r="F88" t="s">
        <v>2787</v>
      </c>
      <c r="G88" t="s">
        <v>1506</v>
      </c>
      <c r="H88" s="30">
        <v>23.79</v>
      </c>
      <c r="I88" s="29">
        <f>H88*(1-IFERROR(VLOOKUP(G88,Rabat!$D$10:$E$41,2,FALSE),0))</f>
        <v>23.79</v>
      </c>
      <c r="J88" t="s">
        <v>1900</v>
      </c>
      <c r="K88" t="s">
        <v>2818</v>
      </c>
      <c r="L88" t="s">
        <v>1901</v>
      </c>
      <c r="M88">
        <v>100</v>
      </c>
      <c r="N88">
        <v>1500</v>
      </c>
      <c r="O88" t="s">
        <v>3434</v>
      </c>
      <c r="P88" s="31" t="str">
        <f>HYPERLINK("https://b2b.kobi.pl/pl/product/12743,zarowka-led-gs-22w-e27-4000k-kobi?currency=PLN")</f>
        <v>https://b2b.kobi.pl/pl/product/12743,zarowka-led-gs-22w-e27-4000k-kobi?currency=PLN</v>
      </c>
      <c r="Q88" s="31" t="str">
        <f>HYPERLINK("https://eprel.ec.europa.eu/qr/2355447")</f>
        <v>https://eprel.ec.europa.eu/qr/2355447</v>
      </c>
      <c r="R88"/>
      <c r="S88" t="s">
        <v>2673</v>
      </c>
      <c r="T88"/>
      <c r="U88">
        <v>0.05</v>
      </c>
      <c r="V88">
        <v>6.6000000000000003E-2</v>
      </c>
      <c r="W88">
        <v>6.5</v>
      </c>
      <c r="X88">
        <v>6.5</v>
      </c>
      <c r="Y88">
        <v>13.7</v>
      </c>
    </row>
    <row r="89" spans="1:25" ht="60" customHeight="1" x14ac:dyDescent="0.25">
      <c r="A89"/>
      <c r="B89" t="s">
        <v>3367</v>
      </c>
      <c r="C89" t="s">
        <v>3369</v>
      </c>
      <c r="D89" t="s">
        <v>643</v>
      </c>
      <c r="E89" t="s">
        <v>2788</v>
      </c>
      <c r="F89" t="s">
        <v>2789</v>
      </c>
      <c r="G89" t="s">
        <v>1506</v>
      </c>
      <c r="H89" s="30">
        <v>23.79</v>
      </c>
      <c r="I89" s="29">
        <f>H89*(1-IFERROR(VLOOKUP(G89,Rabat!$D$10:$E$41,2,FALSE),0))</f>
        <v>23.79</v>
      </c>
      <c r="J89" t="s">
        <v>1900</v>
      </c>
      <c r="K89" t="s">
        <v>2819</v>
      </c>
      <c r="L89" t="s">
        <v>1901</v>
      </c>
      <c r="M89">
        <v>100</v>
      </c>
      <c r="N89">
        <v>1500</v>
      </c>
      <c r="O89" t="s">
        <v>3434</v>
      </c>
      <c r="P89" s="31" t="str">
        <f>HYPERLINK("https://b2b.kobi.pl/pl/product/12744,zarowka-led-gs-22w-e27-6500k-kobi?currency=PLN")</f>
        <v>https://b2b.kobi.pl/pl/product/12744,zarowka-led-gs-22w-e27-6500k-kobi?currency=PLN</v>
      </c>
      <c r="Q89" s="31" t="str">
        <f>HYPERLINK("https://eprel.ec.europa.eu/qr/2355456")</f>
        <v>https://eprel.ec.europa.eu/qr/2355456</v>
      </c>
      <c r="R89"/>
      <c r="S89" t="s">
        <v>2673</v>
      </c>
      <c r="T89"/>
      <c r="U89">
        <v>0.05</v>
      </c>
      <c r="V89">
        <v>6.6000000000000003E-2</v>
      </c>
      <c r="W89">
        <v>6.5</v>
      </c>
      <c r="X89">
        <v>6.5</v>
      </c>
      <c r="Y89">
        <v>13.7</v>
      </c>
    </row>
    <row r="90" spans="1:25" ht="60" customHeight="1" x14ac:dyDescent="0.25">
      <c r="A90"/>
      <c r="B90" t="s">
        <v>3367</v>
      </c>
      <c r="C90" t="s">
        <v>3369</v>
      </c>
      <c r="D90" t="s">
        <v>17</v>
      </c>
      <c r="E90" t="s">
        <v>1595</v>
      </c>
      <c r="F90" t="s">
        <v>1596</v>
      </c>
      <c r="G90" t="s">
        <v>1506</v>
      </c>
      <c r="H90" s="30">
        <v>4.5599999999999996</v>
      </c>
      <c r="I90" s="29">
        <f>H90*(1-IFERROR(VLOOKUP(G90,Rabat!$D$10:$E$41,2,FALSE),0))</f>
        <v>4.5599999999999996</v>
      </c>
      <c r="J90" t="s">
        <v>1903</v>
      </c>
      <c r="K90" t="s">
        <v>46</v>
      </c>
      <c r="L90" t="s">
        <v>1901</v>
      </c>
      <c r="M90">
        <v>100</v>
      </c>
      <c r="N90">
        <v>2500</v>
      </c>
      <c r="O90" t="s">
        <v>3434</v>
      </c>
      <c r="P90" s="31" t="str">
        <f>HYPERLINK("https://b2b.kobi.pl/pl/product/9605,zarowka-led-gs-7w-e27-3000k-led2b?currency=PLN")</f>
        <v>https://b2b.kobi.pl/pl/product/9605,zarowka-led-gs-7w-e27-3000k-led2b?currency=PLN</v>
      </c>
      <c r="Q90" s="31" t="str">
        <f>HYPERLINK("https://eprel.ec.europa.eu/qr/660288")</f>
        <v>https://eprel.ec.europa.eu/qr/660288</v>
      </c>
      <c r="R90" t="s">
        <v>2035</v>
      </c>
      <c r="S90" t="s">
        <v>2673</v>
      </c>
      <c r="T90"/>
      <c r="U90">
        <v>2.5999999999999999E-2</v>
      </c>
      <c r="V90">
        <v>3.2000000000000001E-2</v>
      </c>
      <c r="W90">
        <v>5.5</v>
      </c>
      <c r="X90">
        <v>10</v>
      </c>
      <c r="Y90">
        <v>5.5</v>
      </c>
    </row>
    <row r="91" spans="1:25" ht="60" customHeight="1" x14ac:dyDescent="0.25">
      <c r="A91"/>
      <c r="B91" t="s">
        <v>3367</v>
      </c>
      <c r="C91" t="s">
        <v>3369</v>
      </c>
      <c r="D91" t="s">
        <v>17</v>
      </c>
      <c r="E91" t="s">
        <v>1599</v>
      </c>
      <c r="F91" t="s">
        <v>1600</v>
      </c>
      <c r="G91" t="s">
        <v>1506</v>
      </c>
      <c r="H91" s="30">
        <v>4.5599999999999996</v>
      </c>
      <c r="I91" s="29">
        <f>H91*(1-IFERROR(VLOOKUP(G91,Rabat!$D$10:$E$41,2,FALSE),0))</f>
        <v>4.5599999999999996</v>
      </c>
      <c r="J91" t="s">
        <v>1903</v>
      </c>
      <c r="K91" t="s">
        <v>47</v>
      </c>
      <c r="L91" t="s">
        <v>1901</v>
      </c>
      <c r="M91">
        <v>100</v>
      </c>
      <c r="N91">
        <v>3000</v>
      </c>
      <c r="O91" t="s">
        <v>3434</v>
      </c>
      <c r="P91" s="31" t="str">
        <f>HYPERLINK("https://b2b.kobi.pl/pl/product/9606,zarowka-led-gs-7w-e27-4000k-led2b?currency=PLN")</f>
        <v>https://b2b.kobi.pl/pl/product/9606,zarowka-led-gs-7w-e27-4000k-led2b?currency=PLN</v>
      </c>
      <c r="Q91" s="31" t="str">
        <f>HYPERLINK("https://eprel.ec.europa.eu/qr/660289")</f>
        <v>https://eprel.ec.europa.eu/qr/660289</v>
      </c>
      <c r="R91" t="s">
        <v>2035</v>
      </c>
      <c r="S91" t="s">
        <v>2673</v>
      </c>
      <c r="T91"/>
      <c r="U91">
        <v>2.5999999999999999E-2</v>
      </c>
      <c r="V91">
        <v>3.2000000000000001E-2</v>
      </c>
      <c r="W91">
        <v>5.5</v>
      </c>
      <c r="X91">
        <v>10</v>
      </c>
      <c r="Y91">
        <v>5.5</v>
      </c>
    </row>
    <row r="92" spans="1:25" ht="60" customHeight="1" x14ac:dyDescent="0.25">
      <c r="A92"/>
      <c r="B92" t="s">
        <v>3367</v>
      </c>
      <c r="C92" t="s">
        <v>3369</v>
      </c>
      <c r="D92" t="s">
        <v>17</v>
      </c>
      <c r="E92" t="s">
        <v>1603</v>
      </c>
      <c r="F92" t="s">
        <v>1604</v>
      </c>
      <c r="G92" t="s">
        <v>1506</v>
      </c>
      <c r="H92" s="30">
        <v>4.5599999999999996</v>
      </c>
      <c r="I92" s="29">
        <f>H92*(1-IFERROR(VLOOKUP(G92,Rabat!$D$10:$E$41,2,FALSE),0))</f>
        <v>4.5599999999999996</v>
      </c>
      <c r="J92" t="s">
        <v>1903</v>
      </c>
      <c r="K92" t="s">
        <v>48</v>
      </c>
      <c r="L92" t="s">
        <v>1901</v>
      </c>
      <c r="M92">
        <v>100</v>
      </c>
      <c r="N92">
        <v>2500</v>
      </c>
      <c r="O92" t="s">
        <v>3434</v>
      </c>
      <c r="P92" s="31" t="str">
        <f>HYPERLINK("https://b2b.kobi.pl/pl/product/9607,zarowka-led-gs-7w-e27-6500k-led2b?currency=PLN")</f>
        <v>https://b2b.kobi.pl/pl/product/9607,zarowka-led-gs-7w-e27-6500k-led2b?currency=PLN</v>
      </c>
      <c r="Q92" s="31" t="str">
        <f>HYPERLINK("https://eprel.ec.europa.eu/qr/660290")</f>
        <v>https://eprel.ec.europa.eu/qr/660290</v>
      </c>
      <c r="R92" t="s">
        <v>2035</v>
      </c>
      <c r="S92" t="s">
        <v>2673</v>
      </c>
      <c r="T92"/>
      <c r="U92">
        <v>2.5999999999999999E-2</v>
      </c>
      <c r="V92">
        <v>3.2000000000000001E-2</v>
      </c>
      <c r="W92">
        <v>5.5</v>
      </c>
      <c r="X92">
        <v>10</v>
      </c>
      <c r="Y92">
        <v>5.5</v>
      </c>
    </row>
    <row r="93" spans="1:25" ht="60" customHeight="1" x14ac:dyDescent="0.25">
      <c r="A93"/>
      <c r="B93" t="s">
        <v>3367</v>
      </c>
      <c r="C93" t="s">
        <v>3369</v>
      </c>
      <c r="D93" t="s">
        <v>17</v>
      </c>
      <c r="E93" t="s">
        <v>1605</v>
      </c>
      <c r="F93" t="s">
        <v>1606</v>
      </c>
      <c r="G93" t="s">
        <v>1506</v>
      </c>
      <c r="H93" s="30">
        <v>5.2</v>
      </c>
      <c r="I93" s="29">
        <f>H93*(1-IFERROR(VLOOKUP(G93,Rabat!$D$10:$E$41,2,FALSE),0))</f>
        <v>5.2</v>
      </c>
      <c r="J93" t="s">
        <v>1903</v>
      </c>
      <c r="K93" t="s">
        <v>49</v>
      </c>
      <c r="L93" t="s">
        <v>1901</v>
      </c>
      <c r="M93">
        <v>100</v>
      </c>
      <c r="N93">
        <v>3000</v>
      </c>
      <c r="O93" t="s">
        <v>3434</v>
      </c>
      <c r="P93" s="31" t="str">
        <f>HYPERLINK("https://b2b.kobi.pl/pl/product/9608,zarowka-led-gs-8-5w-e27-3000k-led2b?currency=PLN")</f>
        <v>https://b2b.kobi.pl/pl/product/9608,zarowka-led-gs-8-5w-e27-3000k-led2b?currency=PLN</v>
      </c>
      <c r="Q93" s="31" t="str">
        <f>HYPERLINK("https://eprel.ec.europa.eu/qr/1543370")</f>
        <v>https://eprel.ec.europa.eu/qr/1543370</v>
      </c>
      <c r="R93"/>
      <c r="S93" t="s">
        <v>2673</v>
      </c>
      <c r="T93"/>
      <c r="U93">
        <v>0.03</v>
      </c>
      <c r="V93">
        <v>4.5999999999999999E-2</v>
      </c>
      <c r="W93">
        <v>10.5</v>
      </c>
      <c r="X93">
        <v>6</v>
      </c>
      <c r="Y93">
        <v>6</v>
      </c>
    </row>
    <row r="94" spans="1:25" ht="60" customHeight="1" x14ac:dyDescent="0.25">
      <c r="A94"/>
      <c r="B94" t="s">
        <v>3367</v>
      </c>
      <c r="C94" t="s">
        <v>3369</v>
      </c>
      <c r="D94" t="s">
        <v>17</v>
      </c>
      <c r="E94" t="s">
        <v>1607</v>
      </c>
      <c r="F94" t="s">
        <v>1608</v>
      </c>
      <c r="G94" t="s">
        <v>1506</v>
      </c>
      <c r="H94" s="30">
        <v>5.2</v>
      </c>
      <c r="I94" s="29">
        <f>H94*(1-IFERROR(VLOOKUP(G94,Rabat!$D$10:$E$41,2,FALSE),0))</f>
        <v>5.2</v>
      </c>
      <c r="J94" t="s">
        <v>1903</v>
      </c>
      <c r="K94" t="s">
        <v>50</v>
      </c>
      <c r="L94" t="s">
        <v>1901</v>
      </c>
      <c r="M94">
        <v>100</v>
      </c>
      <c r="N94">
        <v>3000</v>
      </c>
      <c r="O94" t="s">
        <v>3434</v>
      </c>
      <c r="P94" s="31" t="str">
        <f>HYPERLINK("https://b2b.kobi.pl/pl/product/9609,zarowka-led-gs-8-5w-e27-4000k-led2b?currency=PLN")</f>
        <v>https://b2b.kobi.pl/pl/product/9609,zarowka-led-gs-8-5w-e27-4000k-led2b?currency=PLN</v>
      </c>
      <c r="Q94" s="31" t="str">
        <f>HYPERLINK("https://eprel.ec.europa.eu/qr/1543382")</f>
        <v>https://eprel.ec.europa.eu/qr/1543382</v>
      </c>
      <c r="R94"/>
      <c r="S94" t="s">
        <v>2673</v>
      </c>
      <c r="T94"/>
      <c r="U94">
        <v>0.03</v>
      </c>
      <c r="V94">
        <v>4.5999999999999999E-2</v>
      </c>
      <c r="W94">
        <v>10.5</v>
      </c>
      <c r="X94">
        <v>6</v>
      </c>
      <c r="Y94">
        <v>6</v>
      </c>
    </row>
    <row r="95" spans="1:25" ht="60" customHeight="1" x14ac:dyDescent="0.25">
      <c r="A95"/>
      <c r="B95" t="s">
        <v>3367</v>
      </c>
      <c r="C95" t="s">
        <v>3369</v>
      </c>
      <c r="D95" t="s">
        <v>17</v>
      </c>
      <c r="E95" t="s">
        <v>1609</v>
      </c>
      <c r="F95" t="s">
        <v>1610</v>
      </c>
      <c r="G95" t="s">
        <v>1506</v>
      </c>
      <c r="H95" s="30">
        <v>5.2</v>
      </c>
      <c r="I95" s="29">
        <f>H95*(1-IFERROR(VLOOKUP(G95,Rabat!$D$10:$E$41,2,FALSE),0))</f>
        <v>5.2</v>
      </c>
      <c r="J95" t="s">
        <v>1903</v>
      </c>
      <c r="K95" t="s">
        <v>51</v>
      </c>
      <c r="L95" t="s">
        <v>1901</v>
      </c>
      <c r="M95">
        <v>100</v>
      </c>
      <c r="N95">
        <v>3000</v>
      </c>
      <c r="O95" t="s">
        <v>3434</v>
      </c>
      <c r="P95" s="31" t="str">
        <f>HYPERLINK("https://b2b.kobi.pl/pl/product/9610,zarowka-led-gs-8-5w-e27-6500k-led2b?currency=PLN")</f>
        <v>https://b2b.kobi.pl/pl/product/9610,zarowka-led-gs-8-5w-e27-6500k-led2b?currency=PLN</v>
      </c>
      <c r="Q95" s="31" t="str">
        <f>HYPERLINK("https://eprel.ec.europa.eu/qr/1621200")</f>
        <v>https://eprel.ec.europa.eu/qr/1621200</v>
      </c>
      <c r="R95"/>
      <c r="S95" t="s">
        <v>2673</v>
      </c>
      <c r="T95"/>
      <c r="U95">
        <v>0.03</v>
      </c>
      <c r="V95">
        <v>4.5999999999999999E-2</v>
      </c>
      <c r="W95">
        <v>10.5</v>
      </c>
      <c r="X95">
        <v>6</v>
      </c>
      <c r="Y95">
        <v>6</v>
      </c>
    </row>
    <row r="96" spans="1:25" ht="60" customHeight="1" x14ac:dyDescent="0.25">
      <c r="A96"/>
      <c r="B96" t="s">
        <v>3367</v>
      </c>
      <c r="C96" t="s">
        <v>3369</v>
      </c>
      <c r="D96" t="s">
        <v>17</v>
      </c>
      <c r="E96" t="s">
        <v>1611</v>
      </c>
      <c r="F96" t="s">
        <v>1612</v>
      </c>
      <c r="G96" t="s">
        <v>1506</v>
      </c>
      <c r="H96" s="30">
        <v>7.14</v>
      </c>
      <c r="I96" s="29">
        <f>H96*(1-IFERROR(VLOOKUP(G96,Rabat!$D$10:$E$41,2,FALSE),0))</f>
        <v>7.14</v>
      </c>
      <c r="J96" t="s">
        <v>1903</v>
      </c>
      <c r="K96" t="s">
        <v>571</v>
      </c>
      <c r="L96" t="s">
        <v>1901</v>
      </c>
      <c r="M96">
        <v>100</v>
      </c>
      <c r="N96"/>
      <c r="O96" t="s">
        <v>3434</v>
      </c>
      <c r="P96" s="31" t="str">
        <f>HYPERLINK("https://b2b.kobi.pl/pl/product/9591,zarowka-led-gs-10-5w-e27-3000k-led2b?currency=PLN")</f>
        <v>https://b2b.kobi.pl/pl/product/9591,zarowka-led-gs-10-5w-e27-3000k-led2b?currency=PLN</v>
      </c>
      <c r="Q96" s="31" t="str">
        <f>HYPERLINK("https://eprel.ec.europa.eu/qr/2087443")</f>
        <v>https://eprel.ec.europa.eu/qr/2087443</v>
      </c>
      <c r="R96"/>
      <c r="S96" t="s">
        <v>2673</v>
      </c>
      <c r="T96"/>
      <c r="U96">
        <v>0.02</v>
      </c>
      <c r="V96">
        <v>0.03</v>
      </c>
      <c r="W96">
        <v>6</v>
      </c>
      <c r="X96">
        <v>6</v>
      </c>
      <c r="Y96">
        <v>11.6</v>
      </c>
    </row>
    <row r="97" spans="1:25" ht="60" customHeight="1" x14ac:dyDescent="0.25">
      <c r="A97"/>
      <c r="B97" t="s">
        <v>3367</v>
      </c>
      <c r="C97" t="s">
        <v>3369</v>
      </c>
      <c r="D97" t="s">
        <v>17</v>
      </c>
      <c r="E97" t="s">
        <v>1613</v>
      </c>
      <c r="F97" t="s">
        <v>1614</v>
      </c>
      <c r="G97" t="s">
        <v>1506</v>
      </c>
      <c r="H97" s="30">
        <v>7.14</v>
      </c>
      <c r="I97" s="29">
        <f>H97*(1-IFERROR(VLOOKUP(G97,Rabat!$D$10:$E$41,2,FALSE),0))</f>
        <v>7.14</v>
      </c>
      <c r="J97" t="s">
        <v>1903</v>
      </c>
      <c r="K97" t="s">
        <v>572</v>
      </c>
      <c r="L97" t="s">
        <v>1901</v>
      </c>
      <c r="M97">
        <v>100</v>
      </c>
      <c r="N97"/>
      <c r="O97" t="s">
        <v>3434</v>
      </c>
      <c r="P97" s="31" t="str">
        <f>HYPERLINK("https://b2b.kobi.pl/pl/product/9592,zarowka-led-gs-10-5w-e27-4000k-led2b?currency=PLN")</f>
        <v>https://b2b.kobi.pl/pl/product/9592,zarowka-led-gs-10-5w-e27-4000k-led2b?currency=PLN</v>
      </c>
      <c r="Q97" s="31" t="str">
        <f>HYPERLINK("https://eprel.ec.europa.eu/qr/2087413")</f>
        <v>https://eprel.ec.europa.eu/qr/2087413</v>
      </c>
      <c r="R97"/>
      <c r="S97" t="s">
        <v>2673</v>
      </c>
      <c r="T97"/>
      <c r="U97">
        <v>0.02</v>
      </c>
      <c r="V97">
        <v>0.03</v>
      </c>
      <c r="W97">
        <v>6</v>
      </c>
      <c r="X97">
        <v>6</v>
      </c>
      <c r="Y97">
        <v>11.6</v>
      </c>
    </row>
    <row r="98" spans="1:25" ht="60" customHeight="1" x14ac:dyDescent="0.25">
      <c r="A98"/>
      <c r="B98" t="s">
        <v>3367</v>
      </c>
      <c r="C98" t="s">
        <v>3369</v>
      </c>
      <c r="D98" t="s">
        <v>17</v>
      </c>
      <c r="E98" t="s">
        <v>1615</v>
      </c>
      <c r="F98" t="s">
        <v>1616</v>
      </c>
      <c r="G98" t="s">
        <v>1506</v>
      </c>
      <c r="H98" s="30">
        <v>7.14</v>
      </c>
      <c r="I98" s="29">
        <f>H98*(1-IFERROR(VLOOKUP(G98,Rabat!$D$10:$E$41,2,FALSE),0))</f>
        <v>7.14</v>
      </c>
      <c r="J98" t="s">
        <v>1903</v>
      </c>
      <c r="K98" t="s">
        <v>490</v>
      </c>
      <c r="L98" t="s">
        <v>1901</v>
      </c>
      <c r="M98">
        <v>100</v>
      </c>
      <c r="N98">
        <v>2500</v>
      </c>
      <c r="O98" t="s">
        <v>3434</v>
      </c>
      <c r="P98" s="31" t="str">
        <f>HYPERLINK("https://b2b.kobi.pl/pl/product/9593,zarowka-led-gs-10-5w-e27-6500k-led2b?currency=PLN")</f>
        <v>https://b2b.kobi.pl/pl/product/9593,zarowka-led-gs-10-5w-e27-6500k-led2b?currency=PLN</v>
      </c>
      <c r="Q98" s="31" t="str">
        <f>HYPERLINK("https://eprel.ec.europa.eu/qr/2044294")</f>
        <v>https://eprel.ec.europa.eu/qr/2044294</v>
      </c>
      <c r="R98"/>
      <c r="S98" t="s">
        <v>2673</v>
      </c>
      <c r="T98"/>
      <c r="U98">
        <v>0.02</v>
      </c>
      <c r="V98">
        <v>0.03</v>
      </c>
      <c r="W98">
        <v>6</v>
      </c>
      <c r="X98">
        <v>6</v>
      </c>
      <c r="Y98">
        <v>11.6</v>
      </c>
    </row>
    <row r="99" spans="1:25" ht="60" customHeight="1" x14ac:dyDescent="0.25">
      <c r="A99"/>
      <c r="B99" t="s">
        <v>3367</v>
      </c>
      <c r="C99" t="s">
        <v>3369</v>
      </c>
      <c r="D99" t="s">
        <v>17</v>
      </c>
      <c r="E99" t="s">
        <v>1623</v>
      </c>
      <c r="F99" t="s">
        <v>1624</v>
      </c>
      <c r="G99" t="s">
        <v>1506</v>
      </c>
      <c r="H99" s="30">
        <v>4.6399999999999997</v>
      </c>
      <c r="I99" s="29">
        <f>H99*(1-IFERROR(VLOOKUP(G99,Rabat!$D$10:$E$41,2,FALSE),0))</f>
        <v>4.6399999999999997</v>
      </c>
      <c r="J99" t="s">
        <v>1902</v>
      </c>
      <c r="K99" t="s">
        <v>58</v>
      </c>
      <c r="L99" t="s">
        <v>1901</v>
      </c>
      <c r="M99">
        <v>100</v>
      </c>
      <c r="N99">
        <v>2500</v>
      </c>
      <c r="O99" t="s">
        <v>3434</v>
      </c>
      <c r="P99" s="31" t="str">
        <f>HYPERLINK("https://b2b.kobi.pl/pl/product/9599,zarowka-led-gs-11w-e27-3000k-led2b?currency=PLN")</f>
        <v>https://b2b.kobi.pl/pl/product/9599,zarowka-led-gs-11w-e27-3000k-led2b?currency=PLN</v>
      </c>
      <c r="Q99" s="31" t="str">
        <f>HYPERLINK("https://eprel.ec.europa.eu/qr/758824")</f>
        <v>https://eprel.ec.europa.eu/qr/758824</v>
      </c>
      <c r="R99" t="s">
        <v>2035</v>
      </c>
      <c r="S99" t="s">
        <v>2673</v>
      </c>
      <c r="T99"/>
      <c r="U99">
        <v>3.6999999999999998E-2</v>
      </c>
      <c r="V99">
        <v>4.8000000000000001E-2</v>
      </c>
      <c r="W99">
        <v>13</v>
      </c>
      <c r="X99">
        <v>6</v>
      </c>
      <c r="Y99">
        <v>6</v>
      </c>
    </row>
    <row r="100" spans="1:25" ht="60" customHeight="1" x14ac:dyDescent="0.25">
      <c r="A100"/>
      <c r="B100" t="s">
        <v>3367</v>
      </c>
      <c r="C100" t="s">
        <v>3369</v>
      </c>
      <c r="D100" t="s">
        <v>631</v>
      </c>
      <c r="E100" t="s">
        <v>1823</v>
      </c>
      <c r="F100" t="s">
        <v>1824</v>
      </c>
      <c r="G100" t="s">
        <v>1506</v>
      </c>
      <c r="H100" s="30">
        <v>31.43</v>
      </c>
      <c r="I100" s="29">
        <f>H100*(1-IFERROR(VLOOKUP(G100,Rabat!$D$10:$E$41,2,FALSE),0))</f>
        <v>31.43</v>
      </c>
      <c r="J100" t="s">
        <v>1903</v>
      </c>
      <c r="K100" t="s">
        <v>54</v>
      </c>
      <c r="L100" t="s">
        <v>1901</v>
      </c>
      <c r="M100">
        <v>100</v>
      </c>
      <c r="N100">
        <v>2500</v>
      </c>
      <c r="O100" t="s">
        <v>3435</v>
      </c>
      <c r="P100" s="31" t="str">
        <f>HYPERLINK("https://b2b.kobi.pl/pl/product/9535,zarowka-z-czujnikiem-ruchu-led-gs-9w-e27-6500k-lx-kobi-premium?currency=PLN")</f>
        <v>https://b2b.kobi.pl/pl/product/9535,zarowka-z-czujnikiem-ruchu-led-gs-9w-e27-6500k-lx-kobi-premium?currency=PLN</v>
      </c>
      <c r="Q100" s="31" t="str">
        <f>HYPERLINK("https://eprel.ec.europa.eu/qr/763786")</f>
        <v>https://eprel.ec.europa.eu/qr/763786</v>
      </c>
      <c r="R100"/>
      <c r="S100" t="s">
        <v>2673</v>
      </c>
      <c r="T100"/>
      <c r="U100">
        <v>3.9E-2</v>
      </c>
      <c r="V100">
        <v>0.06</v>
      </c>
      <c r="W100">
        <v>11</v>
      </c>
      <c r="X100">
        <v>6</v>
      </c>
      <c r="Y100">
        <v>6</v>
      </c>
    </row>
    <row r="101" spans="1:25" ht="60" customHeight="1" x14ac:dyDescent="0.25">
      <c r="A101"/>
      <c r="B101" t="s">
        <v>3367</v>
      </c>
      <c r="C101" t="s">
        <v>3369</v>
      </c>
      <c r="D101" t="s">
        <v>631</v>
      </c>
      <c r="E101" t="s">
        <v>1819</v>
      </c>
      <c r="F101" t="s">
        <v>1820</v>
      </c>
      <c r="G101" t="s">
        <v>1506</v>
      </c>
      <c r="H101" s="30">
        <v>31.43</v>
      </c>
      <c r="I101" s="29">
        <f>H101*(1-IFERROR(VLOOKUP(G101,Rabat!$D$10:$E$41,2,FALSE),0))</f>
        <v>31.43</v>
      </c>
      <c r="J101" t="s">
        <v>1903</v>
      </c>
      <c r="K101" t="s">
        <v>52</v>
      </c>
      <c r="L101" t="s">
        <v>1901</v>
      </c>
      <c r="M101">
        <v>100</v>
      </c>
      <c r="N101">
        <v>2500</v>
      </c>
      <c r="O101" t="s">
        <v>3435</v>
      </c>
      <c r="P101" s="31" t="str">
        <f>HYPERLINK("https://b2b.kobi.pl/pl/product/9532,zarowka-z-czujnikiem-ruchu-led-gs-9w-e27-3000k-lx-kobi-premium?currency=PLN")</f>
        <v>https://b2b.kobi.pl/pl/product/9532,zarowka-z-czujnikiem-ruchu-led-gs-9w-e27-3000k-lx-kobi-premium?currency=PLN</v>
      </c>
      <c r="Q101" s="31" t="str">
        <f>HYPERLINK("https://eprel.ec.europa.eu/qr/659853")</f>
        <v>https://eprel.ec.europa.eu/qr/659853</v>
      </c>
      <c r="R101"/>
      <c r="S101" t="s">
        <v>2673</v>
      </c>
      <c r="T101"/>
      <c r="U101">
        <v>3.9E-2</v>
      </c>
      <c r="V101">
        <v>0.06</v>
      </c>
      <c r="W101">
        <v>11</v>
      </c>
      <c r="X101">
        <v>6</v>
      </c>
      <c r="Y101">
        <v>6</v>
      </c>
    </row>
    <row r="102" spans="1:25" ht="60" customHeight="1" x14ac:dyDescent="0.25">
      <c r="A102"/>
      <c r="B102" t="s">
        <v>3367</v>
      </c>
      <c r="C102" t="s">
        <v>3369</v>
      </c>
      <c r="D102" t="s">
        <v>631</v>
      </c>
      <c r="E102" t="s">
        <v>1821</v>
      </c>
      <c r="F102" t="s">
        <v>1822</v>
      </c>
      <c r="G102" t="s">
        <v>1506</v>
      </c>
      <c r="H102" s="30">
        <v>31.43</v>
      </c>
      <c r="I102" s="29">
        <f>H102*(1-IFERROR(VLOOKUP(G102,Rabat!$D$10:$E$41,2,FALSE),0))</f>
        <v>31.43</v>
      </c>
      <c r="J102" t="s">
        <v>1903</v>
      </c>
      <c r="K102" t="s">
        <v>53</v>
      </c>
      <c r="L102" t="s">
        <v>1901</v>
      </c>
      <c r="M102">
        <v>100</v>
      </c>
      <c r="N102">
        <v>2500</v>
      </c>
      <c r="O102" t="s">
        <v>3435</v>
      </c>
      <c r="P102" s="31" t="str">
        <f>HYPERLINK("https://b2b.kobi.pl/pl/product/9534,zarowka-z-czujnikiem-ruchu-led-gs-9w-e27-4000k-lx-kobi-premium?currency=PLN")</f>
        <v>https://b2b.kobi.pl/pl/product/9534,zarowka-z-czujnikiem-ruchu-led-gs-9w-e27-4000k-lx-kobi-premium?currency=PLN</v>
      </c>
      <c r="Q102" s="31" t="str">
        <f>HYPERLINK("https://eprel.ec.europa.eu/qr/763782")</f>
        <v>https://eprel.ec.europa.eu/qr/763782</v>
      </c>
      <c r="R102"/>
      <c r="S102" t="s">
        <v>2673</v>
      </c>
      <c r="T102"/>
      <c r="U102">
        <v>3.9E-2</v>
      </c>
      <c r="V102">
        <v>0.06</v>
      </c>
      <c r="W102">
        <v>11</v>
      </c>
      <c r="X102">
        <v>6</v>
      </c>
      <c r="Y102">
        <v>6</v>
      </c>
    </row>
    <row r="103" spans="1:25" ht="60" customHeight="1" x14ac:dyDescent="0.25">
      <c r="A103"/>
      <c r="B103" t="s">
        <v>3367</v>
      </c>
      <c r="C103" t="s">
        <v>3369</v>
      </c>
      <c r="D103" t="s">
        <v>643</v>
      </c>
      <c r="E103" t="s">
        <v>1697</v>
      </c>
      <c r="F103" t="s">
        <v>1698</v>
      </c>
      <c r="G103" t="s">
        <v>1506</v>
      </c>
      <c r="H103" s="30">
        <v>7.93</v>
      </c>
      <c r="I103" s="29">
        <f>H103*(1-IFERROR(VLOOKUP(G103,Rabat!$D$10:$E$41,2,FALSE),0))</f>
        <v>7.93</v>
      </c>
      <c r="J103" t="s">
        <v>1903</v>
      </c>
      <c r="K103" t="s">
        <v>93</v>
      </c>
      <c r="L103" t="s">
        <v>1901</v>
      </c>
      <c r="M103">
        <v>100</v>
      </c>
      <c r="N103">
        <v>4800</v>
      </c>
      <c r="O103" t="s">
        <v>3434</v>
      </c>
      <c r="P103" s="31" t="str">
        <f>HYPERLINK("https://b2b.kobi.pl/pl/product/9662,zarowka-led-mb-4-5w-e14-3000k-kobi?currency=PLN")</f>
        <v>https://b2b.kobi.pl/pl/product/9662,zarowka-led-mb-4-5w-e14-3000k-kobi?currency=PLN</v>
      </c>
      <c r="Q103" s="31" t="str">
        <f>HYPERLINK("https://eprel.ec.europa.eu/qr/660644")</f>
        <v>https://eprel.ec.europa.eu/qr/660644</v>
      </c>
      <c r="R103"/>
      <c r="S103" t="s">
        <v>2673</v>
      </c>
      <c r="T103"/>
      <c r="U103">
        <v>1.7000000000000001E-2</v>
      </c>
      <c r="V103">
        <v>1.9900000000000001E-2</v>
      </c>
      <c r="W103">
        <v>4.5999999999999996</v>
      </c>
      <c r="X103">
        <v>4.5999999999999996</v>
      </c>
      <c r="Y103">
        <v>8.1999999999999993</v>
      </c>
    </row>
    <row r="104" spans="1:25" ht="60" customHeight="1" x14ac:dyDescent="0.25">
      <c r="A104"/>
      <c r="B104" t="s">
        <v>3367</v>
      </c>
      <c r="C104" t="s">
        <v>3369</v>
      </c>
      <c r="D104" t="s">
        <v>643</v>
      </c>
      <c r="E104" t="s">
        <v>1699</v>
      </c>
      <c r="F104" t="s">
        <v>1700</v>
      </c>
      <c r="G104" t="s">
        <v>1506</v>
      </c>
      <c r="H104" s="30">
        <v>7.93</v>
      </c>
      <c r="I104" s="29">
        <f>H104*(1-IFERROR(VLOOKUP(G104,Rabat!$D$10:$E$41,2,FALSE),0))</f>
        <v>7.93</v>
      </c>
      <c r="J104" t="s">
        <v>1903</v>
      </c>
      <c r="K104" t="s">
        <v>94</v>
      </c>
      <c r="L104" t="s">
        <v>1901</v>
      </c>
      <c r="M104">
        <v>100</v>
      </c>
      <c r="N104">
        <v>4800</v>
      </c>
      <c r="O104" t="s">
        <v>3434</v>
      </c>
      <c r="P104" s="31" t="str">
        <f>HYPERLINK("https://b2b.kobi.pl/pl/product/9663,zarowka-led-mb-4-5w-e14-4000k-kobi?currency=PLN")</f>
        <v>https://b2b.kobi.pl/pl/product/9663,zarowka-led-mb-4-5w-e14-4000k-kobi?currency=PLN</v>
      </c>
      <c r="Q104" s="31" t="str">
        <f>HYPERLINK("https://eprel.ec.europa.eu/qr/660645")</f>
        <v>https://eprel.ec.europa.eu/qr/660645</v>
      </c>
      <c r="R104"/>
      <c r="S104" t="s">
        <v>2673</v>
      </c>
      <c r="T104"/>
      <c r="U104">
        <v>1.7000000000000001E-2</v>
      </c>
      <c r="V104">
        <v>1.9900000000000001E-2</v>
      </c>
      <c r="W104">
        <v>4.5999999999999996</v>
      </c>
      <c r="X104">
        <v>4.5999999999999996</v>
      </c>
      <c r="Y104">
        <v>8.1999999999999993</v>
      </c>
    </row>
    <row r="105" spans="1:25" ht="60" customHeight="1" x14ac:dyDescent="0.25">
      <c r="A105"/>
      <c r="B105" t="s">
        <v>3367</v>
      </c>
      <c r="C105" t="s">
        <v>3369</v>
      </c>
      <c r="D105" t="s">
        <v>643</v>
      </c>
      <c r="E105" t="s">
        <v>1701</v>
      </c>
      <c r="F105" t="s">
        <v>1702</v>
      </c>
      <c r="G105" t="s">
        <v>1506</v>
      </c>
      <c r="H105" s="30">
        <v>7.93</v>
      </c>
      <c r="I105" s="29">
        <f>H105*(1-IFERROR(VLOOKUP(G105,Rabat!$D$10:$E$41,2,FALSE),0))</f>
        <v>7.93</v>
      </c>
      <c r="J105" t="s">
        <v>1903</v>
      </c>
      <c r="K105" t="s">
        <v>95</v>
      </c>
      <c r="L105" t="s">
        <v>1901</v>
      </c>
      <c r="M105">
        <v>100</v>
      </c>
      <c r="N105">
        <v>4800</v>
      </c>
      <c r="O105" t="s">
        <v>3434</v>
      </c>
      <c r="P105" s="31" t="str">
        <f>HYPERLINK("https://b2b.kobi.pl/pl/product/9664,zarowka-led-mb-4-5w-e14-6000k-kobi?currency=PLN")</f>
        <v>https://b2b.kobi.pl/pl/product/9664,zarowka-led-mb-4-5w-e14-6000k-kobi?currency=PLN</v>
      </c>
      <c r="Q105" s="31" t="str">
        <f>HYPERLINK("https://eprel.ec.europa.eu/qr/660647")</f>
        <v>https://eprel.ec.europa.eu/qr/660647</v>
      </c>
      <c r="R105"/>
      <c r="S105" t="s">
        <v>2673</v>
      </c>
      <c r="T105"/>
      <c r="U105">
        <v>1.7000000000000001E-2</v>
      </c>
      <c r="V105">
        <v>1.9900000000000001E-2</v>
      </c>
      <c r="W105">
        <v>4.5999999999999996</v>
      </c>
      <c r="X105">
        <v>4.5999999999999996</v>
      </c>
      <c r="Y105">
        <v>8.1999999999999993</v>
      </c>
    </row>
    <row r="106" spans="1:25" ht="60" customHeight="1" x14ac:dyDescent="0.25">
      <c r="A106"/>
      <c r="B106" t="s">
        <v>3367</v>
      </c>
      <c r="C106" t="s">
        <v>3369</v>
      </c>
      <c r="D106" t="s">
        <v>643</v>
      </c>
      <c r="E106" t="s">
        <v>1703</v>
      </c>
      <c r="F106" t="s">
        <v>1704</v>
      </c>
      <c r="G106" t="s">
        <v>1506</v>
      </c>
      <c r="H106" s="30">
        <v>7.93</v>
      </c>
      <c r="I106" s="29">
        <f>H106*(1-IFERROR(VLOOKUP(G106,Rabat!$D$10:$E$41,2,FALSE),0))</f>
        <v>7.93</v>
      </c>
      <c r="J106" t="s">
        <v>1903</v>
      </c>
      <c r="K106" t="s">
        <v>103</v>
      </c>
      <c r="L106" t="s">
        <v>1901</v>
      </c>
      <c r="M106">
        <v>100</v>
      </c>
      <c r="N106">
        <v>4800</v>
      </c>
      <c r="O106" t="s">
        <v>3434</v>
      </c>
      <c r="P106" s="31" t="str">
        <f>HYPERLINK("https://b2b.kobi.pl/pl/product/9671,zarowka-led-mb-4-5w-e27-3000k-kobi?currency=PLN")</f>
        <v>https://b2b.kobi.pl/pl/product/9671,zarowka-led-mb-4-5w-e27-3000k-kobi?currency=PLN</v>
      </c>
      <c r="Q106" s="31" t="str">
        <f>HYPERLINK("https://eprel.ec.europa.eu/qr/660665")</f>
        <v>https://eprel.ec.europa.eu/qr/660665</v>
      </c>
      <c r="R106"/>
      <c r="S106" t="s">
        <v>2673</v>
      </c>
      <c r="T106"/>
      <c r="U106">
        <v>1.7999999999999999E-2</v>
      </c>
      <c r="V106">
        <v>2.7E-2</v>
      </c>
      <c r="W106">
        <v>4.8</v>
      </c>
      <c r="X106">
        <v>4.9000000000000004</v>
      </c>
      <c r="Y106">
        <v>8.6999999999999993</v>
      </c>
    </row>
    <row r="107" spans="1:25" ht="60" customHeight="1" x14ac:dyDescent="0.25">
      <c r="A107"/>
      <c r="B107" t="s">
        <v>3367</v>
      </c>
      <c r="C107" t="s">
        <v>3369</v>
      </c>
      <c r="D107" t="s">
        <v>643</v>
      </c>
      <c r="E107" t="s">
        <v>1705</v>
      </c>
      <c r="F107" t="s">
        <v>1706</v>
      </c>
      <c r="G107" t="s">
        <v>1506</v>
      </c>
      <c r="H107" s="30">
        <v>7.93</v>
      </c>
      <c r="I107" s="29">
        <f>H107*(1-IFERROR(VLOOKUP(G107,Rabat!$D$10:$E$41,2,FALSE),0))</f>
        <v>7.93</v>
      </c>
      <c r="J107" t="s">
        <v>1903</v>
      </c>
      <c r="K107" t="s">
        <v>104</v>
      </c>
      <c r="L107" t="s">
        <v>1901</v>
      </c>
      <c r="M107">
        <v>100</v>
      </c>
      <c r="N107">
        <v>4800</v>
      </c>
      <c r="O107" t="s">
        <v>3434</v>
      </c>
      <c r="P107" s="31" t="str">
        <f>HYPERLINK("https://b2b.kobi.pl/pl/product/9672,zarowka-led-mb-4-5w-e27-4000k-kobi?currency=PLN")</f>
        <v>https://b2b.kobi.pl/pl/product/9672,zarowka-led-mb-4-5w-e27-4000k-kobi?currency=PLN</v>
      </c>
      <c r="Q107" s="31" t="str">
        <f>HYPERLINK("https://eprel.ec.europa.eu/qr/660667")</f>
        <v>https://eprel.ec.europa.eu/qr/660667</v>
      </c>
      <c r="R107"/>
      <c r="S107" t="s">
        <v>2673</v>
      </c>
      <c r="T107"/>
      <c r="U107">
        <v>1.7999999999999999E-2</v>
      </c>
      <c r="V107">
        <v>2.7E-2</v>
      </c>
      <c r="W107">
        <v>4.5</v>
      </c>
      <c r="X107">
        <v>6.5</v>
      </c>
      <c r="Y107">
        <v>8.5</v>
      </c>
    </row>
    <row r="108" spans="1:25" ht="60" customHeight="1" x14ac:dyDescent="0.25">
      <c r="A108"/>
      <c r="B108" t="s">
        <v>3367</v>
      </c>
      <c r="C108" t="s">
        <v>3369</v>
      </c>
      <c r="D108" t="s">
        <v>643</v>
      </c>
      <c r="E108" t="s">
        <v>1707</v>
      </c>
      <c r="F108" t="s">
        <v>1708</v>
      </c>
      <c r="G108" t="s">
        <v>1506</v>
      </c>
      <c r="H108" s="30">
        <v>7.93</v>
      </c>
      <c r="I108" s="29">
        <f>H108*(1-IFERROR(VLOOKUP(G108,Rabat!$D$10:$E$41,2,FALSE),0))</f>
        <v>7.93</v>
      </c>
      <c r="J108" t="s">
        <v>1903</v>
      </c>
      <c r="K108" t="s">
        <v>105</v>
      </c>
      <c r="L108" t="s">
        <v>1901</v>
      </c>
      <c r="M108">
        <v>100</v>
      </c>
      <c r="N108">
        <v>4800</v>
      </c>
      <c r="O108" t="s">
        <v>3434</v>
      </c>
      <c r="P108" s="31" t="str">
        <f>HYPERLINK("https://b2b.kobi.pl/pl/product/9673,zarowka-led-mb-4-5w-e27-6000k-kobi?currency=PLN")</f>
        <v>https://b2b.kobi.pl/pl/product/9673,zarowka-led-mb-4-5w-e27-6000k-kobi?currency=PLN</v>
      </c>
      <c r="Q108" s="31" t="str">
        <f>HYPERLINK("https://eprel.ec.europa.eu/qr/660668")</f>
        <v>https://eprel.ec.europa.eu/qr/660668</v>
      </c>
      <c r="R108"/>
      <c r="S108" t="s">
        <v>2673</v>
      </c>
      <c r="T108"/>
      <c r="U108">
        <v>1.7999999999999999E-2</v>
      </c>
      <c r="V108">
        <v>2.7E-2</v>
      </c>
      <c r="W108">
        <v>4.8</v>
      </c>
      <c r="X108">
        <v>4.9000000000000004</v>
      </c>
      <c r="Y108">
        <v>8.6999999999999993</v>
      </c>
    </row>
    <row r="109" spans="1:25" ht="60" customHeight="1" x14ac:dyDescent="0.25">
      <c r="A109"/>
      <c r="B109" t="s">
        <v>3367</v>
      </c>
      <c r="C109" t="s">
        <v>3369</v>
      </c>
      <c r="D109" t="s">
        <v>643</v>
      </c>
      <c r="E109" t="s">
        <v>1709</v>
      </c>
      <c r="F109" t="s">
        <v>1710</v>
      </c>
      <c r="G109" t="s">
        <v>1506</v>
      </c>
      <c r="H109" s="30">
        <v>8.8800000000000008</v>
      </c>
      <c r="I109" s="29">
        <f>H109*(1-IFERROR(VLOOKUP(G109,Rabat!$D$10:$E$41,2,FALSE),0))</f>
        <v>8.8800000000000008</v>
      </c>
      <c r="J109" t="s">
        <v>1905</v>
      </c>
      <c r="K109" t="s">
        <v>96</v>
      </c>
      <c r="L109" t="s">
        <v>1901</v>
      </c>
      <c r="M109">
        <v>100</v>
      </c>
      <c r="N109">
        <v>4800</v>
      </c>
      <c r="O109" t="s">
        <v>3434</v>
      </c>
      <c r="P109" s="31" t="str">
        <f>HYPERLINK("https://b2b.kobi.pl/pl/product/9665,zarowka-led-mb-6w-e14-3000k-kobi?currency=PLN")</f>
        <v>https://b2b.kobi.pl/pl/product/9665,zarowka-led-mb-6w-e14-3000k-kobi?currency=PLN</v>
      </c>
      <c r="Q109" s="31" t="str">
        <f>HYPERLINK("https://eprel.ec.europa.eu/qr/660651")</f>
        <v>https://eprel.ec.europa.eu/qr/660651</v>
      </c>
      <c r="R109"/>
      <c r="S109" t="s">
        <v>2673</v>
      </c>
      <c r="T109"/>
      <c r="U109">
        <v>1.4999999999999999E-2</v>
      </c>
      <c r="V109">
        <v>2.0299999999999999E-2</v>
      </c>
      <c r="W109">
        <v>4.5999999999999996</v>
      </c>
      <c r="X109">
        <v>4.5999999999999996</v>
      </c>
      <c r="Y109">
        <v>8.1999999999999993</v>
      </c>
    </row>
    <row r="110" spans="1:25" ht="60" customHeight="1" x14ac:dyDescent="0.25">
      <c r="A110"/>
      <c r="B110" t="s">
        <v>3367</v>
      </c>
      <c r="C110" t="s">
        <v>3369</v>
      </c>
      <c r="D110" t="s">
        <v>643</v>
      </c>
      <c r="E110" t="s">
        <v>1711</v>
      </c>
      <c r="F110" t="s">
        <v>1712</v>
      </c>
      <c r="G110" t="s">
        <v>1506</v>
      </c>
      <c r="H110" s="30">
        <v>8.8800000000000008</v>
      </c>
      <c r="I110" s="29">
        <f>H110*(1-IFERROR(VLOOKUP(G110,Rabat!$D$10:$E$41,2,FALSE),0))</f>
        <v>8.8800000000000008</v>
      </c>
      <c r="J110" t="s">
        <v>1905</v>
      </c>
      <c r="K110" t="s">
        <v>97</v>
      </c>
      <c r="L110" t="s">
        <v>1901</v>
      </c>
      <c r="M110">
        <v>100</v>
      </c>
      <c r="N110">
        <v>4800</v>
      </c>
      <c r="O110" t="s">
        <v>3434</v>
      </c>
      <c r="P110" s="31" t="str">
        <f>HYPERLINK("https://b2b.kobi.pl/pl/product/9666,zarowka-led-mb-6w-e14-4000k-kobi?currency=PLN")</f>
        <v>https://b2b.kobi.pl/pl/product/9666,zarowka-led-mb-6w-e14-4000k-kobi?currency=PLN</v>
      </c>
      <c r="Q110" s="31" t="str">
        <f>HYPERLINK("https://eprel.ec.europa.eu/qr/660653")</f>
        <v>https://eprel.ec.europa.eu/qr/660653</v>
      </c>
      <c r="R110"/>
      <c r="S110" t="s">
        <v>2673</v>
      </c>
      <c r="T110"/>
      <c r="U110">
        <v>1.4999999999999999E-2</v>
      </c>
      <c r="V110">
        <v>2.0299999999999999E-2</v>
      </c>
      <c r="W110">
        <v>4.5999999999999996</v>
      </c>
      <c r="X110">
        <v>4.5999999999999996</v>
      </c>
      <c r="Y110">
        <v>8.1999999999999993</v>
      </c>
    </row>
    <row r="111" spans="1:25" ht="60" customHeight="1" x14ac:dyDescent="0.25">
      <c r="A111"/>
      <c r="B111" t="s">
        <v>3367</v>
      </c>
      <c r="C111" t="s">
        <v>3369</v>
      </c>
      <c r="D111" t="s">
        <v>643</v>
      </c>
      <c r="E111" t="s">
        <v>1713</v>
      </c>
      <c r="F111" t="s">
        <v>1714</v>
      </c>
      <c r="G111" t="s">
        <v>1506</v>
      </c>
      <c r="H111" s="30">
        <v>8.8800000000000008</v>
      </c>
      <c r="I111" s="29">
        <f>H111*(1-IFERROR(VLOOKUP(G111,Rabat!$D$10:$E$41,2,FALSE),0))</f>
        <v>8.8800000000000008</v>
      </c>
      <c r="J111" t="s">
        <v>1905</v>
      </c>
      <c r="K111" t="s">
        <v>98</v>
      </c>
      <c r="L111" t="s">
        <v>1901</v>
      </c>
      <c r="M111">
        <v>100</v>
      </c>
      <c r="N111">
        <v>7200</v>
      </c>
      <c r="O111" t="s">
        <v>3434</v>
      </c>
      <c r="P111" s="31" t="str">
        <f>HYPERLINK("https://b2b.kobi.pl/pl/product/9667,zarowka-led-mb-6w-e14-6000k-kobi?currency=PLN")</f>
        <v>https://b2b.kobi.pl/pl/product/9667,zarowka-led-mb-6w-e14-6000k-kobi?currency=PLN</v>
      </c>
      <c r="Q111" s="31" t="str">
        <f>HYPERLINK("https://eprel.ec.europa.eu/qr/660654")</f>
        <v>https://eprel.ec.europa.eu/qr/660654</v>
      </c>
      <c r="R111"/>
      <c r="S111" t="s">
        <v>2673</v>
      </c>
      <c r="T111"/>
      <c r="U111">
        <v>1.4999999999999999E-2</v>
      </c>
      <c r="V111">
        <v>2.0299999999999999E-2</v>
      </c>
      <c r="W111">
        <v>4.5999999999999996</v>
      </c>
      <c r="X111">
        <v>4.5999999999999996</v>
      </c>
      <c r="Y111">
        <v>8.1999999999999993</v>
      </c>
    </row>
    <row r="112" spans="1:25" ht="60" customHeight="1" x14ac:dyDescent="0.25">
      <c r="A112"/>
      <c r="B112" t="s">
        <v>3367</v>
      </c>
      <c r="C112" t="s">
        <v>3369</v>
      </c>
      <c r="D112" t="s">
        <v>643</v>
      </c>
      <c r="E112" t="s">
        <v>1715</v>
      </c>
      <c r="F112" t="s">
        <v>1716</v>
      </c>
      <c r="G112" t="s">
        <v>1506</v>
      </c>
      <c r="H112" s="30">
        <v>8.8800000000000008</v>
      </c>
      <c r="I112" s="29">
        <f>H112*(1-IFERROR(VLOOKUP(G112,Rabat!$D$10:$E$41,2,FALSE),0))</f>
        <v>8.8800000000000008</v>
      </c>
      <c r="J112" t="s">
        <v>1905</v>
      </c>
      <c r="K112" t="s">
        <v>106</v>
      </c>
      <c r="L112" t="s">
        <v>1901</v>
      </c>
      <c r="M112">
        <v>100</v>
      </c>
      <c r="N112">
        <v>4800</v>
      </c>
      <c r="O112" t="s">
        <v>3434</v>
      </c>
      <c r="P112" s="31" t="str">
        <f>HYPERLINK("https://b2b.kobi.pl/pl/product/9674,zarowka-led-mb-6w-e27-3000k-kobi?currency=PLN")</f>
        <v>https://b2b.kobi.pl/pl/product/9674,zarowka-led-mb-6w-e27-3000k-kobi?currency=PLN</v>
      </c>
      <c r="Q112" s="31" t="str">
        <f>HYPERLINK("https://eprel.ec.europa.eu/qr/660670")</f>
        <v>https://eprel.ec.europa.eu/qr/660670</v>
      </c>
      <c r="R112"/>
      <c r="S112" t="s">
        <v>2673</v>
      </c>
      <c r="T112"/>
      <c r="U112">
        <v>2.1000000000000001E-2</v>
      </c>
      <c r="V112">
        <v>2.8000000000000001E-2</v>
      </c>
      <c r="W112">
        <v>4.5999999999999996</v>
      </c>
      <c r="X112">
        <v>7.6</v>
      </c>
      <c r="Y112">
        <v>8.5</v>
      </c>
    </row>
    <row r="113" spans="1:25" ht="60" customHeight="1" x14ac:dyDescent="0.25">
      <c r="A113"/>
      <c r="B113" t="s">
        <v>3367</v>
      </c>
      <c r="C113" t="s">
        <v>3369</v>
      </c>
      <c r="D113" t="s">
        <v>643</v>
      </c>
      <c r="E113" t="s">
        <v>1717</v>
      </c>
      <c r="F113" t="s">
        <v>1718</v>
      </c>
      <c r="G113" t="s">
        <v>1506</v>
      </c>
      <c r="H113" s="30">
        <v>8.8800000000000008</v>
      </c>
      <c r="I113" s="29">
        <f>H113*(1-IFERROR(VLOOKUP(G113,Rabat!$D$10:$E$41,2,FALSE),0))</f>
        <v>8.8800000000000008</v>
      </c>
      <c r="J113" t="s">
        <v>1905</v>
      </c>
      <c r="K113" t="s">
        <v>107</v>
      </c>
      <c r="L113" t="s">
        <v>1901</v>
      </c>
      <c r="M113">
        <v>100</v>
      </c>
      <c r="N113">
        <v>4800</v>
      </c>
      <c r="O113" t="s">
        <v>3434</v>
      </c>
      <c r="P113" s="31" t="str">
        <f>HYPERLINK("https://b2b.kobi.pl/pl/product/9675,zarowka-led-mb-6w-e27-4000k-kobi?currency=PLN")</f>
        <v>https://b2b.kobi.pl/pl/product/9675,zarowka-led-mb-6w-e27-4000k-kobi?currency=PLN</v>
      </c>
      <c r="Q113" s="31" t="str">
        <f>HYPERLINK("https://eprel.ec.europa.eu/qr/660671")</f>
        <v>https://eprel.ec.europa.eu/qr/660671</v>
      </c>
      <c r="R113"/>
      <c r="S113" t="s">
        <v>2673</v>
      </c>
      <c r="T113"/>
      <c r="U113">
        <v>2.1000000000000001E-2</v>
      </c>
      <c r="V113">
        <v>2.8000000000000001E-2</v>
      </c>
      <c r="W113">
        <v>4.5</v>
      </c>
      <c r="X113">
        <v>4.7</v>
      </c>
      <c r="Y113">
        <v>8.6</v>
      </c>
    </row>
    <row r="114" spans="1:25" ht="60" customHeight="1" x14ac:dyDescent="0.25">
      <c r="A114"/>
      <c r="B114" t="s">
        <v>3367</v>
      </c>
      <c r="C114" t="s">
        <v>3369</v>
      </c>
      <c r="D114" t="s">
        <v>643</v>
      </c>
      <c r="E114" t="s">
        <v>1719</v>
      </c>
      <c r="F114" t="s">
        <v>1720</v>
      </c>
      <c r="G114" t="s">
        <v>1506</v>
      </c>
      <c r="H114" s="30">
        <v>8.8800000000000008</v>
      </c>
      <c r="I114" s="29">
        <f>H114*(1-IFERROR(VLOOKUP(G114,Rabat!$D$10:$E$41,2,FALSE),0))</f>
        <v>8.8800000000000008</v>
      </c>
      <c r="J114" t="s">
        <v>1905</v>
      </c>
      <c r="K114" t="s">
        <v>108</v>
      </c>
      <c r="L114" t="s">
        <v>1901</v>
      </c>
      <c r="M114">
        <v>100</v>
      </c>
      <c r="N114">
        <v>4800</v>
      </c>
      <c r="O114" t="s">
        <v>3434</v>
      </c>
      <c r="P114" s="31" t="str">
        <f>HYPERLINK("https://b2b.kobi.pl/pl/product/9676,zarowka-led-mb-6w-e27-6000k-kobi?currency=PLN")</f>
        <v>https://b2b.kobi.pl/pl/product/9676,zarowka-led-mb-6w-e27-6000k-kobi?currency=PLN</v>
      </c>
      <c r="Q114" s="31" t="str">
        <f>HYPERLINK("https://eprel.ec.europa.eu/qr/660672")</f>
        <v>https://eprel.ec.europa.eu/qr/660672</v>
      </c>
      <c r="R114"/>
      <c r="S114" t="s">
        <v>2673</v>
      </c>
      <c r="T114"/>
      <c r="U114">
        <v>2.1000000000000001E-2</v>
      </c>
      <c r="V114">
        <v>2.8000000000000001E-2</v>
      </c>
      <c r="W114">
        <v>4.5999999999999996</v>
      </c>
      <c r="X114">
        <v>4.7</v>
      </c>
      <c r="Y114">
        <v>8.6</v>
      </c>
    </row>
    <row r="115" spans="1:25" ht="60" customHeight="1" x14ac:dyDescent="0.25">
      <c r="A115"/>
      <c r="B115" t="s">
        <v>3367</v>
      </c>
      <c r="C115" t="s">
        <v>3369</v>
      </c>
      <c r="D115" t="s">
        <v>17</v>
      </c>
      <c r="E115" t="s">
        <v>1721</v>
      </c>
      <c r="F115" t="s">
        <v>1722</v>
      </c>
      <c r="G115" t="s">
        <v>1506</v>
      </c>
      <c r="H115" s="30">
        <v>5.71</v>
      </c>
      <c r="I115" s="29">
        <f>H115*(1-IFERROR(VLOOKUP(G115,Rabat!$D$10:$E$41,2,FALSE),0))</f>
        <v>5.71</v>
      </c>
      <c r="J115" t="s">
        <v>1903</v>
      </c>
      <c r="K115" t="s">
        <v>99</v>
      </c>
      <c r="L115" t="s">
        <v>1901</v>
      </c>
      <c r="M115">
        <v>100</v>
      </c>
      <c r="N115">
        <v>5600</v>
      </c>
      <c r="O115" t="s">
        <v>3434</v>
      </c>
      <c r="P115" s="31" t="str">
        <f>HYPERLINK("https://b2b.kobi.pl/pl/product/9618,zarowka-led-mb-7w-e14-3000k-led2b?currency=PLN")</f>
        <v>https://b2b.kobi.pl/pl/product/9618,zarowka-led-mb-7w-e14-3000k-led2b?currency=PLN</v>
      </c>
      <c r="Q115" s="31" t="str">
        <f>HYPERLINK("https://eprel.ec.europa.eu/qr/660300")</f>
        <v>https://eprel.ec.europa.eu/qr/660300</v>
      </c>
      <c r="R115" t="s">
        <v>2035</v>
      </c>
      <c r="S115" t="s">
        <v>2673</v>
      </c>
      <c r="T115"/>
      <c r="U115">
        <v>1.4999999999999999E-2</v>
      </c>
      <c r="V115">
        <v>2.5000000000000001E-2</v>
      </c>
      <c r="W115">
        <v>5</v>
      </c>
      <c r="X115">
        <v>6.5</v>
      </c>
      <c r="Y115">
        <v>4.5</v>
      </c>
    </row>
    <row r="116" spans="1:25" ht="60" customHeight="1" x14ac:dyDescent="0.25">
      <c r="A116"/>
      <c r="B116" t="s">
        <v>3367</v>
      </c>
      <c r="C116" t="s">
        <v>3369</v>
      </c>
      <c r="D116" t="s">
        <v>17</v>
      </c>
      <c r="E116" t="s">
        <v>1723</v>
      </c>
      <c r="F116" t="s">
        <v>1724</v>
      </c>
      <c r="G116" t="s">
        <v>1506</v>
      </c>
      <c r="H116" s="30">
        <v>5.71</v>
      </c>
      <c r="I116" s="29">
        <f>H116*(1-IFERROR(VLOOKUP(G116,Rabat!$D$10:$E$41,2,FALSE),0))</f>
        <v>5.71</v>
      </c>
      <c r="J116" t="s">
        <v>1903</v>
      </c>
      <c r="K116" t="s">
        <v>109</v>
      </c>
      <c r="L116" t="s">
        <v>1901</v>
      </c>
      <c r="M116">
        <v>100</v>
      </c>
      <c r="N116">
        <v>5600</v>
      </c>
      <c r="O116" t="s">
        <v>3434</v>
      </c>
      <c r="P116" s="31" t="str">
        <f>HYPERLINK("https://b2b.kobi.pl/pl/product/9626,zarowka-led-mb-7w-e27-3000k-led2b?currency=PLN")</f>
        <v>https://b2b.kobi.pl/pl/product/9626,zarowka-led-mb-7w-e27-3000k-led2b?currency=PLN</v>
      </c>
      <c r="Q116" s="31" t="str">
        <f>HYPERLINK("https://eprel.ec.europa.eu/qr/660306")</f>
        <v>https://eprel.ec.europa.eu/qr/660306</v>
      </c>
      <c r="R116" t="s">
        <v>2035</v>
      </c>
      <c r="S116" t="s">
        <v>2673</v>
      </c>
      <c r="T116"/>
      <c r="U116">
        <v>1.6E-2</v>
      </c>
      <c r="V116">
        <v>2.5999999999999999E-2</v>
      </c>
      <c r="W116">
        <v>4.5</v>
      </c>
      <c r="X116">
        <v>6.5</v>
      </c>
      <c r="Y116">
        <v>4.5</v>
      </c>
    </row>
    <row r="117" spans="1:25" ht="60" customHeight="1" x14ac:dyDescent="0.25">
      <c r="A117"/>
      <c r="B117" t="s">
        <v>3367</v>
      </c>
      <c r="C117" t="s">
        <v>3369</v>
      </c>
      <c r="D117" t="s">
        <v>17</v>
      </c>
      <c r="E117" t="s">
        <v>3370</v>
      </c>
      <c r="F117" t="s">
        <v>3371</v>
      </c>
      <c r="G117" t="s">
        <v>1506</v>
      </c>
      <c r="H117" s="30">
        <v>8</v>
      </c>
      <c r="I117" s="29">
        <f>H117*(1-IFERROR(VLOOKUP(G117,Rabat!$D$10:$E$41,2,FALSE),0))</f>
        <v>8</v>
      </c>
      <c r="J117" t="s">
        <v>1903</v>
      </c>
      <c r="K117" t="s">
        <v>3402</v>
      </c>
      <c r="L117" t="s">
        <v>1901</v>
      </c>
      <c r="M117">
        <v>100</v>
      </c>
      <c r="N117">
        <v>5600</v>
      </c>
      <c r="O117" t="s">
        <v>3434</v>
      </c>
      <c r="P117" s="31" t="str">
        <f>HYPERLINK("https://b2b.kobi.pl/pl/product/9628,zarowka-led-mb-7w-e27-6500k-led2b?currency=PLN")</f>
        <v>https://b2b.kobi.pl/pl/product/9628,zarowka-led-mb-7w-e27-6500k-led2b?currency=PLN</v>
      </c>
      <c r="Q117" s="31" t="str">
        <f>HYPERLINK("https://eprel.ec.europa.eu/qr/660308")</f>
        <v>https://eprel.ec.europa.eu/qr/660308</v>
      </c>
      <c r="R117" t="s">
        <v>2035</v>
      </c>
      <c r="S117" t="s">
        <v>2673</v>
      </c>
      <c r="T117"/>
      <c r="U117">
        <v>1.6E-2</v>
      </c>
      <c r="V117">
        <v>2.5999999999999999E-2</v>
      </c>
      <c r="W117">
        <v>4.5</v>
      </c>
      <c r="X117">
        <v>6.5</v>
      </c>
      <c r="Y117">
        <v>4.5</v>
      </c>
    </row>
    <row r="118" spans="1:25" ht="60" customHeight="1" x14ac:dyDescent="0.25">
      <c r="A118"/>
      <c r="B118" t="s">
        <v>3367</v>
      </c>
      <c r="C118" t="s">
        <v>3369</v>
      </c>
      <c r="D118" t="s">
        <v>17</v>
      </c>
      <c r="E118" t="s">
        <v>1725</v>
      </c>
      <c r="F118" t="s">
        <v>1726</v>
      </c>
      <c r="G118" t="s">
        <v>1506</v>
      </c>
      <c r="H118" s="30">
        <v>8.02</v>
      </c>
      <c r="I118" s="29">
        <f>H118*(1-IFERROR(VLOOKUP(G118,Rabat!$D$10:$E$41,2,FALSE),0))</f>
        <v>8.02</v>
      </c>
      <c r="J118" t="s">
        <v>1903</v>
      </c>
      <c r="K118" t="s">
        <v>491</v>
      </c>
      <c r="L118" t="s">
        <v>1901</v>
      </c>
      <c r="M118">
        <v>100</v>
      </c>
      <c r="N118">
        <v>4800</v>
      </c>
      <c r="O118" t="s">
        <v>3434</v>
      </c>
      <c r="P118" s="31" t="str">
        <f>HYPERLINK("https://b2b.kobi.pl/pl/product/9621,zarowka-led-mb-8-5w-e14-3000k-led2b?currency=PLN")</f>
        <v>https://b2b.kobi.pl/pl/product/9621,zarowka-led-mb-8-5w-e14-3000k-led2b?currency=PLN</v>
      </c>
      <c r="Q118" s="31" t="str">
        <f>HYPERLINK("https://eprel.ec.europa.eu/qr/2044404")</f>
        <v>https://eprel.ec.europa.eu/qr/2044404</v>
      </c>
      <c r="R118"/>
      <c r="S118" t="s">
        <v>2673</v>
      </c>
      <c r="T118"/>
      <c r="U118">
        <v>0.02</v>
      </c>
      <c r="V118">
        <v>2.4500000000000001E-2</v>
      </c>
      <c r="W118">
        <v>4.5999999999999996</v>
      </c>
      <c r="X118">
        <v>4.5999999999999996</v>
      </c>
      <c r="Y118">
        <v>9.1999999999999993</v>
      </c>
    </row>
    <row r="119" spans="1:25" ht="60" customHeight="1" x14ac:dyDescent="0.25">
      <c r="A119"/>
      <c r="B119" t="s">
        <v>3367</v>
      </c>
      <c r="C119" t="s">
        <v>3369</v>
      </c>
      <c r="D119" t="s">
        <v>17</v>
      </c>
      <c r="E119" t="s">
        <v>1727</v>
      </c>
      <c r="F119" t="s">
        <v>1728</v>
      </c>
      <c r="G119" t="s">
        <v>1506</v>
      </c>
      <c r="H119" s="30">
        <v>8.02</v>
      </c>
      <c r="I119" s="29">
        <f>H119*(1-IFERROR(VLOOKUP(G119,Rabat!$D$10:$E$41,2,FALSE),0))</f>
        <v>8.02</v>
      </c>
      <c r="J119" t="s">
        <v>1903</v>
      </c>
      <c r="K119" t="s">
        <v>492</v>
      </c>
      <c r="L119" t="s">
        <v>1901</v>
      </c>
      <c r="M119">
        <v>100</v>
      </c>
      <c r="N119">
        <v>5600</v>
      </c>
      <c r="O119" t="s">
        <v>3434</v>
      </c>
      <c r="P119" s="31" t="str">
        <f>HYPERLINK("https://b2b.kobi.pl/pl/product/9622,zarowka-led-mb-8-5w-e14-4000k-led2b?currency=PLN")</f>
        <v>https://b2b.kobi.pl/pl/product/9622,zarowka-led-mb-8-5w-e14-4000k-led2b?currency=PLN</v>
      </c>
      <c r="Q119" s="31" t="str">
        <f>HYPERLINK("https://eprel.ec.europa.eu/qr/2044417")</f>
        <v>https://eprel.ec.europa.eu/qr/2044417</v>
      </c>
      <c r="R119"/>
      <c r="S119" t="s">
        <v>2673</v>
      </c>
      <c r="T119"/>
      <c r="U119">
        <v>0.02</v>
      </c>
      <c r="V119">
        <v>2.4500000000000001E-2</v>
      </c>
      <c r="W119">
        <v>4.5999999999999996</v>
      </c>
      <c r="X119">
        <v>4.5999999999999996</v>
      </c>
      <c r="Y119">
        <v>9.1999999999999993</v>
      </c>
    </row>
    <row r="120" spans="1:25" ht="60" customHeight="1" x14ac:dyDescent="0.25">
      <c r="A120"/>
      <c r="B120" t="s">
        <v>3367</v>
      </c>
      <c r="C120" t="s">
        <v>3369</v>
      </c>
      <c r="D120" t="s">
        <v>17</v>
      </c>
      <c r="E120" t="s">
        <v>1729</v>
      </c>
      <c r="F120" t="s">
        <v>1730</v>
      </c>
      <c r="G120" t="s">
        <v>1506</v>
      </c>
      <c r="H120" s="30">
        <v>8.02</v>
      </c>
      <c r="I120" s="29">
        <f>H120*(1-IFERROR(VLOOKUP(G120,Rabat!$D$10:$E$41,2,FALSE),0))</f>
        <v>8.02</v>
      </c>
      <c r="J120" t="s">
        <v>1903</v>
      </c>
      <c r="K120" t="s">
        <v>493</v>
      </c>
      <c r="L120" t="s">
        <v>1901</v>
      </c>
      <c r="M120">
        <v>100</v>
      </c>
      <c r="N120">
        <v>5600</v>
      </c>
      <c r="O120" t="s">
        <v>3434</v>
      </c>
      <c r="P120" s="31" t="str">
        <f>HYPERLINK("https://b2b.kobi.pl/pl/product/9623,zarowka-led-mb-8-5w-e14-6500k-led2b?currency=PLN")</f>
        <v>https://b2b.kobi.pl/pl/product/9623,zarowka-led-mb-8-5w-e14-6500k-led2b?currency=PLN</v>
      </c>
      <c r="Q120" s="31" t="str">
        <f>HYPERLINK("https://eprel.ec.europa.eu/qr/2044430")</f>
        <v>https://eprel.ec.europa.eu/qr/2044430</v>
      </c>
      <c r="R120"/>
      <c r="S120" t="s">
        <v>2673</v>
      </c>
      <c r="T120"/>
      <c r="U120">
        <v>0.02</v>
      </c>
      <c r="V120">
        <v>2.4500000000000001E-2</v>
      </c>
      <c r="W120">
        <v>4.5999999999999996</v>
      </c>
      <c r="X120">
        <v>4.5999999999999996</v>
      </c>
      <c r="Y120">
        <v>9.1999999999999993</v>
      </c>
    </row>
    <row r="121" spans="1:25" ht="60" customHeight="1" x14ac:dyDescent="0.25">
      <c r="A121"/>
      <c r="B121" t="s">
        <v>3367</v>
      </c>
      <c r="C121" t="s">
        <v>3369</v>
      </c>
      <c r="D121" t="s">
        <v>17</v>
      </c>
      <c r="E121" t="s">
        <v>1731</v>
      </c>
      <c r="F121" t="s">
        <v>1732</v>
      </c>
      <c r="G121" t="s">
        <v>1506</v>
      </c>
      <c r="H121" s="30">
        <v>8.02</v>
      </c>
      <c r="I121" s="29">
        <f>H121*(1-IFERROR(VLOOKUP(G121,Rabat!$D$10:$E$41,2,FALSE),0))</f>
        <v>8.02</v>
      </c>
      <c r="J121" t="s">
        <v>1903</v>
      </c>
      <c r="K121" t="s">
        <v>494</v>
      </c>
      <c r="L121" t="s">
        <v>1901</v>
      </c>
      <c r="M121">
        <v>100</v>
      </c>
      <c r="N121">
        <v>4800</v>
      </c>
      <c r="O121" t="s">
        <v>3434</v>
      </c>
      <c r="P121" s="31" t="str">
        <f>HYPERLINK("https://b2b.kobi.pl/pl/product/9629,zarowka-led-mb-8-5w-e27-3000k-led2b?currency=PLN")</f>
        <v>https://b2b.kobi.pl/pl/product/9629,zarowka-led-mb-8-5w-e27-3000k-led2b?currency=PLN</v>
      </c>
      <c r="Q121" s="31" t="str">
        <f>HYPERLINK("https://eprel.ec.europa.eu/qr/2044481")</f>
        <v>https://eprel.ec.europa.eu/qr/2044481</v>
      </c>
      <c r="R121"/>
      <c r="S121" t="s">
        <v>2673</v>
      </c>
      <c r="T121"/>
      <c r="U121">
        <v>0.02</v>
      </c>
      <c r="V121">
        <v>2.5999999999999999E-2</v>
      </c>
      <c r="W121">
        <v>4.5999999999999996</v>
      </c>
      <c r="X121">
        <v>4.5999999999999996</v>
      </c>
      <c r="Y121">
        <v>9.1999999999999993</v>
      </c>
    </row>
    <row r="122" spans="1:25" ht="60" customHeight="1" x14ac:dyDescent="0.25">
      <c r="A122"/>
      <c r="B122" t="s">
        <v>3367</v>
      </c>
      <c r="C122" t="s">
        <v>3369</v>
      </c>
      <c r="D122" t="s">
        <v>17</v>
      </c>
      <c r="E122" t="s">
        <v>1733</v>
      </c>
      <c r="F122" t="s">
        <v>1734</v>
      </c>
      <c r="G122" t="s">
        <v>1506</v>
      </c>
      <c r="H122" s="30">
        <v>8.02</v>
      </c>
      <c r="I122" s="29">
        <f>H122*(1-IFERROR(VLOOKUP(G122,Rabat!$D$10:$E$41,2,FALSE),0))</f>
        <v>8.02</v>
      </c>
      <c r="J122" t="s">
        <v>1903</v>
      </c>
      <c r="K122" t="s">
        <v>495</v>
      </c>
      <c r="L122" t="s">
        <v>1901</v>
      </c>
      <c r="M122">
        <v>100</v>
      </c>
      <c r="N122">
        <v>5600</v>
      </c>
      <c r="O122" t="s">
        <v>3434</v>
      </c>
      <c r="P122" s="31" t="str">
        <f>HYPERLINK("https://b2b.kobi.pl/pl/product/9630,zarowka-led-mb-8-5w-e27-4000k-led2b?currency=PLN")</f>
        <v>https://b2b.kobi.pl/pl/product/9630,zarowka-led-mb-8-5w-e27-4000k-led2b?currency=PLN</v>
      </c>
      <c r="Q122" s="31" t="str">
        <f>HYPERLINK("https://eprel.ec.europa.eu/qr/2044536")</f>
        <v>https://eprel.ec.europa.eu/qr/2044536</v>
      </c>
      <c r="R122"/>
      <c r="S122" t="s">
        <v>2673</v>
      </c>
      <c r="T122"/>
      <c r="U122">
        <v>0.02</v>
      </c>
      <c r="V122">
        <v>2.5999999999999999E-2</v>
      </c>
      <c r="W122">
        <v>4.5999999999999996</v>
      </c>
      <c r="X122">
        <v>4.5999999999999996</v>
      </c>
      <c r="Y122">
        <v>9.1999999999999993</v>
      </c>
    </row>
    <row r="123" spans="1:25" ht="60" customHeight="1" x14ac:dyDescent="0.25">
      <c r="A123"/>
      <c r="B123" t="s">
        <v>3367</v>
      </c>
      <c r="C123" t="s">
        <v>3369</v>
      </c>
      <c r="D123" t="s">
        <v>17</v>
      </c>
      <c r="E123" t="s">
        <v>1735</v>
      </c>
      <c r="F123" t="s">
        <v>1736</v>
      </c>
      <c r="G123" t="s">
        <v>1506</v>
      </c>
      <c r="H123" s="30">
        <v>8.02</v>
      </c>
      <c r="I123" s="29">
        <f>H123*(1-IFERROR(VLOOKUP(G123,Rabat!$D$10:$E$41,2,FALSE),0))</f>
        <v>8.02</v>
      </c>
      <c r="J123" t="s">
        <v>1903</v>
      </c>
      <c r="K123" t="s">
        <v>496</v>
      </c>
      <c r="L123" t="s">
        <v>1901</v>
      </c>
      <c r="M123">
        <v>100</v>
      </c>
      <c r="N123">
        <v>5600</v>
      </c>
      <c r="O123" t="s">
        <v>3434</v>
      </c>
      <c r="P123" s="31" t="str">
        <f>HYPERLINK("https://b2b.kobi.pl/pl/product/9631,zarowka-led-mb-8-5w-e27-6500k-led2b?currency=PLN")</f>
        <v>https://b2b.kobi.pl/pl/product/9631,zarowka-led-mb-8-5w-e27-6500k-led2b?currency=PLN</v>
      </c>
      <c r="Q123" s="31" t="str">
        <f>HYPERLINK("https://eprel.ec.europa.eu/qr/2044546")</f>
        <v>https://eprel.ec.europa.eu/qr/2044546</v>
      </c>
      <c r="R123"/>
      <c r="S123" t="s">
        <v>2673</v>
      </c>
      <c r="T123"/>
      <c r="U123">
        <v>0.02</v>
      </c>
      <c r="V123">
        <v>2.5999999999999999E-2</v>
      </c>
      <c r="W123">
        <v>4.5999999999999996</v>
      </c>
      <c r="X123">
        <v>4.5999999999999996</v>
      </c>
      <c r="Y123">
        <v>9.1999999999999993</v>
      </c>
    </row>
    <row r="124" spans="1:25" ht="60" customHeight="1" x14ac:dyDescent="0.25">
      <c r="A124"/>
      <c r="B124" t="s">
        <v>3367</v>
      </c>
      <c r="C124" t="s">
        <v>3369</v>
      </c>
      <c r="D124" t="s">
        <v>631</v>
      </c>
      <c r="E124" t="s">
        <v>1737</v>
      </c>
      <c r="F124" t="s">
        <v>1738</v>
      </c>
      <c r="G124" t="s">
        <v>1506</v>
      </c>
      <c r="H124" s="30">
        <v>18.809999999999999</v>
      </c>
      <c r="I124" s="29">
        <f>H124*(1-IFERROR(VLOOKUP(G124,Rabat!$D$10:$E$41,2,FALSE),0))</f>
        <v>18.809999999999999</v>
      </c>
      <c r="J124" t="s">
        <v>1903</v>
      </c>
      <c r="K124" t="s">
        <v>100</v>
      </c>
      <c r="L124" t="s">
        <v>1901</v>
      </c>
      <c r="M124">
        <v>100</v>
      </c>
      <c r="N124">
        <v>4200</v>
      </c>
      <c r="O124" t="s">
        <v>3434</v>
      </c>
      <c r="P124" s="31" t="str">
        <f>HYPERLINK("https://b2b.kobi.pl/pl/product/9668,zarowka-led-mb-9w-e14-3000k-kobi-premium?currency=PLN")</f>
        <v>https://b2b.kobi.pl/pl/product/9668,zarowka-led-mb-9w-e14-3000k-kobi-premium?currency=PLN</v>
      </c>
      <c r="Q124" s="31" t="str">
        <f>HYPERLINK("https://eprel.ec.europa.eu/qr/660660")</f>
        <v>https://eprel.ec.europa.eu/qr/660660</v>
      </c>
      <c r="R124"/>
      <c r="S124" t="s">
        <v>2673</v>
      </c>
      <c r="T124"/>
      <c r="U124">
        <v>4.3999999999999997E-2</v>
      </c>
      <c r="V124">
        <v>6.5000000000000002E-2</v>
      </c>
      <c r="W124">
        <v>5</v>
      </c>
      <c r="X124">
        <v>5</v>
      </c>
      <c r="Y124">
        <v>10.5</v>
      </c>
    </row>
    <row r="125" spans="1:25" ht="60" customHeight="1" x14ac:dyDescent="0.25">
      <c r="A125"/>
      <c r="B125" t="s">
        <v>3367</v>
      </c>
      <c r="C125" t="s">
        <v>3369</v>
      </c>
      <c r="D125" t="s">
        <v>631</v>
      </c>
      <c r="E125" t="s">
        <v>1739</v>
      </c>
      <c r="F125" t="s">
        <v>1740</v>
      </c>
      <c r="G125" t="s">
        <v>1506</v>
      </c>
      <c r="H125" s="30">
        <v>18.809999999999999</v>
      </c>
      <c r="I125" s="29">
        <f>H125*(1-IFERROR(VLOOKUP(G125,Rabat!$D$10:$E$41,2,FALSE),0))</f>
        <v>18.809999999999999</v>
      </c>
      <c r="J125" t="s">
        <v>1903</v>
      </c>
      <c r="K125" t="s">
        <v>101</v>
      </c>
      <c r="L125" t="s">
        <v>1901</v>
      </c>
      <c r="M125">
        <v>100</v>
      </c>
      <c r="N125">
        <v>4200</v>
      </c>
      <c r="O125" t="s">
        <v>3434</v>
      </c>
      <c r="P125" s="31" t="str">
        <f>HYPERLINK("https://b2b.kobi.pl/pl/product/9669,zarowka-led-mb-9w-e14-4000k-kobi-premium?currency=PLN")</f>
        <v>https://b2b.kobi.pl/pl/product/9669,zarowka-led-mb-9w-e14-4000k-kobi-premium?currency=PLN</v>
      </c>
      <c r="Q125" s="31" t="str">
        <f>HYPERLINK("https://eprel.ec.europa.eu/qr/660661")</f>
        <v>https://eprel.ec.europa.eu/qr/660661</v>
      </c>
      <c r="R125"/>
      <c r="S125" t="s">
        <v>2673</v>
      </c>
      <c r="T125"/>
      <c r="U125">
        <v>4.3999999999999997E-2</v>
      </c>
      <c r="V125">
        <v>6.5000000000000002E-2</v>
      </c>
      <c r="W125">
        <v>5</v>
      </c>
      <c r="X125">
        <v>5</v>
      </c>
      <c r="Y125">
        <v>10.5</v>
      </c>
    </row>
    <row r="126" spans="1:25" ht="60" customHeight="1" x14ac:dyDescent="0.25">
      <c r="A126"/>
      <c r="B126" t="s">
        <v>3367</v>
      </c>
      <c r="C126" t="s">
        <v>3369</v>
      </c>
      <c r="D126" t="s">
        <v>631</v>
      </c>
      <c r="E126" t="s">
        <v>1741</v>
      </c>
      <c r="F126" t="s">
        <v>1742</v>
      </c>
      <c r="G126" t="s">
        <v>1506</v>
      </c>
      <c r="H126" s="30">
        <v>18.809999999999999</v>
      </c>
      <c r="I126" s="29">
        <f>H126*(1-IFERROR(VLOOKUP(G126,Rabat!$D$10:$E$41,2,FALSE),0))</f>
        <v>18.809999999999999</v>
      </c>
      <c r="J126" t="s">
        <v>1903</v>
      </c>
      <c r="K126" t="s">
        <v>102</v>
      </c>
      <c r="L126" t="s">
        <v>1901</v>
      </c>
      <c r="M126">
        <v>100</v>
      </c>
      <c r="N126">
        <v>4200</v>
      </c>
      <c r="O126" t="s">
        <v>3434</v>
      </c>
      <c r="P126" s="31" t="str">
        <f>HYPERLINK("https://b2b.kobi.pl/pl/product/9670,zarowka-led-mb-9w-e14-6000k-kobi-premium?currency=PLN")</f>
        <v>https://b2b.kobi.pl/pl/product/9670,zarowka-led-mb-9w-e14-6000k-kobi-premium?currency=PLN</v>
      </c>
      <c r="Q126" s="31" t="str">
        <f>HYPERLINK("https://eprel.ec.europa.eu/qr/660663")</f>
        <v>https://eprel.ec.europa.eu/qr/660663</v>
      </c>
      <c r="R126"/>
      <c r="S126" t="s">
        <v>2673</v>
      </c>
      <c r="T126"/>
      <c r="U126">
        <v>4.3999999999999997E-2</v>
      </c>
      <c r="V126">
        <v>6.5000000000000002E-2</v>
      </c>
      <c r="W126">
        <v>5</v>
      </c>
      <c r="X126">
        <v>12.5</v>
      </c>
      <c r="Y126">
        <v>4.5</v>
      </c>
    </row>
    <row r="127" spans="1:25" ht="60" customHeight="1" x14ac:dyDescent="0.25">
      <c r="A127"/>
      <c r="B127" t="s">
        <v>3367</v>
      </c>
      <c r="C127" t="s">
        <v>3369</v>
      </c>
      <c r="D127" t="s">
        <v>631</v>
      </c>
      <c r="E127" t="s">
        <v>1743</v>
      </c>
      <c r="F127" t="s">
        <v>1744</v>
      </c>
      <c r="G127" t="s">
        <v>1506</v>
      </c>
      <c r="H127" s="30">
        <v>18.809999999999999</v>
      </c>
      <c r="I127" s="29">
        <f>H127*(1-IFERROR(VLOOKUP(G127,Rabat!$D$10:$E$41,2,FALSE),0))</f>
        <v>18.809999999999999</v>
      </c>
      <c r="J127" t="s">
        <v>1903</v>
      </c>
      <c r="K127" t="s">
        <v>110</v>
      </c>
      <c r="L127" t="s">
        <v>1901</v>
      </c>
      <c r="M127">
        <v>100</v>
      </c>
      <c r="N127">
        <v>4200</v>
      </c>
      <c r="O127" t="s">
        <v>3434</v>
      </c>
      <c r="P127" s="31" t="str">
        <f>HYPERLINK("https://b2b.kobi.pl/pl/product/9677,zarowka-led-mb-9w-e27-3000k-kobi-premium?currency=PLN")</f>
        <v>https://b2b.kobi.pl/pl/product/9677,zarowka-led-mb-9w-e27-3000k-kobi-premium?currency=PLN</v>
      </c>
      <c r="Q127" s="31" t="str">
        <f>HYPERLINK("https://eprel.ec.europa.eu/qr/660675")</f>
        <v>https://eprel.ec.europa.eu/qr/660675</v>
      </c>
      <c r="R127"/>
      <c r="S127" t="s">
        <v>2673</v>
      </c>
      <c r="T127"/>
      <c r="U127">
        <v>5.5E-2</v>
      </c>
      <c r="V127">
        <v>7.1999999999999995E-2</v>
      </c>
      <c r="W127">
        <v>5</v>
      </c>
      <c r="X127">
        <v>5</v>
      </c>
      <c r="Y127">
        <v>10.6</v>
      </c>
    </row>
    <row r="128" spans="1:25" ht="60" customHeight="1" x14ac:dyDescent="0.25">
      <c r="A128"/>
      <c r="B128" t="s">
        <v>3367</v>
      </c>
      <c r="C128" t="s">
        <v>3369</v>
      </c>
      <c r="D128" t="s">
        <v>631</v>
      </c>
      <c r="E128" t="s">
        <v>1745</v>
      </c>
      <c r="F128" t="s">
        <v>1746</v>
      </c>
      <c r="G128" t="s">
        <v>1506</v>
      </c>
      <c r="H128" s="30">
        <v>18.809999999999999</v>
      </c>
      <c r="I128" s="29">
        <f>H128*(1-IFERROR(VLOOKUP(G128,Rabat!$D$10:$E$41,2,FALSE),0))</f>
        <v>18.809999999999999</v>
      </c>
      <c r="J128" t="s">
        <v>1903</v>
      </c>
      <c r="K128" t="s">
        <v>111</v>
      </c>
      <c r="L128" t="s">
        <v>1901</v>
      </c>
      <c r="M128">
        <v>100</v>
      </c>
      <c r="N128">
        <v>4200</v>
      </c>
      <c r="O128" t="s">
        <v>3434</v>
      </c>
      <c r="P128" s="31" t="str">
        <f>HYPERLINK("https://b2b.kobi.pl/pl/product/9678,zarowka-led-mb-9w-e27-4000k-kobi-premium?currency=PLN")</f>
        <v>https://b2b.kobi.pl/pl/product/9678,zarowka-led-mb-9w-e27-4000k-kobi-premium?currency=PLN</v>
      </c>
      <c r="Q128" s="31" t="str">
        <f>HYPERLINK("https://eprel.ec.europa.eu/qr/660677")</f>
        <v>https://eprel.ec.europa.eu/qr/660677</v>
      </c>
      <c r="R128"/>
      <c r="S128" t="s">
        <v>2673</v>
      </c>
      <c r="T128"/>
      <c r="U128">
        <v>5.5E-2</v>
      </c>
      <c r="V128">
        <v>7.1999999999999995E-2</v>
      </c>
      <c r="W128">
        <v>5</v>
      </c>
      <c r="X128">
        <v>5</v>
      </c>
      <c r="Y128">
        <v>10.6</v>
      </c>
    </row>
    <row r="129" spans="1:25" ht="60" customHeight="1" x14ac:dyDescent="0.25">
      <c r="A129"/>
      <c r="B129" t="s">
        <v>3367</v>
      </c>
      <c r="C129" t="s">
        <v>3369</v>
      </c>
      <c r="D129" t="s">
        <v>631</v>
      </c>
      <c r="E129" t="s">
        <v>1747</v>
      </c>
      <c r="F129" t="s">
        <v>1748</v>
      </c>
      <c r="G129" t="s">
        <v>1506</v>
      </c>
      <c r="H129" s="30">
        <v>18.809999999999999</v>
      </c>
      <c r="I129" s="29">
        <f>H129*(1-IFERROR(VLOOKUP(G129,Rabat!$D$10:$E$41,2,FALSE),0))</f>
        <v>18.809999999999999</v>
      </c>
      <c r="J129" t="s">
        <v>1903</v>
      </c>
      <c r="K129" t="s">
        <v>112</v>
      </c>
      <c r="L129" t="s">
        <v>1901</v>
      </c>
      <c r="M129">
        <v>100</v>
      </c>
      <c r="N129">
        <v>4200</v>
      </c>
      <c r="O129" t="s">
        <v>3434</v>
      </c>
      <c r="P129" s="31" t="str">
        <f>HYPERLINK("https://b2b.kobi.pl/pl/product/9679,zarowka-led-mb-9w-e27-6000k-kobi-premium?currency=PLN")</f>
        <v>https://b2b.kobi.pl/pl/product/9679,zarowka-led-mb-9w-e27-6000k-kobi-premium?currency=PLN</v>
      </c>
      <c r="Q129" s="31" t="str">
        <f>HYPERLINK("https://eprel.ec.europa.eu/qr/660678")</f>
        <v>https://eprel.ec.europa.eu/qr/660678</v>
      </c>
      <c r="R129"/>
      <c r="S129" t="s">
        <v>2673</v>
      </c>
      <c r="T129"/>
      <c r="U129">
        <v>5.5E-2</v>
      </c>
      <c r="V129">
        <v>7.1999999999999995E-2</v>
      </c>
      <c r="W129">
        <v>5</v>
      </c>
      <c r="X129">
        <v>12.5</v>
      </c>
      <c r="Y129">
        <v>4.5</v>
      </c>
    </row>
    <row r="130" spans="1:25" ht="60" customHeight="1" x14ac:dyDescent="0.25">
      <c r="A130"/>
      <c r="B130" t="s">
        <v>3367</v>
      </c>
      <c r="C130" t="s">
        <v>3369</v>
      </c>
      <c r="D130" t="s">
        <v>643</v>
      </c>
      <c r="E130" t="s">
        <v>1765</v>
      </c>
      <c r="F130" t="s">
        <v>1766</v>
      </c>
      <c r="G130" t="s">
        <v>1506</v>
      </c>
      <c r="H130" s="30">
        <v>5.33</v>
      </c>
      <c r="I130" s="29">
        <f>H130*(1-IFERROR(VLOOKUP(G130,Rabat!$D$10:$E$41,2,FALSE),0))</f>
        <v>5.33</v>
      </c>
      <c r="J130" t="s">
        <v>1903</v>
      </c>
      <c r="K130" t="s">
        <v>120</v>
      </c>
      <c r="L130" t="s">
        <v>1901</v>
      </c>
      <c r="M130">
        <v>100</v>
      </c>
      <c r="N130">
        <v>3000</v>
      </c>
      <c r="O130" t="s">
        <v>3434</v>
      </c>
      <c r="P130" s="31" t="str">
        <f>HYPERLINK("https://b2b.kobi.pl/pl/product/9697,zarowka-led-sw-1-5w-e14-6000k-kobi?currency=PLN")</f>
        <v>https://b2b.kobi.pl/pl/product/9697,zarowka-led-sw-1-5w-e14-6000k-kobi?currency=PLN</v>
      </c>
      <c r="Q130" s="31" t="str">
        <f>HYPERLINK("https://eprel.ec.europa.eu/qr/660756")</f>
        <v>https://eprel.ec.europa.eu/qr/660756</v>
      </c>
      <c r="R130" t="s">
        <v>2035</v>
      </c>
      <c r="S130" t="s">
        <v>2673</v>
      </c>
      <c r="T130"/>
      <c r="U130">
        <v>1.4999999999999999E-2</v>
      </c>
      <c r="V130">
        <v>2.5000000000000001E-2</v>
      </c>
      <c r="W130">
        <v>4</v>
      </c>
      <c r="X130">
        <v>10</v>
      </c>
      <c r="Y130">
        <v>3.5</v>
      </c>
    </row>
    <row r="131" spans="1:25" ht="60" customHeight="1" x14ac:dyDescent="0.25">
      <c r="A131"/>
      <c r="B131" t="s">
        <v>3367</v>
      </c>
      <c r="C131" t="s">
        <v>3369</v>
      </c>
      <c r="D131" t="s">
        <v>631</v>
      </c>
      <c r="E131" t="s">
        <v>2943</v>
      </c>
      <c r="F131" t="s">
        <v>2944</v>
      </c>
      <c r="G131" t="s">
        <v>1506</v>
      </c>
      <c r="H131" s="30">
        <v>21.43</v>
      </c>
      <c r="I131" s="29">
        <f>H131*(1-IFERROR(VLOOKUP(G131,Rabat!$D$10:$E$41,2,FALSE),0))</f>
        <v>21.43</v>
      </c>
      <c r="J131" t="s">
        <v>1904</v>
      </c>
      <c r="K131" t="s">
        <v>2974</v>
      </c>
      <c r="L131" t="s">
        <v>1901</v>
      </c>
      <c r="M131">
        <v>100</v>
      </c>
      <c r="N131">
        <v>3600</v>
      </c>
      <c r="O131" t="s">
        <v>3434</v>
      </c>
      <c r="P131" s="31" t="str">
        <f>HYPERLINK("https://b2b.kobi.pl/pl/product/12902,zarowka-led-mb-8-5w-e14-3000k-kobi-premium?currency=PLN")</f>
        <v>https://b2b.kobi.pl/pl/product/12902,zarowka-led-mb-8-5w-e14-3000k-kobi-premium?currency=PLN</v>
      </c>
      <c r="Q131" s="31" t="str">
        <f>HYPERLINK("https://eprel.ec.europa.eu/qr/2420073")</f>
        <v>https://eprel.ec.europa.eu/qr/2420073</v>
      </c>
      <c r="R131"/>
      <c r="S131" t="s">
        <v>2673</v>
      </c>
      <c r="T131"/>
      <c r="U131">
        <v>0.05</v>
      </c>
      <c r="V131">
        <v>6.5000000000000002E-2</v>
      </c>
      <c r="W131">
        <v>5</v>
      </c>
      <c r="X131">
        <v>5</v>
      </c>
      <c r="Y131">
        <v>10.5</v>
      </c>
    </row>
    <row r="132" spans="1:25" ht="60" customHeight="1" x14ac:dyDescent="0.25">
      <c r="A132"/>
      <c r="B132" t="s">
        <v>3367</v>
      </c>
      <c r="C132" t="s">
        <v>3369</v>
      </c>
      <c r="D132" t="s">
        <v>643</v>
      </c>
      <c r="E132" t="s">
        <v>1767</v>
      </c>
      <c r="F132" t="s">
        <v>1768</v>
      </c>
      <c r="G132" t="s">
        <v>1506</v>
      </c>
      <c r="H132" s="30">
        <v>6.36</v>
      </c>
      <c r="I132" s="29">
        <f>H132*(1-IFERROR(VLOOKUP(G132,Rabat!$D$10:$E$41,2,FALSE),0))</f>
        <v>6.36</v>
      </c>
      <c r="J132" t="s">
        <v>1905</v>
      </c>
      <c r="K132" t="s">
        <v>121</v>
      </c>
      <c r="L132" t="s">
        <v>1901</v>
      </c>
      <c r="M132">
        <v>100</v>
      </c>
      <c r="N132">
        <v>6000</v>
      </c>
      <c r="O132" t="s">
        <v>3434</v>
      </c>
      <c r="P132" s="31" t="str">
        <f>HYPERLINK("https://b2b.kobi.pl/pl/product/9698,zarowka-led-sw-3w-e14-3000k-kobi?currency=PLN")</f>
        <v>https://b2b.kobi.pl/pl/product/9698,zarowka-led-sw-3w-e14-3000k-kobi?currency=PLN</v>
      </c>
      <c r="Q132" s="31" t="str">
        <f>HYPERLINK("https://eprel.ec.europa.eu/qr/660758")</f>
        <v>https://eprel.ec.europa.eu/qr/660758</v>
      </c>
      <c r="R132"/>
      <c r="S132" t="s">
        <v>2673</v>
      </c>
      <c r="T132"/>
      <c r="U132">
        <v>1.7000000000000001E-2</v>
      </c>
      <c r="V132">
        <v>2.5999999999999999E-2</v>
      </c>
      <c r="W132">
        <v>4</v>
      </c>
      <c r="X132">
        <v>4</v>
      </c>
      <c r="Y132">
        <v>10</v>
      </c>
    </row>
    <row r="133" spans="1:25" ht="60" customHeight="1" x14ac:dyDescent="0.25">
      <c r="A133"/>
      <c r="B133" t="s">
        <v>3367</v>
      </c>
      <c r="C133" t="s">
        <v>3369</v>
      </c>
      <c r="D133" t="s">
        <v>631</v>
      </c>
      <c r="E133" t="s">
        <v>2945</v>
      </c>
      <c r="F133" t="s">
        <v>2946</v>
      </c>
      <c r="G133" t="s">
        <v>1506</v>
      </c>
      <c r="H133" s="30">
        <v>21.43</v>
      </c>
      <c r="I133" s="29">
        <f>H133*(1-IFERROR(VLOOKUP(G133,Rabat!$D$10:$E$41,2,FALSE),0))</f>
        <v>21.43</v>
      </c>
      <c r="J133" t="s">
        <v>1904</v>
      </c>
      <c r="K133" t="s">
        <v>2975</v>
      </c>
      <c r="L133" t="s">
        <v>1901</v>
      </c>
      <c r="M133">
        <v>100</v>
      </c>
      <c r="N133">
        <v>3600</v>
      </c>
      <c r="O133" t="s">
        <v>3434</v>
      </c>
      <c r="P133" s="31" t="str">
        <f>HYPERLINK("https://b2b.kobi.pl/pl/product/12903,zarowka-led-mb-8-5w-e14-4000k-kobi-premium?currency=PLN")</f>
        <v>https://b2b.kobi.pl/pl/product/12903,zarowka-led-mb-8-5w-e14-4000k-kobi-premium?currency=PLN</v>
      </c>
      <c r="Q133" s="31" t="str">
        <f>HYPERLINK("https://eprel.ec.europa.eu/qr/2420080")</f>
        <v>https://eprel.ec.europa.eu/qr/2420080</v>
      </c>
      <c r="R133"/>
      <c r="S133" t="s">
        <v>2673</v>
      </c>
      <c r="T133"/>
      <c r="U133">
        <v>0.05</v>
      </c>
      <c r="V133">
        <v>6.5000000000000002E-2</v>
      </c>
      <c r="W133">
        <v>5</v>
      </c>
      <c r="X133">
        <v>5</v>
      </c>
      <c r="Y133">
        <v>10.5</v>
      </c>
    </row>
    <row r="134" spans="1:25" ht="60" customHeight="1" x14ac:dyDescent="0.25">
      <c r="A134"/>
      <c r="B134" t="s">
        <v>3367</v>
      </c>
      <c r="C134" t="s">
        <v>3369</v>
      </c>
      <c r="D134" t="s">
        <v>643</v>
      </c>
      <c r="E134" t="s">
        <v>1769</v>
      </c>
      <c r="F134" t="s">
        <v>1770</v>
      </c>
      <c r="G134" t="s">
        <v>1506</v>
      </c>
      <c r="H134" s="30">
        <v>7.93</v>
      </c>
      <c r="I134" s="29">
        <f>H134*(1-IFERROR(VLOOKUP(G134,Rabat!$D$10:$E$41,2,FALSE),0))</f>
        <v>7.93</v>
      </c>
      <c r="J134" t="s">
        <v>1903</v>
      </c>
      <c r="K134" t="s">
        <v>122</v>
      </c>
      <c r="L134" t="s">
        <v>1901</v>
      </c>
      <c r="M134">
        <v>100</v>
      </c>
      <c r="N134">
        <v>6000</v>
      </c>
      <c r="O134" t="s">
        <v>3434</v>
      </c>
      <c r="P134" s="31" t="str">
        <f>HYPERLINK("https://b2b.kobi.pl/pl/product/9699,zarowka-led-sw-4-5w-e14-3000k-kobi?currency=PLN")</f>
        <v>https://b2b.kobi.pl/pl/product/9699,zarowka-led-sw-4-5w-e14-3000k-kobi?currency=PLN</v>
      </c>
      <c r="Q134" s="31" t="str">
        <f>HYPERLINK("https://eprel.ec.europa.eu/qr/660760")</f>
        <v>https://eprel.ec.europa.eu/qr/660760</v>
      </c>
      <c r="R134"/>
      <c r="S134" t="s">
        <v>2673</v>
      </c>
      <c r="T134"/>
      <c r="U134">
        <v>1.7999999999999999E-2</v>
      </c>
      <c r="V134">
        <v>2.0400000000000001E-2</v>
      </c>
      <c r="W134">
        <v>3.8</v>
      </c>
      <c r="X134">
        <v>3.8</v>
      </c>
      <c r="Y134">
        <v>10.199999999999999</v>
      </c>
    </row>
    <row r="135" spans="1:25" ht="60" customHeight="1" x14ac:dyDescent="0.25">
      <c r="A135"/>
      <c r="B135" t="s">
        <v>3367</v>
      </c>
      <c r="C135" t="s">
        <v>3369</v>
      </c>
      <c r="D135" t="s">
        <v>631</v>
      </c>
      <c r="E135" t="s">
        <v>2947</v>
      </c>
      <c r="F135" t="s">
        <v>2948</v>
      </c>
      <c r="G135" t="s">
        <v>1506</v>
      </c>
      <c r="H135" s="30">
        <v>21.43</v>
      </c>
      <c r="I135" s="29">
        <f>H135*(1-IFERROR(VLOOKUP(G135,Rabat!$D$10:$E$41,2,FALSE),0))</f>
        <v>21.43</v>
      </c>
      <c r="J135" t="s">
        <v>1904</v>
      </c>
      <c r="K135" t="s">
        <v>2976</v>
      </c>
      <c r="L135" t="s">
        <v>1901</v>
      </c>
      <c r="M135">
        <v>100</v>
      </c>
      <c r="N135">
        <v>3600</v>
      </c>
      <c r="O135" t="s">
        <v>3434</v>
      </c>
      <c r="P135" s="31" t="str">
        <f>HYPERLINK("https://b2b.kobi.pl/pl/product/12904,zarowka-led-mb-8-5w-e14-6000k-kobi-premium?currency=PLN")</f>
        <v>https://b2b.kobi.pl/pl/product/12904,zarowka-led-mb-8-5w-e14-6000k-kobi-premium?currency=PLN</v>
      </c>
      <c r="Q135" s="31" t="str">
        <f>HYPERLINK("https://eprel.ec.europa.eu/qr/2420110")</f>
        <v>https://eprel.ec.europa.eu/qr/2420110</v>
      </c>
      <c r="R135"/>
      <c r="S135" t="s">
        <v>2673</v>
      </c>
      <c r="T135"/>
      <c r="U135">
        <v>0.05</v>
      </c>
      <c r="V135">
        <v>6.5000000000000002E-2</v>
      </c>
      <c r="W135">
        <v>5</v>
      </c>
      <c r="X135">
        <v>5</v>
      </c>
      <c r="Y135">
        <v>10.5</v>
      </c>
    </row>
    <row r="136" spans="1:25" ht="60" customHeight="1" x14ac:dyDescent="0.25">
      <c r="A136"/>
      <c r="B136" t="s">
        <v>3367</v>
      </c>
      <c r="C136" t="s">
        <v>3369</v>
      </c>
      <c r="D136" t="s">
        <v>643</v>
      </c>
      <c r="E136" t="s">
        <v>1771</v>
      </c>
      <c r="F136" t="s">
        <v>1772</v>
      </c>
      <c r="G136" t="s">
        <v>1506</v>
      </c>
      <c r="H136" s="30">
        <v>7.93</v>
      </c>
      <c r="I136" s="29">
        <f>H136*(1-IFERROR(VLOOKUP(G136,Rabat!$D$10:$E$41,2,FALSE),0))</f>
        <v>7.93</v>
      </c>
      <c r="J136" t="s">
        <v>1903</v>
      </c>
      <c r="K136" t="s">
        <v>123</v>
      </c>
      <c r="L136" t="s">
        <v>1901</v>
      </c>
      <c r="M136">
        <v>100</v>
      </c>
      <c r="N136">
        <v>6000</v>
      </c>
      <c r="O136" t="s">
        <v>3434</v>
      </c>
      <c r="P136" s="31" t="str">
        <f>HYPERLINK("https://b2b.kobi.pl/pl/product/9700,zarowka-led-sw-4-5w-e14-4000k-kobi?currency=PLN")</f>
        <v>https://b2b.kobi.pl/pl/product/9700,zarowka-led-sw-4-5w-e14-4000k-kobi?currency=PLN</v>
      </c>
      <c r="Q136" s="31" t="str">
        <f>HYPERLINK("https://eprel.ec.europa.eu/qr/660762")</f>
        <v>https://eprel.ec.europa.eu/qr/660762</v>
      </c>
      <c r="R136"/>
      <c r="S136" t="s">
        <v>2673</v>
      </c>
      <c r="T136"/>
      <c r="U136">
        <v>1.7999999999999999E-2</v>
      </c>
      <c r="V136">
        <v>2.0400000000000001E-2</v>
      </c>
      <c r="W136">
        <v>3.8</v>
      </c>
      <c r="X136">
        <v>3.8</v>
      </c>
      <c r="Y136">
        <v>10.199999999999999</v>
      </c>
    </row>
    <row r="137" spans="1:25" ht="60" customHeight="1" x14ac:dyDescent="0.25">
      <c r="A137"/>
      <c r="B137" t="s">
        <v>3367</v>
      </c>
      <c r="C137" t="s">
        <v>3369</v>
      </c>
      <c r="D137" t="s">
        <v>631</v>
      </c>
      <c r="E137" t="s">
        <v>2949</v>
      </c>
      <c r="F137" t="s">
        <v>2950</v>
      </c>
      <c r="G137" t="s">
        <v>1506</v>
      </c>
      <c r="H137" s="30">
        <v>21.43</v>
      </c>
      <c r="I137" s="29">
        <f>H137*(1-IFERROR(VLOOKUP(G137,Rabat!$D$10:$E$41,2,FALSE),0))</f>
        <v>21.43</v>
      </c>
      <c r="J137" t="s">
        <v>1904</v>
      </c>
      <c r="K137" t="s">
        <v>2977</v>
      </c>
      <c r="L137" t="s">
        <v>1901</v>
      </c>
      <c r="M137">
        <v>100</v>
      </c>
      <c r="N137">
        <v>3600</v>
      </c>
      <c r="O137" t="s">
        <v>3434</v>
      </c>
      <c r="P137" s="31" t="str">
        <f>HYPERLINK("https://b2b.kobi.pl/pl/product/12908,zarowka-led-mb-8-5w-e27-3000k-kobi-premium?currency=PLN")</f>
        <v>https://b2b.kobi.pl/pl/product/12908,zarowka-led-mb-8-5w-e27-3000k-kobi-premium?currency=PLN</v>
      </c>
      <c r="Q137" s="31" t="str">
        <f>HYPERLINK("https://eprel.ec.europa.eu/qr/2420170")</f>
        <v>https://eprel.ec.europa.eu/qr/2420170</v>
      </c>
      <c r="R137"/>
      <c r="S137" t="s">
        <v>2673</v>
      </c>
      <c r="T137"/>
      <c r="U137">
        <v>0.05</v>
      </c>
      <c r="V137">
        <v>6.5000000000000002E-2</v>
      </c>
      <c r="W137">
        <v>5</v>
      </c>
      <c r="X137">
        <v>5</v>
      </c>
      <c r="Y137">
        <v>10.5</v>
      </c>
    </row>
    <row r="138" spans="1:25" ht="60" customHeight="1" x14ac:dyDescent="0.25">
      <c r="A138"/>
      <c r="B138" t="s">
        <v>3367</v>
      </c>
      <c r="C138" t="s">
        <v>3369</v>
      </c>
      <c r="D138" t="s">
        <v>643</v>
      </c>
      <c r="E138" t="s">
        <v>1773</v>
      </c>
      <c r="F138" t="s">
        <v>1774</v>
      </c>
      <c r="G138" t="s">
        <v>1506</v>
      </c>
      <c r="H138" s="30">
        <v>7.93</v>
      </c>
      <c r="I138" s="29">
        <f>H138*(1-IFERROR(VLOOKUP(G138,Rabat!$D$10:$E$41,2,FALSE),0))</f>
        <v>7.93</v>
      </c>
      <c r="J138" t="s">
        <v>1903</v>
      </c>
      <c r="K138" t="s">
        <v>124</v>
      </c>
      <c r="L138" t="s">
        <v>1901</v>
      </c>
      <c r="M138">
        <v>100</v>
      </c>
      <c r="N138">
        <v>6000</v>
      </c>
      <c r="O138" t="s">
        <v>3434</v>
      </c>
      <c r="P138" s="31" t="str">
        <f>HYPERLINK("https://b2b.kobi.pl/pl/product/9701,zarowka-led-sw-4-5w-e14-6000k-kobi?currency=PLN")</f>
        <v>https://b2b.kobi.pl/pl/product/9701,zarowka-led-sw-4-5w-e14-6000k-kobi?currency=PLN</v>
      </c>
      <c r="Q138" s="31" t="str">
        <f>HYPERLINK("https://eprel.ec.europa.eu/qr/660763")</f>
        <v>https://eprel.ec.europa.eu/qr/660763</v>
      </c>
      <c r="R138"/>
      <c r="S138" t="s">
        <v>2673</v>
      </c>
      <c r="T138"/>
      <c r="U138">
        <v>1.7999999999999999E-2</v>
      </c>
      <c r="V138">
        <v>2.0400000000000001E-2</v>
      </c>
      <c r="W138">
        <v>3.8</v>
      </c>
      <c r="X138">
        <v>3.8</v>
      </c>
      <c r="Y138">
        <v>10.199999999999999</v>
      </c>
    </row>
    <row r="139" spans="1:25" ht="60" customHeight="1" x14ac:dyDescent="0.25">
      <c r="A139"/>
      <c r="B139" t="s">
        <v>3367</v>
      </c>
      <c r="C139" t="s">
        <v>3369</v>
      </c>
      <c r="D139" t="s">
        <v>631</v>
      </c>
      <c r="E139" t="s">
        <v>2951</v>
      </c>
      <c r="F139" t="s">
        <v>2952</v>
      </c>
      <c r="G139" t="s">
        <v>1506</v>
      </c>
      <c r="H139" s="30">
        <v>21.43</v>
      </c>
      <c r="I139" s="29">
        <f>H139*(1-IFERROR(VLOOKUP(G139,Rabat!$D$10:$E$41,2,FALSE),0))</f>
        <v>21.43</v>
      </c>
      <c r="J139" t="s">
        <v>1904</v>
      </c>
      <c r="K139" t="s">
        <v>2978</v>
      </c>
      <c r="L139" t="s">
        <v>1901</v>
      </c>
      <c r="M139">
        <v>100</v>
      </c>
      <c r="N139">
        <v>3600</v>
      </c>
      <c r="O139" t="s">
        <v>3434</v>
      </c>
      <c r="P139" s="31" t="str">
        <f>HYPERLINK("https://b2b.kobi.pl/pl/product/12909,zarowka-led-mb-8-5w-e27-4000k-kobi-premium?currency=PLN")</f>
        <v>https://b2b.kobi.pl/pl/product/12909,zarowka-led-mb-8-5w-e27-4000k-kobi-premium?currency=PLN</v>
      </c>
      <c r="Q139" s="31" t="str">
        <f>HYPERLINK("https://eprel.ec.europa.eu/qr/2420181")</f>
        <v>https://eprel.ec.europa.eu/qr/2420181</v>
      </c>
      <c r="R139"/>
      <c r="S139" t="s">
        <v>2673</v>
      </c>
      <c r="T139"/>
      <c r="U139">
        <v>0.05</v>
      </c>
      <c r="V139">
        <v>6.5000000000000002E-2</v>
      </c>
      <c r="W139">
        <v>5</v>
      </c>
      <c r="X139">
        <v>5</v>
      </c>
      <c r="Y139">
        <v>10.5</v>
      </c>
    </row>
    <row r="140" spans="1:25" ht="60" customHeight="1" x14ac:dyDescent="0.25">
      <c r="A140"/>
      <c r="B140" t="s">
        <v>3367</v>
      </c>
      <c r="C140" t="s">
        <v>3369</v>
      </c>
      <c r="D140" t="s">
        <v>643</v>
      </c>
      <c r="E140" t="s">
        <v>1775</v>
      </c>
      <c r="F140" t="s">
        <v>1776</v>
      </c>
      <c r="G140" t="s">
        <v>1506</v>
      </c>
      <c r="H140" s="30">
        <v>8.8800000000000008</v>
      </c>
      <c r="I140" s="29">
        <f>H140*(1-IFERROR(VLOOKUP(G140,Rabat!$D$10:$E$41,2,FALSE),0))</f>
        <v>8.8800000000000008</v>
      </c>
      <c r="J140" t="s">
        <v>1905</v>
      </c>
      <c r="K140" t="s">
        <v>125</v>
      </c>
      <c r="L140" t="s">
        <v>1901</v>
      </c>
      <c r="M140">
        <v>100</v>
      </c>
      <c r="N140">
        <v>6000</v>
      </c>
      <c r="O140" t="s">
        <v>3434</v>
      </c>
      <c r="P140" s="31" t="str">
        <f>HYPERLINK("https://b2b.kobi.pl/pl/product/9702,zarowka-led-sw-6w-e14-3000k-kobi?currency=PLN")</f>
        <v>https://b2b.kobi.pl/pl/product/9702,zarowka-led-sw-6w-e14-3000k-kobi?currency=PLN</v>
      </c>
      <c r="Q140" s="31" t="str">
        <f>HYPERLINK("https://eprel.ec.europa.eu/qr/660765")</f>
        <v>https://eprel.ec.europa.eu/qr/660765</v>
      </c>
      <c r="R140"/>
      <c r="S140" t="s">
        <v>2673</v>
      </c>
      <c r="T140"/>
      <c r="U140">
        <v>1.7999999999999999E-2</v>
      </c>
      <c r="V140">
        <v>2.0799999999999999E-2</v>
      </c>
      <c r="W140">
        <v>3.8</v>
      </c>
      <c r="X140">
        <v>3.8</v>
      </c>
      <c r="Y140">
        <v>10.199999999999999</v>
      </c>
    </row>
    <row r="141" spans="1:25" ht="60" customHeight="1" x14ac:dyDescent="0.25">
      <c r="A141"/>
      <c r="B141" t="s">
        <v>3367</v>
      </c>
      <c r="C141" t="s">
        <v>3369</v>
      </c>
      <c r="D141" t="s">
        <v>631</v>
      </c>
      <c r="E141" t="s">
        <v>2953</v>
      </c>
      <c r="F141" t="s">
        <v>2954</v>
      </c>
      <c r="G141" t="s">
        <v>1506</v>
      </c>
      <c r="H141" s="30">
        <v>21.43</v>
      </c>
      <c r="I141" s="29">
        <f>H141*(1-IFERROR(VLOOKUP(G141,Rabat!$D$10:$E$41,2,FALSE),0))</f>
        <v>21.43</v>
      </c>
      <c r="J141" t="s">
        <v>1904</v>
      </c>
      <c r="K141" t="s">
        <v>2979</v>
      </c>
      <c r="L141" t="s">
        <v>1901</v>
      </c>
      <c r="M141">
        <v>100</v>
      </c>
      <c r="N141">
        <v>3600</v>
      </c>
      <c r="O141" t="s">
        <v>3434</v>
      </c>
      <c r="P141" s="31" t="str">
        <f>HYPERLINK("https://b2b.kobi.pl/pl/product/12910,zarowka-led-mb-8-5w-e27-6000k-kobi-premium?currency=PLN")</f>
        <v>https://b2b.kobi.pl/pl/product/12910,zarowka-led-mb-8-5w-e27-6000k-kobi-premium?currency=PLN</v>
      </c>
      <c r="Q141" s="31" t="str">
        <f>HYPERLINK("https://eprel.ec.europa.eu/qr/2420184")</f>
        <v>https://eprel.ec.europa.eu/qr/2420184</v>
      </c>
      <c r="R141"/>
      <c r="S141" t="s">
        <v>2673</v>
      </c>
      <c r="T141"/>
      <c r="U141">
        <v>0.05</v>
      </c>
      <c r="V141">
        <v>6.5000000000000002E-2</v>
      </c>
      <c r="W141">
        <v>5</v>
      </c>
      <c r="X141">
        <v>5</v>
      </c>
      <c r="Y141">
        <v>10.5</v>
      </c>
    </row>
    <row r="142" spans="1:25" ht="60" customHeight="1" x14ac:dyDescent="0.25">
      <c r="A142"/>
      <c r="B142" t="s">
        <v>3367</v>
      </c>
      <c r="C142" t="s">
        <v>3369</v>
      </c>
      <c r="D142" t="s">
        <v>643</v>
      </c>
      <c r="E142" t="s">
        <v>1777</v>
      </c>
      <c r="F142" t="s">
        <v>1778</v>
      </c>
      <c r="G142" t="s">
        <v>1506</v>
      </c>
      <c r="H142" s="30">
        <v>8.8800000000000008</v>
      </c>
      <c r="I142" s="29">
        <f>H142*(1-IFERROR(VLOOKUP(G142,Rabat!$D$10:$E$41,2,FALSE),0))</f>
        <v>8.8800000000000008</v>
      </c>
      <c r="J142" t="s">
        <v>1905</v>
      </c>
      <c r="K142" t="s">
        <v>126</v>
      </c>
      <c r="L142" t="s">
        <v>1901</v>
      </c>
      <c r="M142">
        <v>100</v>
      </c>
      <c r="N142">
        <v>6000</v>
      </c>
      <c r="O142" t="s">
        <v>3434</v>
      </c>
      <c r="P142" s="31" t="str">
        <f>HYPERLINK("https://b2b.kobi.pl/pl/product/9703,zarowka-led-sw-6w-e14-4000k-kobi?currency=PLN")</f>
        <v>https://b2b.kobi.pl/pl/product/9703,zarowka-led-sw-6w-e14-4000k-kobi?currency=PLN</v>
      </c>
      <c r="Q142" s="31" t="str">
        <f>HYPERLINK("https://eprel.ec.europa.eu/qr/660766")</f>
        <v>https://eprel.ec.europa.eu/qr/660766</v>
      </c>
      <c r="R142"/>
      <c r="S142" t="s">
        <v>2673</v>
      </c>
      <c r="T142"/>
      <c r="U142">
        <v>1.7999999999999999E-2</v>
      </c>
      <c r="V142">
        <v>2.0799999999999999E-2</v>
      </c>
      <c r="W142">
        <v>3.8</v>
      </c>
      <c r="X142">
        <v>3.8</v>
      </c>
      <c r="Y142">
        <v>10.199999999999999</v>
      </c>
    </row>
    <row r="143" spans="1:25" ht="60" customHeight="1" x14ac:dyDescent="0.25">
      <c r="A143"/>
      <c r="B143" t="s">
        <v>3367</v>
      </c>
      <c r="C143" t="s">
        <v>3369</v>
      </c>
      <c r="D143" t="s">
        <v>643</v>
      </c>
      <c r="E143" t="s">
        <v>1779</v>
      </c>
      <c r="F143" t="s">
        <v>1780</v>
      </c>
      <c r="G143" t="s">
        <v>1506</v>
      </c>
      <c r="H143" s="30">
        <v>8.8800000000000008</v>
      </c>
      <c r="I143" s="29">
        <f>H143*(1-IFERROR(VLOOKUP(G143,Rabat!$D$10:$E$41,2,FALSE),0))</f>
        <v>8.8800000000000008</v>
      </c>
      <c r="J143" t="s">
        <v>1905</v>
      </c>
      <c r="K143" t="s">
        <v>127</v>
      </c>
      <c r="L143" t="s">
        <v>1901</v>
      </c>
      <c r="M143">
        <v>100</v>
      </c>
      <c r="N143">
        <v>6000</v>
      </c>
      <c r="O143" t="s">
        <v>3434</v>
      </c>
      <c r="P143" s="31" t="str">
        <f>HYPERLINK("https://b2b.kobi.pl/pl/product/9704,zarowka-led-sw-6w-e14-6000k-kobi?currency=PLN")</f>
        <v>https://b2b.kobi.pl/pl/product/9704,zarowka-led-sw-6w-e14-6000k-kobi?currency=PLN</v>
      </c>
      <c r="Q143" s="31" t="str">
        <f>HYPERLINK("https://eprel.ec.europa.eu/qr/660767")</f>
        <v>https://eprel.ec.europa.eu/qr/660767</v>
      </c>
      <c r="R143"/>
      <c r="S143" t="s">
        <v>2673</v>
      </c>
      <c r="T143"/>
      <c r="U143">
        <v>1.7999999999999999E-2</v>
      </c>
      <c r="V143">
        <v>2.0799999999999999E-2</v>
      </c>
      <c r="W143">
        <v>3.8</v>
      </c>
      <c r="X143">
        <v>3.8</v>
      </c>
      <c r="Y143">
        <v>10.199999999999999</v>
      </c>
    </row>
    <row r="144" spans="1:25" ht="60" customHeight="1" x14ac:dyDescent="0.25">
      <c r="A144"/>
      <c r="B144" t="s">
        <v>3367</v>
      </c>
      <c r="C144" t="s">
        <v>3369</v>
      </c>
      <c r="D144" t="s">
        <v>643</v>
      </c>
      <c r="E144" t="s">
        <v>1781</v>
      </c>
      <c r="F144" t="s">
        <v>1782</v>
      </c>
      <c r="G144" t="s">
        <v>1506</v>
      </c>
      <c r="H144" s="30">
        <v>8.8800000000000008</v>
      </c>
      <c r="I144" s="29">
        <f>H144*(1-IFERROR(VLOOKUP(G144,Rabat!$D$10:$E$41,2,FALSE),0))</f>
        <v>8.8800000000000008</v>
      </c>
      <c r="J144" t="s">
        <v>1905</v>
      </c>
      <c r="K144" t="s">
        <v>131</v>
      </c>
      <c r="L144" t="s">
        <v>1901</v>
      </c>
      <c r="M144">
        <v>100</v>
      </c>
      <c r="N144">
        <v>5600</v>
      </c>
      <c r="O144" t="s">
        <v>3434</v>
      </c>
      <c r="P144" s="31" t="str">
        <f>HYPERLINK("https://b2b.kobi.pl/pl/product/9711,zarowka-led-sw-6w-e27-3000k-kobi?currency=PLN")</f>
        <v>https://b2b.kobi.pl/pl/product/9711,zarowka-led-sw-6w-e27-3000k-kobi?currency=PLN</v>
      </c>
      <c r="Q144" s="31" t="str">
        <f>HYPERLINK("https://eprel.ec.europa.eu/qr/660782")</f>
        <v>https://eprel.ec.europa.eu/qr/660782</v>
      </c>
      <c r="R144"/>
      <c r="S144" t="s">
        <v>2673</v>
      </c>
      <c r="T144"/>
      <c r="U144">
        <v>0.02</v>
      </c>
      <c r="V144">
        <v>2.9000000000000001E-2</v>
      </c>
      <c r="W144">
        <v>4</v>
      </c>
      <c r="X144">
        <v>3.8</v>
      </c>
      <c r="Y144">
        <v>10.6</v>
      </c>
    </row>
    <row r="145" spans="1:25" ht="60" customHeight="1" x14ac:dyDescent="0.25">
      <c r="A145"/>
      <c r="B145" t="s">
        <v>3367</v>
      </c>
      <c r="C145" t="s">
        <v>3369</v>
      </c>
      <c r="D145" t="s">
        <v>643</v>
      </c>
      <c r="E145" t="s">
        <v>1783</v>
      </c>
      <c r="F145" t="s">
        <v>1784</v>
      </c>
      <c r="G145" t="s">
        <v>1506</v>
      </c>
      <c r="H145" s="30">
        <v>8.8800000000000008</v>
      </c>
      <c r="I145" s="29">
        <f>H145*(1-IFERROR(VLOOKUP(G145,Rabat!$D$10:$E$41,2,FALSE),0))</f>
        <v>8.8800000000000008</v>
      </c>
      <c r="J145" t="s">
        <v>1905</v>
      </c>
      <c r="K145" t="s">
        <v>132</v>
      </c>
      <c r="L145" t="s">
        <v>1901</v>
      </c>
      <c r="M145">
        <v>100</v>
      </c>
      <c r="N145">
        <v>5600</v>
      </c>
      <c r="O145" t="s">
        <v>3434</v>
      </c>
      <c r="P145" s="31" t="str">
        <f>HYPERLINK("https://b2b.kobi.pl/pl/product/9712,zarowka-led-sw-6w-e27-4000k-kobi?currency=PLN")</f>
        <v>https://b2b.kobi.pl/pl/product/9712,zarowka-led-sw-6w-e27-4000k-kobi?currency=PLN</v>
      </c>
      <c r="Q145" s="31" t="str">
        <f>HYPERLINK("https://eprel.ec.europa.eu/qr/660784")</f>
        <v>https://eprel.ec.europa.eu/qr/660784</v>
      </c>
      <c r="R145"/>
      <c r="S145" t="s">
        <v>2673</v>
      </c>
      <c r="T145"/>
      <c r="U145">
        <v>0.02</v>
      </c>
      <c r="V145">
        <v>2.9000000000000001E-2</v>
      </c>
      <c r="W145">
        <v>3.8</v>
      </c>
      <c r="X145">
        <v>3.8</v>
      </c>
      <c r="Y145">
        <v>10.6</v>
      </c>
    </row>
    <row r="146" spans="1:25" ht="60" customHeight="1" x14ac:dyDescent="0.25">
      <c r="A146"/>
      <c r="B146" t="s">
        <v>3367</v>
      </c>
      <c r="C146" t="s">
        <v>3369</v>
      </c>
      <c r="D146" t="s">
        <v>643</v>
      </c>
      <c r="E146" t="s">
        <v>1785</v>
      </c>
      <c r="F146" t="s">
        <v>1786</v>
      </c>
      <c r="G146" t="s">
        <v>1506</v>
      </c>
      <c r="H146" s="30">
        <v>8.8800000000000008</v>
      </c>
      <c r="I146" s="29">
        <f>H146*(1-IFERROR(VLOOKUP(G146,Rabat!$D$10:$E$41,2,FALSE),0))</f>
        <v>8.8800000000000008</v>
      </c>
      <c r="J146" t="s">
        <v>1905</v>
      </c>
      <c r="K146" t="s">
        <v>133</v>
      </c>
      <c r="L146" t="s">
        <v>1901</v>
      </c>
      <c r="M146">
        <v>100</v>
      </c>
      <c r="N146">
        <v>7000</v>
      </c>
      <c r="O146" t="s">
        <v>3434</v>
      </c>
      <c r="P146" s="31" t="str">
        <f>HYPERLINK("https://b2b.kobi.pl/pl/product/9713,zarowka-led-sw-6w-e27-6000k-kobi?currency=PLN")</f>
        <v>https://b2b.kobi.pl/pl/product/9713,zarowka-led-sw-6w-e27-6000k-kobi?currency=PLN</v>
      </c>
      <c r="Q146" s="31" t="str">
        <f>HYPERLINK("https://eprel.ec.europa.eu/qr/660786")</f>
        <v>https://eprel.ec.europa.eu/qr/660786</v>
      </c>
      <c r="R146"/>
      <c r="S146" t="s">
        <v>2673</v>
      </c>
      <c r="T146"/>
      <c r="U146">
        <v>0.02</v>
      </c>
      <c r="V146">
        <v>2.9000000000000001E-2</v>
      </c>
      <c r="W146">
        <v>3.8</v>
      </c>
      <c r="X146">
        <v>3.8</v>
      </c>
      <c r="Y146">
        <v>10.6</v>
      </c>
    </row>
    <row r="147" spans="1:25" ht="60" customHeight="1" x14ac:dyDescent="0.25">
      <c r="A147"/>
      <c r="B147" t="s">
        <v>3367</v>
      </c>
      <c r="C147" t="s">
        <v>3369</v>
      </c>
      <c r="D147" t="s">
        <v>17</v>
      </c>
      <c r="E147" t="s">
        <v>1787</v>
      </c>
      <c r="F147" t="s">
        <v>1788</v>
      </c>
      <c r="G147" t="s">
        <v>1506</v>
      </c>
      <c r="H147" s="30">
        <v>5.71</v>
      </c>
      <c r="I147" s="29">
        <f>H147*(1-IFERROR(VLOOKUP(G147,Rabat!$D$10:$E$41,2,FALSE),0))</f>
        <v>5.71</v>
      </c>
      <c r="J147" t="s">
        <v>1903</v>
      </c>
      <c r="K147" t="s">
        <v>134</v>
      </c>
      <c r="L147" t="s">
        <v>1901</v>
      </c>
      <c r="M147">
        <v>100</v>
      </c>
      <c r="N147">
        <v>6000</v>
      </c>
      <c r="O147" t="s">
        <v>3434</v>
      </c>
      <c r="P147" s="31" t="str">
        <f>HYPERLINK("https://b2b.kobi.pl/pl/product/9638,zarowka-led-sw-7w-e27-3000k-led2b?currency=PLN")</f>
        <v>https://b2b.kobi.pl/pl/product/9638,zarowka-led-sw-7w-e27-3000k-led2b?currency=PLN</v>
      </c>
      <c r="Q147" s="31" t="str">
        <f>HYPERLINK("https://eprel.ec.europa.eu/qr/660526")</f>
        <v>https://eprel.ec.europa.eu/qr/660526</v>
      </c>
      <c r="R147" t="s">
        <v>2035</v>
      </c>
      <c r="S147" t="s">
        <v>2673</v>
      </c>
      <c r="T147"/>
      <c r="U147">
        <v>1.9E-2</v>
      </c>
      <c r="V147">
        <v>2.9000000000000001E-2</v>
      </c>
      <c r="W147">
        <v>4.5</v>
      </c>
      <c r="X147">
        <v>8.5</v>
      </c>
      <c r="Y147">
        <v>4.5</v>
      </c>
    </row>
    <row r="148" spans="1:25" ht="60" customHeight="1" x14ac:dyDescent="0.25">
      <c r="A148"/>
      <c r="B148" t="s">
        <v>3367</v>
      </c>
      <c r="C148" t="s">
        <v>3369</v>
      </c>
      <c r="D148" t="s">
        <v>17</v>
      </c>
      <c r="E148" t="s">
        <v>1789</v>
      </c>
      <c r="F148" t="s">
        <v>1790</v>
      </c>
      <c r="G148" t="s">
        <v>1506</v>
      </c>
      <c r="H148" s="30">
        <v>5.71</v>
      </c>
      <c r="I148" s="29">
        <f>H148*(1-IFERROR(VLOOKUP(G148,Rabat!$D$10:$E$41,2,FALSE),0))</f>
        <v>5.71</v>
      </c>
      <c r="J148" t="s">
        <v>1903</v>
      </c>
      <c r="K148" t="s">
        <v>135</v>
      </c>
      <c r="L148" t="s">
        <v>1901</v>
      </c>
      <c r="M148">
        <v>100</v>
      </c>
      <c r="N148">
        <v>6000</v>
      </c>
      <c r="O148" t="s">
        <v>3434</v>
      </c>
      <c r="P148" s="31" t="str">
        <f>HYPERLINK("https://b2b.kobi.pl/pl/product/9640,zarowka-led-sw-7w-e27-6500k-led2b?currency=PLN")</f>
        <v>https://b2b.kobi.pl/pl/product/9640,zarowka-led-sw-7w-e27-6500k-led2b?currency=PLN</v>
      </c>
      <c r="Q148" s="31" t="str">
        <f>HYPERLINK("https://eprel.ec.europa.eu/qr/660609")</f>
        <v>https://eprel.ec.europa.eu/qr/660609</v>
      </c>
      <c r="R148" t="s">
        <v>2035</v>
      </c>
      <c r="S148" t="s">
        <v>2673</v>
      </c>
      <c r="T148"/>
      <c r="U148">
        <v>1.9E-2</v>
      </c>
      <c r="V148">
        <v>2.9000000000000001E-2</v>
      </c>
      <c r="W148">
        <v>4.5</v>
      </c>
      <c r="X148">
        <v>8.5</v>
      </c>
      <c r="Y148">
        <v>4.5</v>
      </c>
    </row>
    <row r="149" spans="1:25" ht="60" customHeight="1" x14ac:dyDescent="0.25">
      <c r="A149"/>
      <c r="B149" t="s">
        <v>3367</v>
      </c>
      <c r="C149" t="s">
        <v>3369</v>
      </c>
      <c r="D149" t="s">
        <v>17</v>
      </c>
      <c r="E149" t="s">
        <v>1791</v>
      </c>
      <c r="F149" t="s">
        <v>1792</v>
      </c>
      <c r="G149" t="s">
        <v>1506</v>
      </c>
      <c r="H149" s="30">
        <v>8.02</v>
      </c>
      <c r="I149" s="29">
        <f>H149*(1-IFERROR(VLOOKUP(G149,Rabat!$D$10:$E$41,2,FALSE),0))</f>
        <v>8.02</v>
      </c>
      <c r="J149" t="s">
        <v>1903</v>
      </c>
      <c r="K149" t="s">
        <v>497</v>
      </c>
      <c r="L149" t="s">
        <v>1901</v>
      </c>
      <c r="M149">
        <v>100</v>
      </c>
      <c r="N149">
        <v>6000</v>
      </c>
      <c r="O149" t="s">
        <v>3434</v>
      </c>
      <c r="P149" s="31" t="str">
        <f>HYPERLINK("https://b2b.kobi.pl/pl/product/9635,zarowka-led-sw-8-5w-e14-3000k-led2b?currency=PLN")</f>
        <v>https://b2b.kobi.pl/pl/product/9635,zarowka-led-sw-8-5w-e14-3000k-led2b?currency=PLN</v>
      </c>
      <c r="Q149" s="31" t="str">
        <f>HYPERLINK("https://eprel.ec.europa.eu/qr/2044603")</f>
        <v>https://eprel.ec.europa.eu/qr/2044603</v>
      </c>
      <c r="R149"/>
      <c r="S149" t="s">
        <v>2673</v>
      </c>
      <c r="T149"/>
      <c r="U149">
        <v>0.02</v>
      </c>
      <c r="V149">
        <v>2.5000000000000001E-2</v>
      </c>
      <c r="W149">
        <v>3.9</v>
      </c>
      <c r="X149">
        <v>3.9</v>
      </c>
      <c r="Y149">
        <v>11.2</v>
      </c>
    </row>
    <row r="150" spans="1:25" ht="60" customHeight="1" x14ac:dyDescent="0.25">
      <c r="A150"/>
      <c r="B150" t="s">
        <v>3367</v>
      </c>
      <c r="C150" t="s">
        <v>3369</v>
      </c>
      <c r="D150" t="s">
        <v>17</v>
      </c>
      <c r="E150" t="s">
        <v>1793</v>
      </c>
      <c r="F150" t="s">
        <v>1794</v>
      </c>
      <c r="G150" t="s">
        <v>1506</v>
      </c>
      <c r="H150" s="30">
        <v>8.02</v>
      </c>
      <c r="I150" s="29">
        <f>H150*(1-IFERROR(VLOOKUP(G150,Rabat!$D$10:$E$41,2,FALSE),0))</f>
        <v>8.02</v>
      </c>
      <c r="J150" t="s">
        <v>1903</v>
      </c>
      <c r="K150" t="s">
        <v>498</v>
      </c>
      <c r="L150" t="s">
        <v>1901</v>
      </c>
      <c r="M150">
        <v>100</v>
      </c>
      <c r="N150">
        <v>6000</v>
      </c>
      <c r="O150" t="s">
        <v>3434</v>
      </c>
      <c r="P150" s="31" t="str">
        <f>HYPERLINK("https://b2b.kobi.pl/pl/product/9636,zarowka-led-sw-8-5w-e14-4000k-led2b?currency=PLN")</f>
        <v>https://b2b.kobi.pl/pl/product/9636,zarowka-led-sw-8-5w-e14-4000k-led2b?currency=PLN</v>
      </c>
      <c r="Q150" s="31" t="str">
        <f>HYPERLINK("https://eprel.ec.europa.eu/qr/2044637")</f>
        <v>https://eprel.ec.europa.eu/qr/2044637</v>
      </c>
      <c r="R150"/>
      <c r="S150" t="s">
        <v>2673</v>
      </c>
      <c r="T150"/>
      <c r="U150">
        <v>0.02</v>
      </c>
      <c r="V150">
        <v>2.5000000000000001E-2</v>
      </c>
      <c r="W150">
        <v>3.9</v>
      </c>
      <c r="X150">
        <v>3.9</v>
      </c>
      <c r="Y150">
        <v>11.2</v>
      </c>
    </row>
    <row r="151" spans="1:25" ht="60" customHeight="1" x14ac:dyDescent="0.25">
      <c r="A151"/>
      <c r="B151" t="s">
        <v>3367</v>
      </c>
      <c r="C151" t="s">
        <v>3369</v>
      </c>
      <c r="D151" t="s">
        <v>17</v>
      </c>
      <c r="E151" t="s">
        <v>1795</v>
      </c>
      <c r="F151" t="s">
        <v>1796</v>
      </c>
      <c r="G151" t="s">
        <v>1506</v>
      </c>
      <c r="H151" s="30">
        <v>8.02</v>
      </c>
      <c r="I151" s="29">
        <f>H151*(1-IFERROR(VLOOKUP(G151,Rabat!$D$10:$E$41,2,FALSE),0))</f>
        <v>8.02</v>
      </c>
      <c r="J151" t="s">
        <v>1903</v>
      </c>
      <c r="K151" t="s">
        <v>499</v>
      </c>
      <c r="L151" t="s">
        <v>1901</v>
      </c>
      <c r="M151">
        <v>100</v>
      </c>
      <c r="N151">
        <v>6000</v>
      </c>
      <c r="O151" t="s">
        <v>3434</v>
      </c>
      <c r="P151" s="31" t="str">
        <f>HYPERLINK("https://b2b.kobi.pl/pl/product/9637,zarowka-led-sw-8-5w-e14-6500k-led2b?currency=PLN")</f>
        <v>https://b2b.kobi.pl/pl/product/9637,zarowka-led-sw-8-5w-e14-6500k-led2b?currency=PLN</v>
      </c>
      <c r="Q151" s="31" t="str">
        <f>HYPERLINK("https://eprel.ec.europa.eu/qr/2044649")</f>
        <v>https://eprel.ec.europa.eu/qr/2044649</v>
      </c>
      <c r="R151"/>
      <c r="S151" t="s">
        <v>2673</v>
      </c>
      <c r="T151"/>
      <c r="U151">
        <v>0.02</v>
      </c>
      <c r="V151">
        <v>2.5000000000000001E-2</v>
      </c>
      <c r="W151">
        <v>3.9</v>
      </c>
      <c r="X151">
        <v>3.9</v>
      </c>
      <c r="Y151">
        <v>11.2</v>
      </c>
    </row>
    <row r="152" spans="1:25" ht="60" customHeight="1" x14ac:dyDescent="0.25">
      <c r="A152"/>
      <c r="B152" t="s">
        <v>3367</v>
      </c>
      <c r="C152" t="s">
        <v>3369</v>
      </c>
      <c r="D152" t="s">
        <v>17</v>
      </c>
      <c r="E152" t="s">
        <v>1797</v>
      </c>
      <c r="F152" t="s">
        <v>1798</v>
      </c>
      <c r="G152" t="s">
        <v>1506</v>
      </c>
      <c r="H152" s="30">
        <v>8.02</v>
      </c>
      <c r="I152" s="29">
        <f>H152*(1-IFERROR(VLOOKUP(G152,Rabat!$D$10:$E$41,2,FALSE),0))</f>
        <v>8.02</v>
      </c>
      <c r="J152" t="s">
        <v>1903</v>
      </c>
      <c r="K152" t="s">
        <v>500</v>
      </c>
      <c r="L152" t="s">
        <v>1901</v>
      </c>
      <c r="M152">
        <v>100</v>
      </c>
      <c r="N152">
        <v>6000</v>
      </c>
      <c r="O152" t="s">
        <v>3434</v>
      </c>
      <c r="P152" s="31" t="str">
        <f>HYPERLINK("https://b2b.kobi.pl/pl/product/9641,zarowka-led-sw-8-5w-e27-3000k-led2b?currency=PLN")</f>
        <v>https://b2b.kobi.pl/pl/product/9641,zarowka-led-sw-8-5w-e27-3000k-led2b?currency=PLN</v>
      </c>
      <c r="Q152" s="31" t="str">
        <f>HYPERLINK("https://eprel.ec.europa.eu/qr/2044603")</f>
        <v>https://eprel.ec.europa.eu/qr/2044603</v>
      </c>
      <c r="R152"/>
      <c r="S152" t="s">
        <v>2673</v>
      </c>
      <c r="T152"/>
      <c r="U152">
        <v>0.02</v>
      </c>
      <c r="V152">
        <v>2.5999999999999999E-2</v>
      </c>
      <c r="W152">
        <v>3.9</v>
      </c>
      <c r="X152">
        <v>3.9</v>
      </c>
      <c r="Y152">
        <v>11.2</v>
      </c>
    </row>
    <row r="153" spans="1:25" ht="60" customHeight="1" x14ac:dyDescent="0.25">
      <c r="A153"/>
      <c r="B153" t="s">
        <v>3367</v>
      </c>
      <c r="C153" t="s">
        <v>3369</v>
      </c>
      <c r="D153" t="s">
        <v>17</v>
      </c>
      <c r="E153" t="s">
        <v>1799</v>
      </c>
      <c r="F153" t="s">
        <v>1800</v>
      </c>
      <c r="G153" t="s">
        <v>1506</v>
      </c>
      <c r="H153" s="30">
        <v>8.02</v>
      </c>
      <c r="I153" s="29">
        <f>H153*(1-IFERROR(VLOOKUP(G153,Rabat!$D$10:$E$41,2,FALSE),0))</f>
        <v>8.02</v>
      </c>
      <c r="J153" t="s">
        <v>1903</v>
      </c>
      <c r="K153" t="s">
        <v>501</v>
      </c>
      <c r="L153" t="s">
        <v>1901</v>
      </c>
      <c r="M153">
        <v>100</v>
      </c>
      <c r="N153">
        <v>6000</v>
      </c>
      <c r="O153" t="s">
        <v>3434</v>
      </c>
      <c r="P153" s="31" t="str">
        <f>HYPERLINK("https://b2b.kobi.pl/pl/product/9642,zarowka-led-sw-8-5w-e27-4000k-led2b?currency=PLN")</f>
        <v>https://b2b.kobi.pl/pl/product/9642,zarowka-led-sw-8-5w-e27-4000k-led2b?currency=PLN</v>
      </c>
      <c r="Q153" s="31" t="str">
        <f>HYPERLINK("https://eprel.ec.europa.eu/qr/2044637")</f>
        <v>https://eprel.ec.europa.eu/qr/2044637</v>
      </c>
      <c r="R153"/>
      <c r="S153" t="s">
        <v>2673</v>
      </c>
      <c r="T153"/>
      <c r="U153">
        <v>0.02</v>
      </c>
      <c r="V153">
        <v>2.5999999999999999E-2</v>
      </c>
      <c r="W153">
        <v>3.9</v>
      </c>
      <c r="X153">
        <v>3.9</v>
      </c>
      <c r="Y153">
        <v>11.2</v>
      </c>
    </row>
    <row r="154" spans="1:25" ht="60" customHeight="1" x14ac:dyDescent="0.25">
      <c r="A154"/>
      <c r="B154" t="s">
        <v>3367</v>
      </c>
      <c r="C154" t="s">
        <v>3369</v>
      </c>
      <c r="D154" t="s">
        <v>17</v>
      </c>
      <c r="E154" t="s">
        <v>1801</v>
      </c>
      <c r="F154" t="s">
        <v>1802</v>
      </c>
      <c r="G154" t="s">
        <v>1506</v>
      </c>
      <c r="H154" s="30">
        <v>8.02</v>
      </c>
      <c r="I154" s="29">
        <f>H154*(1-IFERROR(VLOOKUP(G154,Rabat!$D$10:$E$41,2,FALSE),0))</f>
        <v>8.02</v>
      </c>
      <c r="J154" t="s">
        <v>1903</v>
      </c>
      <c r="K154" t="s">
        <v>502</v>
      </c>
      <c r="L154" t="s">
        <v>1901</v>
      </c>
      <c r="M154">
        <v>100</v>
      </c>
      <c r="N154">
        <v>6000</v>
      </c>
      <c r="O154" t="s">
        <v>3434</v>
      </c>
      <c r="P154" s="31" t="str">
        <f>HYPERLINK("https://b2b.kobi.pl/pl/product/9643,zarowka-led-sw-8-5w-e27-6500k-led2b?currency=PLN")</f>
        <v>https://b2b.kobi.pl/pl/product/9643,zarowka-led-sw-8-5w-e27-6500k-led2b?currency=PLN</v>
      </c>
      <c r="Q154" s="31" t="str">
        <f>HYPERLINK("https://eprel.ec.europa.eu/qr/2044603")</f>
        <v>https://eprel.ec.europa.eu/qr/2044603</v>
      </c>
      <c r="R154"/>
      <c r="S154" t="s">
        <v>2673</v>
      </c>
      <c r="T154"/>
      <c r="U154">
        <v>0.02</v>
      </c>
      <c r="V154">
        <v>2.5999999999999999E-2</v>
      </c>
      <c r="W154">
        <v>3.9</v>
      </c>
      <c r="X154">
        <v>3.9</v>
      </c>
      <c r="Y154">
        <v>11.2</v>
      </c>
    </row>
    <row r="155" spans="1:25" ht="60" customHeight="1" x14ac:dyDescent="0.25">
      <c r="A155"/>
      <c r="B155" t="s">
        <v>3367</v>
      </c>
      <c r="C155" t="s">
        <v>3369</v>
      </c>
      <c r="D155" t="s">
        <v>631</v>
      </c>
      <c r="E155" t="s">
        <v>1803</v>
      </c>
      <c r="F155" t="s">
        <v>1804</v>
      </c>
      <c r="G155" t="s">
        <v>1506</v>
      </c>
      <c r="H155" s="30">
        <v>18.809999999999999</v>
      </c>
      <c r="I155" s="29">
        <f>H155*(1-IFERROR(VLOOKUP(G155,Rabat!$D$10:$E$41,2,FALSE),0))</f>
        <v>18.809999999999999</v>
      </c>
      <c r="J155" t="s">
        <v>1900</v>
      </c>
      <c r="K155" t="s">
        <v>128</v>
      </c>
      <c r="L155" t="s">
        <v>1901</v>
      </c>
      <c r="M155">
        <v>100</v>
      </c>
      <c r="N155">
        <v>3600</v>
      </c>
      <c r="O155" t="s">
        <v>3434</v>
      </c>
      <c r="P155" s="31" t="str">
        <f>HYPERLINK("https://b2b.kobi.pl/pl/product/9707,zarowka-led-sw-9w-e14-3000k-kobi-premium?currency=PLN")</f>
        <v>https://b2b.kobi.pl/pl/product/9707,zarowka-led-sw-9w-e14-3000k-kobi-premium?currency=PLN</v>
      </c>
      <c r="Q155" s="31" t="str">
        <f>HYPERLINK("https://eprel.ec.europa.eu/qr/660768")</f>
        <v>https://eprel.ec.europa.eu/qr/660768</v>
      </c>
      <c r="R155"/>
      <c r="S155" t="s">
        <v>2673</v>
      </c>
      <c r="T155"/>
      <c r="U155">
        <v>4.4999999999999998E-2</v>
      </c>
      <c r="V155">
        <v>6.3E-2</v>
      </c>
      <c r="W155">
        <v>4.5999999999999996</v>
      </c>
      <c r="X155">
        <v>4.5999999999999996</v>
      </c>
      <c r="Y155">
        <v>12.5</v>
      </c>
    </row>
    <row r="156" spans="1:25" ht="60" customHeight="1" x14ac:dyDescent="0.25">
      <c r="A156"/>
      <c r="B156" t="s">
        <v>3367</v>
      </c>
      <c r="C156" t="s">
        <v>3369</v>
      </c>
      <c r="D156" t="s">
        <v>631</v>
      </c>
      <c r="E156" t="s">
        <v>1805</v>
      </c>
      <c r="F156" t="s">
        <v>1806</v>
      </c>
      <c r="G156" t="s">
        <v>1506</v>
      </c>
      <c r="H156" s="30">
        <v>18.809999999999999</v>
      </c>
      <c r="I156" s="29">
        <f>H156*(1-IFERROR(VLOOKUP(G156,Rabat!$D$10:$E$41,2,FALSE),0))</f>
        <v>18.809999999999999</v>
      </c>
      <c r="J156" t="s">
        <v>1900</v>
      </c>
      <c r="K156" t="s">
        <v>129</v>
      </c>
      <c r="L156" t="s">
        <v>1901</v>
      </c>
      <c r="M156">
        <v>100</v>
      </c>
      <c r="N156">
        <v>3600</v>
      </c>
      <c r="O156" t="s">
        <v>3434</v>
      </c>
      <c r="P156" s="31" t="str">
        <f>HYPERLINK("https://b2b.kobi.pl/pl/product/9708,zarowka-led-sw-9w-e14-4000k-kobi-premium?currency=PLN")</f>
        <v>https://b2b.kobi.pl/pl/product/9708,zarowka-led-sw-9w-e14-4000k-kobi-premium?currency=PLN</v>
      </c>
      <c r="Q156" s="31" t="str">
        <f>HYPERLINK("https://eprel.ec.europa.eu/qr/660769")</f>
        <v>https://eprel.ec.europa.eu/qr/660769</v>
      </c>
      <c r="R156"/>
      <c r="S156" t="s">
        <v>2673</v>
      </c>
      <c r="T156"/>
      <c r="U156">
        <v>4.4999999999999998E-2</v>
      </c>
      <c r="V156">
        <v>6.3E-2</v>
      </c>
      <c r="W156">
        <v>4.5</v>
      </c>
      <c r="X156">
        <v>4.7</v>
      </c>
      <c r="Y156">
        <v>12.5</v>
      </c>
    </row>
    <row r="157" spans="1:25" ht="60" customHeight="1" x14ac:dyDescent="0.25">
      <c r="A157"/>
      <c r="B157" t="s">
        <v>3367</v>
      </c>
      <c r="C157" t="s">
        <v>3369</v>
      </c>
      <c r="D157" t="s">
        <v>631</v>
      </c>
      <c r="E157" t="s">
        <v>1807</v>
      </c>
      <c r="F157" t="s">
        <v>1808</v>
      </c>
      <c r="G157" t="s">
        <v>1506</v>
      </c>
      <c r="H157" s="30">
        <v>18.809999999999999</v>
      </c>
      <c r="I157" s="29">
        <f>H157*(1-IFERROR(VLOOKUP(G157,Rabat!$D$10:$E$41,2,FALSE),0))</f>
        <v>18.809999999999999</v>
      </c>
      <c r="J157" t="s">
        <v>1900</v>
      </c>
      <c r="K157" t="s">
        <v>130</v>
      </c>
      <c r="L157" t="s">
        <v>1901</v>
      </c>
      <c r="M157">
        <v>100</v>
      </c>
      <c r="N157">
        <v>3600</v>
      </c>
      <c r="O157" t="s">
        <v>3434</v>
      </c>
      <c r="P157" s="31" t="str">
        <f>HYPERLINK("https://b2b.kobi.pl/pl/product/9709,zarowka-led-sw-9w-e14-6000k-kobi-premium?currency=PLN")</f>
        <v>https://b2b.kobi.pl/pl/product/9709,zarowka-led-sw-9w-e14-6000k-kobi-premium?currency=PLN</v>
      </c>
      <c r="Q157" s="31" t="str">
        <f>HYPERLINK("https://eprel.ec.europa.eu/qr/660771")</f>
        <v>https://eprel.ec.europa.eu/qr/660771</v>
      </c>
      <c r="R157"/>
      <c r="S157" t="s">
        <v>2673</v>
      </c>
      <c r="T157"/>
      <c r="U157">
        <v>4.4999999999999998E-2</v>
      </c>
      <c r="V157">
        <v>6.3E-2</v>
      </c>
      <c r="W157">
        <v>5</v>
      </c>
      <c r="X157">
        <v>12.5</v>
      </c>
      <c r="Y157">
        <v>4.5</v>
      </c>
    </row>
    <row r="158" spans="1:25" ht="60" customHeight="1" x14ac:dyDescent="0.25">
      <c r="A158"/>
      <c r="B158" t="s">
        <v>3367</v>
      </c>
      <c r="C158" t="s">
        <v>3369</v>
      </c>
      <c r="D158" t="s">
        <v>631</v>
      </c>
      <c r="E158" t="s">
        <v>1809</v>
      </c>
      <c r="F158" t="s">
        <v>1810</v>
      </c>
      <c r="G158" t="s">
        <v>1506</v>
      </c>
      <c r="H158" s="30">
        <v>18.809999999999999</v>
      </c>
      <c r="I158" s="29">
        <f>H158*(1-IFERROR(VLOOKUP(G158,Rabat!$D$10:$E$41,2,FALSE),0))</f>
        <v>18.809999999999999</v>
      </c>
      <c r="J158" t="s">
        <v>1903</v>
      </c>
      <c r="K158" t="s">
        <v>136</v>
      </c>
      <c r="L158" t="s">
        <v>1901</v>
      </c>
      <c r="M158">
        <v>100</v>
      </c>
      <c r="N158">
        <v>3600</v>
      </c>
      <c r="O158" t="s">
        <v>3434</v>
      </c>
      <c r="P158" s="31" t="str">
        <f>HYPERLINK("https://b2b.kobi.pl/pl/product/9714,zarowka-led-sw-9w-e27-3000k-kobi-premium?currency=PLN")</f>
        <v>https://b2b.kobi.pl/pl/product/9714,zarowka-led-sw-9w-e27-3000k-kobi-premium?currency=PLN</v>
      </c>
      <c r="Q158" s="31" t="str">
        <f>HYPERLINK("https://eprel.ec.europa.eu/qr/660788")</f>
        <v>https://eprel.ec.europa.eu/qr/660788</v>
      </c>
      <c r="R158"/>
      <c r="S158" t="s">
        <v>2673</v>
      </c>
      <c r="T158"/>
      <c r="U158">
        <v>0.05</v>
      </c>
      <c r="V158">
        <v>6.8000000000000005E-2</v>
      </c>
      <c r="W158">
        <v>5</v>
      </c>
      <c r="X158">
        <v>12.5</v>
      </c>
      <c r="Y158">
        <v>4.5</v>
      </c>
    </row>
    <row r="159" spans="1:25" ht="60" customHeight="1" x14ac:dyDescent="0.25">
      <c r="A159"/>
      <c r="B159" t="s">
        <v>3367</v>
      </c>
      <c r="C159" t="s">
        <v>3369</v>
      </c>
      <c r="D159" t="s">
        <v>631</v>
      </c>
      <c r="E159" t="s">
        <v>1811</v>
      </c>
      <c r="F159" t="s">
        <v>1812</v>
      </c>
      <c r="G159" t="s">
        <v>1506</v>
      </c>
      <c r="H159" s="30">
        <v>18.809999999999999</v>
      </c>
      <c r="I159" s="29">
        <f>H159*(1-IFERROR(VLOOKUP(G159,Rabat!$D$10:$E$41,2,FALSE),0))</f>
        <v>18.809999999999999</v>
      </c>
      <c r="J159" t="s">
        <v>1903</v>
      </c>
      <c r="K159" t="s">
        <v>137</v>
      </c>
      <c r="L159" t="s">
        <v>1901</v>
      </c>
      <c r="M159">
        <v>100</v>
      </c>
      <c r="N159">
        <v>3600</v>
      </c>
      <c r="O159" t="s">
        <v>3434</v>
      </c>
      <c r="P159" s="31" t="str">
        <f>HYPERLINK("https://b2b.kobi.pl/pl/product/9715,zarowka-led-sw-9w-e27-4000k-kobi-premium?currency=PLN")</f>
        <v>https://b2b.kobi.pl/pl/product/9715,zarowka-led-sw-9w-e27-4000k-kobi-premium?currency=PLN</v>
      </c>
      <c r="Q159" s="31" t="str">
        <f>HYPERLINK("https://eprel.ec.europa.eu/qr/660791")</f>
        <v>https://eprel.ec.europa.eu/qr/660791</v>
      </c>
      <c r="R159"/>
      <c r="S159" t="s">
        <v>2673</v>
      </c>
      <c r="T159"/>
      <c r="U159">
        <v>0.05</v>
      </c>
      <c r="V159">
        <v>6.8000000000000005E-2</v>
      </c>
      <c r="W159">
        <v>5</v>
      </c>
      <c r="X159">
        <v>12.5</v>
      </c>
      <c r="Y159">
        <v>4.5</v>
      </c>
    </row>
    <row r="160" spans="1:25" ht="60" customHeight="1" x14ac:dyDescent="0.25">
      <c r="A160"/>
      <c r="B160" t="s">
        <v>3367</v>
      </c>
      <c r="C160" t="s">
        <v>3369</v>
      </c>
      <c r="D160" t="s">
        <v>631</v>
      </c>
      <c r="E160" t="s">
        <v>1813</v>
      </c>
      <c r="F160" t="s">
        <v>1814</v>
      </c>
      <c r="G160" t="s">
        <v>1506</v>
      </c>
      <c r="H160" s="30">
        <v>18.809999999999999</v>
      </c>
      <c r="I160" s="29">
        <f>H160*(1-IFERROR(VLOOKUP(G160,Rabat!$D$10:$E$41,2,FALSE),0))</f>
        <v>18.809999999999999</v>
      </c>
      <c r="J160" t="s">
        <v>1903</v>
      </c>
      <c r="K160" t="s">
        <v>138</v>
      </c>
      <c r="L160" t="s">
        <v>1901</v>
      </c>
      <c r="M160">
        <v>100</v>
      </c>
      <c r="N160">
        <v>3600</v>
      </c>
      <c r="O160" t="s">
        <v>3434</v>
      </c>
      <c r="P160" s="31" t="str">
        <f>HYPERLINK("https://b2b.kobi.pl/pl/product/9716,zarowka-led-sw-9w-e27-6000k-kobi-premium?currency=PLN")</f>
        <v>https://b2b.kobi.pl/pl/product/9716,zarowka-led-sw-9w-e27-6000k-kobi-premium?currency=PLN</v>
      </c>
      <c r="Q160" s="31" t="str">
        <f>HYPERLINK("https://eprel.ec.europa.eu/qr/660792")</f>
        <v>https://eprel.ec.europa.eu/qr/660792</v>
      </c>
      <c r="R160"/>
      <c r="S160" t="s">
        <v>2673</v>
      </c>
      <c r="T160"/>
      <c r="U160">
        <v>0.05</v>
      </c>
      <c r="V160">
        <v>6.8000000000000005E-2</v>
      </c>
      <c r="W160">
        <v>5</v>
      </c>
      <c r="X160">
        <v>12.5</v>
      </c>
      <c r="Y160">
        <v>4.5</v>
      </c>
    </row>
    <row r="161" spans="1:25" ht="60" customHeight="1" x14ac:dyDescent="0.25">
      <c r="A161"/>
      <c r="B161" t="s">
        <v>3367</v>
      </c>
      <c r="C161" t="s">
        <v>3369</v>
      </c>
      <c r="D161" t="s">
        <v>643</v>
      </c>
      <c r="E161" t="s">
        <v>2838</v>
      </c>
      <c r="F161" t="s">
        <v>1560</v>
      </c>
      <c r="G161" t="s">
        <v>1506</v>
      </c>
      <c r="H161" s="30">
        <v>8.75</v>
      </c>
      <c r="I161" s="29">
        <f>H161*(1-IFERROR(VLOOKUP(G161,Rabat!$D$10:$E$41,2,FALSE),0))</f>
        <v>8.75</v>
      </c>
      <c r="J161" t="s">
        <v>1900</v>
      </c>
      <c r="K161" t="s">
        <v>25</v>
      </c>
      <c r="L161" t="s">
        <v>1901</v>
      </c>
      <c r="M161">
        <v>100</v>
      </c>
      <c r="N161">
        <v>2500</v>
      </c>
      <c r="O161" t="s">
        <v>3434</v>
      </c>
      <c r="P161" s="31" t="str">
        <f>HYPERLINK("https://b2b.kobi.pl/pl/product/9475,zarowka-filamentowa-led-fgs-7w-e27-3000k-kobi-360-line?currency=PLN")</f>
        <v>https://b2b.kobi.pl/pl/product/9475,zarowka-filamentowa-led-fgs-7w-e27-3000k-kobi-360-line?currency=PLN</v>
      </c>
      <c r="Q161" s="31" t="str">
        <f>HYPERLINK("https://eprel.ec.europa.eu/qr/659645")</f>
        <v>https://eprel.ec.europa.eu/qr/659645</v>
      </c>
      <c r="R161"/>
      <c r="S161" t="s">
        <v>2673</v>
      </c>
      <c r="T161"/>
      <c r="U161">
        <v>0.03</v>
      </c>
      <c r="V161">
        <v>4.4999999999999998E-2</v>
      </c>
      <c r="W161">
        <v>6.2</v>
      </c>
      <c r="X161">
        <v>6.2</v>
      </c>
      <c r="Y161">
        <v>11.5</v>
      </c>
    </row>
    <row r="162" spans="1:25" ht="60" customHeight="1" x14ac:dyDescent="0.25">
      <c r="A162"/>
      <c r="B162" t="s">
        <v>3367</v>
      </c>
      <c r="C162" t="s">
        <v>3369</v>
      </c>
      <c r="D162" t="s">
        <v>631</v>
      </c>
      <c r="E162" t="s">
        <v>2955</v>
      </c>
      <c r="F162" t="s">
        <v>2956</v>
      </c>
      <c r="G162" t="s">
        <v>1506</v>
      </c>
      <c r="H162" s="30">
        <v>21.43</v>
      </c>
      <c r="I162" s="29">
        <f>H162*(1-IFERROR(VLOOKUP(G162,Rabat!$D$10:$E$41,2,FALSE),0))</f>
        <v>21.43</v>
      </c>
      <c r="J162" t="s">
        <v>1904</v>
      </c>
      <c r="K162" t="s">
        <v>2980</v>
      </c>
      <c r="L162" t="s">
        <v>1901</v>
      </c>
      <c r="M162">
        <v>100</v>
      </c>
      <c r="N162">
        <v>3600</v>
      </c>
      <c r="O162" t="s">
        <v>3434</v>
      </c>
      <c r="P162" s="31" t="str">
        <f>HYPERLINK("https://b2b.kobi.pl/pl/product/12905,zarowka-led-sw-8-5w-e14-3000k-kobi-premium?currency=PLN")</f>
        <v>https://b2b.kobi.pl/pl/product/12905,zarowka-led-sw-8-5w-e14-3000k-kobi-premium?currency=PLN</v>
      </c>
      <c r="Q162" s="31" t="str">
        <f>HYPERLINK("https://eprel.ec.europa.eu/qr/2419929")</f>
        <v>https://eprel.ec.europa.eu/qr/2419929</v>
      </c>
      <c r="R162"/>
      <c r="S162" t="s">
        <v>2673</v>
      </c>
      <c r="T162"/>
      <c r="U162">
        <v>0.05</v>
      </c>
      <c r="V162">
        <v>6.5000000000000002E-2</v>
      </c>
      <c r="W162">
        <v>4.7</v>
      </c>
      <c r="X162">
        <v>4.7</v>
      </c>
      <c r="Y162">
        <v>12.5</v>
      </c>
    </row>
    <row r="163" spans="1:25" ht="60" customHeight="1" x14ac:dyDescent="0.25">
      <c r="A163"/>
      <c r="B163" t="s">
        <v>3367</v>
      </c>
      <c r="C163" t="s">
        <v>3369</v>
      </c>
      <c r="D163" t="s">
        <v>643</v>
      </c>
      <c r="E163" t="s">
        <v>2839</v>
      </c>
      <c r="F163" t="s">
        <v>1561</v>
      </c>
      <c r="G163" t="s">
        <v>1506</v>
      </c>
      <c r="H163" s="30">
        <v>8.75</v>
      </c>
      <c r="I163" s="29">
        <f>H163*(1-IFERROR(VLOOKUP(G163,Rabat!$D$10:$E$41,2,FALSE),0))</f>
        <v>8.75</v>
      </c>
      <c r="J163" t="s">
        <v>1900</v>
      </c>
      <c r="K163" t="s">
        <v>26</v>
      </c>
      <c r="L163" t="s">
        <v>1901</v>
      </c>
      <c r="M163">
        <v>100</v>
      </c>
      <c r="N163">
        <v>2500</v>
      </c>
      <c r="O163" t="s">
        <v>3434</v>
      </c>
      <c r="P163" s="31" t="str">
        <f>HYPERLINK("https://b2b.kobi.pl/pl/product/9476,zarowka-filamentowa-led-fgs-7w-e27-4000k-kobi-360-line?currency=PLN")</f>
        <v>https://b2b.kobi.pl/pl/product/9476,zarowka-filamentowa-led-fgs-7w-e27-4000k-kobi-360-line?currency=PLN</v>
      </c>
      <c r="Q163" s="31" t="str">
        <f>HYPERLINK("https://eprel.ec.europa.eu/qr/659651")</f>
        <v>https://eprel.ec.europa.eu/qr/659651</v>
      </c>
      <c r="R163"/>
      <c r="S163" t="s">
        <v>2673</v>
      </c>
      <c r="T163"/>
      <c r="U163">
        <v>0.03</v>
      </c>
      <c r="V163">
        <v>4.4999999999999998E-2</v>
      </c>
      <c r="W163">
        <v>6.2</v>
      </c>
      <c r="X163">
        <v>6.2</v>
      </c>
      <c r="Y163">
        <v>11.5</v>
      </c>
    </row>
    <row r="164" spans="1:25" ht="60" customHeight="1" x14ac:dyDescent="0.25">
      <c r="A164"/>
      <c r="B164" t="s">
        <v>3367</v>
      </c>
      <c r="C164" t="s">
        <v>3369</v>
      </c>
      <c r="D164" t="s">
        <v>631</v>
      </c>
      <c r="E164" t="s">
        <v>2957</v>
      </c>
      <c r="F164" t="s">
        <v>2958</v>
      </c>
      <c r="G164" t="s">
        <v>1506</v>
      </c>
      <c r="H164" s="30">
        <v>21.43</v>
      </c>
      <c r="I164" s="29">
        <f>H164*(1-IFERROR(VLOOKUP(G164,Rabat!$D$10:$E$41,2,FALSE),0))</f>
        <v>21.43</v>
      </c>
      <c r="J164" t="s">
        <v>1904</v>
      </c>
      <c r="K164" t="s">
        <v>2981</v>
      </c>
      <c r="L164" t="s">
        <v>1901</v>
      </c>
      <c r="M164">
        <v>100</v>
      </c>
      <c r="N164">
        <v>3600</v>
      </c>
      <c r="O164" t="s">
        <v>3434</v>
      </c>
      <c r="P164" s="31" t="str">
        <f>HYPERLINK("https://b2b.kobi.pl/pl/product/12906,zarowka-led-sw-8-5w-e14-4000k-kobi-premium?currency=PLN")</f>
        <v>https://b2b.kobi.pl/pl/product/12906,zarowka-led-sw-8-5w-e14-4000k-kobi-premium?currency=PLN</v>
      </c>
      <c r="Q164" s="31" t="str">
        <f>HYPERLINK("https://eprel.ec.europa.eu/qr/2420007")</f>
        <v>https://eprel.ec.europa.eu/qr/2420007</v>
      </c>
      <c r="R164"/>
      <c r="S164" t="s">
        <v>2673</v>
      </c>
      <c r="T164"/>
      <c r="U164">
        <v>0.05</v>
      </c>
      <c r="V164">
        <v>6.5000000000000002E-2</v>
      </c>
      <c r="W164">
        <v>4.7</v>
      </c>
      <c r="X164">
        <v>4.7</v>
      </c>
      <c r="Y164">
        <v>12.5</v>
      </c>
    </row>
    <row r="165" spans="1:25" ht="60" customHeight="1" x14ac:dyDescent="0.25">
      <c r="A165"/>
      <c r="B165" t="s">
        <v>3367</v>
      </c>
      <c r="C165" t="s">
        <v>3369</v>
      </c>
      <c r="D165" t="s">
        <v>643</v>
      </c>
      <c r="E165" t="s">
        <v>2840</v>
      </c>
      <c r="F165" t="s">
        <v>2365</v>
      </c>
      <c r="G165" t="s">
        <v>1506</v>
      </c>
      <c r="H165" s="30">
        <v>9.69</v>
      </c>
      <c r="I165" s="29">
        <f>H165*(1-IFERROR(VLOOKUP(G165,Rabat!$D$10:$E$41,2,FALSE),0))</f>
        <v>9.69</v>
      </c>
      <c r="J165" t="s">
        <v>1900</v>
      </c>
      <c r="K165" t="s">
        <v>2371</v>
      </c>
      <c r="L165" t="s">
        <v>1901</v>
      </c>
      <c r="M165">
        <v>100</v>
      </c>
      <c r="N165">
        <v>2500</v>
      </c>
      <c r="O165" t="s">
        <v>3434</v>
      </c>
      <c r="P165" s="31" t="str">
        <f>HYPERLINK("https://b2b.kobi.pl/pl/product/12526,zarowka-filamentowa-led-fgs-7w-e27-3000k-mleczna-kobi-360-line?currency=PLN")</f>
        <v>https://b2b.kobi.pl/pl/product/12526,zarowka-filamentowa-led-fgs-7w-e27-3000k-mleczna-kobi-360-line?currency=PLN</v>
      </c>
      <c r="Q165" s="31" t="str">
        <f>HYPERLINK("https://eprel.ec.europa.eu/qr/2264665")</f>
        <v>https://eprel.ec.europa.eu/qr/2264665</v>
      </c>
      <c r="R165"/>
      <c r="S165" t="s">
        <v>2673</v>
      </c>
      <c r="T165"/>
      <c r="U165">
        <v>1.83E-2</v>
      </c>
      <c r="V165">
        <v>2.7E-2</v>
      </c>
      <c r="W165">
        <v>6.2</v>
      </c>
      <c r="X165">
        <v>6.2</v>
      </c>
      <c r="Y165">
        <v>11.8</v>
      </c>
    </row>
    <row r="166" spans="1:25" ht="60" customHeight="1" x14ac:dyDescent="0.25">
      <c r="A166"/>
      <c r="B166" t="s">
        <v>3367</v>
      </c>
      <c r="C166" t="s">
        <v>3369</v>
      </c>
      <c r="D166" t="s">
        <v>643</v>
      </c>
      <c r="E166" t="s">
        <v>2841</v>
      </c>
      <c r="F166" t="s">
        <v>2366</v>
      </c>
      <c r="G166" t="s">
        <v>1506</v>
      </c>
      <c r="H166" s="30">
        <v>9.69</v>
      </c>
      <c r="I166" s="29">
        <f>H166*(1-IFERROR(VLOOKUP(G166,Rabat!$D$10:$E$41,2,FALSE),0))</f>
        <v>9.69</v>
      </c>
      <c r="J166" t="s">
        <v>1900</v>
      </c>
      <c r="K166" t="s">
        <v>2372</v>
      </c>
      <c r="L166" t="s">
        <v>1901</v>
      </c>
      <c r="M166">
        <v>100</v>
      </c>
      <c r="N166">
        <v>2500</v>
      </c>
      <c r="O166" t="s">
        <v>3434</v>
      </c>
      <c r="P166" s="31" t="str">
        <f>HYPERLINK("https://b2b.kobi.pl/pl/product/12527,zarowka-filamentowa-led-fgs-7w-e27-4000k-mleczna-kobi-360-line?currency=PLN")</f>
        <v>https://b2b.kobi.pl/pl/product/12527,zarowka-filamentowa-led-fgs-7w-e27-4000k-mleczna-kobi-360-line?currency=PLN</v>
      </c>
      <c r="Q166" s="31" t="str">
        <f>HYPERLINK("https://eprel.ec.europa.eu/qr/2265372")</f>
        <v>https://eprel.ec.europa.eu/qr/2265372</v>
      </c>
      <c r="R166"/>
      <c r="S166" t="s">
        <v>2673</v>
      </c>
      <c r="T166"/>
      <c r="U166">
        <v>1.83E-2</v>
      </c>
      <c r="V166">
        <v>2.7E-2</v>
      </c>
      <c r="W166">
        <v>6.2</v>
      </c>
      <c r="X166">
        <v>6.2</v>
      </c>
      <c r="Y166">
        <v>11.8</v>
      </c>
    </row>
    <row r="167" spans="1:25" ht="60" customHeight="1" x14ac:dyDescent="0.25">
      <c r="A167"/>
      <c r="B167" t="s">
        <v>3367</v>
      </c>
      <c r="C167" t="s">
        <v>3369</v>
      </c>
      <c r="D167" t="s">
        <v>643</v>
      </c>
      <c r="E167" t="s">
        <v>2842</v>
      </c>
      <c r="F167" t="s">
        <v>2367</v>
      </c>
      <c r="G167" t="s">
        <v>1506</v>
      </c>
      <c r="H167" s="30">
        <v>11.88</v>
      </c>
      <c r="I167" s="29">
        <f>H167*(1-IFERROR(VLOOKUP(G167,Rabat!$D$10:$E$41,2,FALSE),0))</f>
        <v>11.88</v>
      </c>
      <c r="J167" t="s">
        <v>1900</v>
      </c>
      <c r="K167" t="s">
        <v>2373</v>
      </c>
      <c r="L167" t="s">
        <v>1901</v>
      </c>
      <c r="M167">
        <v>100</v>
      </c>
      <c r="N167">
        <v>2500</v>
      </c>
      <c r="O167" t="s">
        <v>3434</v>
      </c>
      <c r="P167" s="31" t="str">
        <f>HYPERLINK("https://b2b.kobi.pl/pl/product/12524,zarowka-filamentowa-led-fgs-10w-e27-3000k-kobi-360-line?currency=PLN")</f>
        <v>https://b2b.kobi.pl/pl/product/12524,zarowka-filamentowa-led-fgs-10w-e27-3000k-kobi-360-line?currency=PLN</v>
      </c>
      <c r="Q167" s="31" t="str">
        <f>HYPERLINK("https://eprel.ec.europa.eu/qr/2265500")</f>
        <v>https://eprel.ec.europa.eu/qr/2265500</v>
      </c>
      <c r="R167"/>
      <c r="S167" t="s">
        <v>2673</v>
      </c>
      <c r="T167"/>
      <c r="U167">
        <v>1.83E-2</v>
      </c>
      <c r="V167">
        <v>0.03</v>
      </c>
      <c r="W167">
        <v>6.2</v>
      </c>
      <c r="X167">
        <v>6.2</v>
      </c>
      <c r="Y167">
        <v>11.8</v>
      </c>
    </row>
    <row r="168" spans="1:25" ht="60" customHeight="1" x14ac:dyDescent="0.25">
      <c r="A168"/>
      <c r="B168" t="s">
        <v>3367</v>
      </c>
      <c r="C168" t="s">
        <v>3369</v>
      </c>
      <c r="D168" t="s">
        <v>643</v>
      </c>
      <c r="E168" t="s">
        <v>2843</v>
      </c>
      <c r="F168" t="s">
        <v>2368</v>
      </c>
      <c r="G168" t="s">
        <v>1506</v>
      </c>
      <c r="H168" s="30">
        <v>11.88</v>
      </c>
      <c r="I168" s="29">
        <f>H168*(1-IFERROR(VLOOKUP(G168,Rabat!$D$10:$E$41,2,FALSE),0))</f>
        <v>11.88</v>
      </c>
      <c r="J168" t="s">
        <v>1900</v>
      </c>
      <c r="K168" t="s">
        <v>2374</v>
      </c>
      <c r="L168" t="s">
        <v>1901</v>
      </c>
      <c r="M168">
        <v>100</v>
      </c>
      <c r="N168">
        <v>2500</v>
      </c>
      <c r="O168" t="s">
        <v>3434</v>
      </c>
      <c r="P168" s="31" t="str">
        <f>HYPERLINK("https://b2b.kobi.pl/pl/product/12525,zarowka-filamentowa-led-fgs-10w-e27-4000k-kobi-360-line?currency=PLN")</f>
        <v>https://b2b.kobi.pl/pl/product/12525,zarowka-filamentowa-led-fgs-10w-e27-4000k-kobi-360-line?currency=PLN</v>
      </c>
      <c r="Q168" s="31" t="str">
        <f>HYPERLINK("https://eprel.ec.europa.eu/qr/2265506")</f>
        <v>https://eprel.ec.europa.eu/qr/2265506</v>
      </c>
      <c r="R168"/>
      <c r="S168" t="s">
        <v>2673</v>
      </c>
      <c r="T168"/>
      <c r="U168">
        <v>1.83E-2</v>
      </c>
      <c r="V168">
        <v>0.03</v>
      </c>
      <c r="W168">
        <v>6.2</v>
      </c>
      <c r="X168">
        <v>6.2</v>
      </c>
      <c r="Y168">
        <v>11.8</v>
      </c>
    </row>
    <row r="169" spans="1:25" ht="60" customHeight="1" x14ac:dyDescent="0.25">
      <c r="A169"/>
      <c r="B169" t="s">
        <v>3367</v>
      </c>
      <c r="C169" t="s">
        <v>3369</v>
      </c>
      <c r="D169" t="s">
        <v>643</v>
      </c>
      <c r="E169" t="s">
        <v>3174</v>
      </c>
      <c r="F169" t="s">
        <v>3175</v>
      </c>
      <c r="G169" t="s">
        <v>1506</v>
      </c>
      <c r="H169" s="30">
        <v>12.81</v>
      </c>
      <c r="I169" s="29">
        <f>H169*(1-IFERROR(VLOOKUP(G169,Rabat!$D$10:$E$41,2,FALSE),0))</f>
        <v>12.81</v>
      </c>
      <c r="J169" t="s">
        <v>1900</v>
      </c>
      <c r="K169" t="s">
        <v>3215</v>
      </c>
      <c r="L169" t="s">
        <v>1901</v>
      </c>
      <c r="M169">
        <v>100</v>
      </c>
      <c r="N169">
        <v>2500</v>
      </c>
      <c r="O169" t="s">
        <v>3434</v>
      </c>
      <c r="P169" s="31" t="str">
        <f>HYPERLINK("https://b2b.kobi.pl/pl/product/13077,zarowka-filamentowa-led-fgs-10w-e27-3000k-mleczna-kobi?currency=PLN")</f>
        <v>https://b2b.kobi.pl/pl/product/13077,zarowka-filamentowa-led-fgs-10w-e27-3000k-mleczna-kobi?currency=PLN</v>
      </c>
      <c r="Q169" s="31" t="str">
        <f>HYPERLINK("https://eprel.ec.europa.eu/qr/2478702")</f>
        <v>https://eprel.ec.europa.eu/qr/2478702</v>
      </c>
      <c r="R169"/>
      <c r="S169" t="s">
        <v>2673</v>
      </c>
      <c r="T169"/>
      <c r="U169">
        <v>1.83E-2</v>
      </c>
      <c r="V169">
        <v>0.03</v>
      </c>
      <c r="W169">
        <v>6.2</v>
      </c>
      <c r="X169">
        <v>6.2</v>
      </c>
      <c r="Y169">
        <v>11.8</v>
      </c>
    </row>
    <row r="170" spans="1:25" ht="60" customHeight="1" x14ac:dyDescent="0.25">
      <c r="A170"/>
      <c r="B170" t="s">
        <v>3367</v>
      </c>
      <c r="C170" t="s">
        <v>3369</v>
      </c>
      <c r="D170" t="s">
        <v>643</v>
      </c>
      <c r="E170" t="s">
        <v>3176</v>
      </c>
      <c r="F170" t="s">
        <v>3177</v>
      </c>
      <c r="G170" t="s">
        <v>1506</v>
      </c>
      <c r="H170" s="30">
        <v>12.81</v>
      </c>
      <c r="I170" s="29">
        <f>H170*(1-IFERROR(VLOOKUP(G170,Rabat!$D$10:$E$41,2,FALSE),0))</f>
        <v>12.81</v>
      </c>
      <c r="J170" t="s">
        <v>1900</v>
      </c>
      <c r="K170" t="s">
        <v>3216</v>
      </c>
      <c r="L170" t="s">
        <v>1901</v>
      </c>
      <c r="M170">
        <v>100</v>
      </c>
      <c r="N170">
        <v>2500</v>
      </c>
      <c r="O170" t="s">
        <v>3434</v>
      </c>
      <c r="P170" s="31" t="str">
        <f>HYPERLINK("https://b2b.kobi.pl/pl/product/13078,zarowka-filamentowa-led-fgs-10w-e27-4000k-mleczna-kobi?currency=PLN")</f>
        <v>https://b2b.kobi.pl/pl/product/13078,zarowka-filamentowa-led-fgs-10w-e27-4000k-mleczna-kobi?currency=PLN</v>
      </c>
      <c r="Q170" s="31" t="str">
        <f>HYPERLINK("https://eprel.ec.europa.eu/qr/2478735")</f>
        <v>https://eprel.ec.europa.eu/qr/2478735</v>
      </c>
      <c r="R170"/>
      <c r="S170" t="s">
        <v>2673</v>
      </c>
      <c r="T170"/>
      <c r="U170">
        <v>1.83E-2</v>
      </c>
      <c r="V170">
        <v>0.03</v>
      </c>
      <c r="W170">
        <v>6.2</v>
      </c>
      <c r="X170">
        <v>6.2</v>
      </c>
      <c r="Y170">
        <v>11.8</v>
      </c>
    </row>
    <row r="171" spans="1:25" ht="60" customHeight="1" x14ac:dyDescent="0.25">
      <c r="A171"/>
      <c r="B171" t="s">
        <v>3367</v>
      </c>
      <c r="C171" t="s">
        <v>3369</v>
      </c>
      <c r="D171" t="s">
        <v>643</v>
      </c>
      <c r="E171" t="s">
        <v>2844</v>
      </c>
      <c r="F171" t="s">
        <v>1562</v>
      </c>
      <c r="G171" t="s">
        <v>1506</v>
      </c>
      <c r="H171" s="30">
        <v>29.55</v>
      </c>
      <c r="I171" s="29">
        <f>H171*(1-IFERROR(VLOOKUP(G171,Rabat!$D$10:$E$41,2,FALSE),0))</f>
        <v>29.55</v>
      </c>
      <c r="J171" t="s">
        <v>1900</v>
      </c>
      <c r="K171" t="s">
        <v>27</v>
      </c>
      <c r="L171" t="s">
        <v>1901</v>
      </c>
      <c r="M171">
        <v>100</v>
      </c>
      <c r="N171">
        <v>2500</v>
      </c>
      <c r="O171" t="s">
        <v>3434</v>
      </c>
      <c r="P171" s="31" t="str">
        <f>HYPERLINK("https://b2b.kobi.pl/pl/product/9473,zarowka-filamentowa-led-fgs-11-5w-e27-3000k-kobi-360-line?currency=PLN")</f>
        <v>https://b2b.kobi.pl/pl/product/9473,zarowka-filamentowa-led-fgs-11-5w-e27-3000k-kobi-360-line?currency=PLN</v>
      </c>
      <c r="Q171" s="31" t="str">
        <f>HYPERLINK("https://eprel.ec.europa.eu/qr/659629")</f>
        <v>https://eprel.ec.europa.eu/qr/659629</v>
      </c>
      <c r="R171" t="s">
        <v>2035</v>
      </c>
      <c r="S171" t="s">
        <v>2673</v>
      </c>
      <c r="T171"/>
      <c r="U171">
        <v>3.3000000000000002E-2</v>
      </c>
      <c r="V171">
        <v>4.4999999999999998E-2</v>
      </c>
      <c r="W171">
        <v>6.2</v>
      </c>
      <c r="X171">
        <v>6.2</v>
      </c>
      <c r="Y171">
        <v>11.5</v>
      </c>
    </row>
    <row r="172" spans="1:25" ht="60" customHeight="1" x14ac:dyDescent="0.25">
      <c r="A172"/>
      <c r="B172" t="s">
        <v>3367</v>
      </c>
      <c r="C172" t="s">
        <v>3369</v>
      </c>
      <c r="D172" t="s">
        <v>631</v>
      </c>
      <c r="E172" t="s">
        <v>2959</v>
      </c>
      <c r="F172" t="s">
        <v>2960</v>
      </c>
      <c r="G172" t="s">
        <v>1506</v>
      </c>
      <c r="H172" s="30">
        <v>21.43</v>
      </c>
      <c r="I172" s="29">
        <f>H172*(1-IFERROR(VLOOKUP(G172,Rabat!$D$10:$E$41,2,FALSE),0))</f>
        <v>21.43</v>
      </c>
      <c r="J172" t="s">
        <v>1904</v>
      </c>
      <c r="K172" t="s">
        <v>2982</v>
      </c>
      <c r="L172" t="s">
        <v>1901</v>
      </c>
      <c r="M172">
        <v>100</v>
      </c>
      <c r="N172">
        <v>3600</v>
      </c>
      <c r="O172" t="s">
        <v>3434</v>
      </c>
      <c r="P172" s="31" t="str">
        <f>HYPERLINK("https://b2b.kobi.pl/pl/product/12907,zarowka-led-sw-8-5w-e14-6000k-kobi-premium?currency=PLN")</f>
        <v>https://b2b.kobi.pl/pl/product/12907,zarowka-led-sw-8-5w-e14-6000k-kobi-premium?currency=PLN</v>
      </c>
      <c r="Q172" s="31" t="str">
        <f>HYPERLINK("https://eprel.ec.europa.eu/qr/2420015")</f>
        <v>https://eprel.ec.europa.eu/qr/2420015</v>
      </c>
      <c r="R172"/>
      <c r="S172" t="s">
        <v>2673</v>
      </c>
      <c r="T172"/>
      <c r="U172">
        <v>0.05</v>
      </c>
      <c r="V172">
        <v>6.5000000000000002E-2</v>
      </c>
      <c r="W172">
        <v>4.7</v>
      </c>
      <c r="X172">
        <v>4.7</v>
      </c>
      <c r="Y172">
        <v>12.5</v>
      </c>
    </row>
    <row r="173" spans="1:25" ht="60" customHeight="1" x14ac:dyDescent="0.25">
      <c r="A173"/>
      <c r="B173" t="s">
        <v>3367</v>
      </c>
      <c r="C173" t="s">
        <v>3369</v>
      </c>
      <c r="D173" t="s">
        <v>643</v>
      </c>
      <c r="E173" t="s">
        <v>2845</v>
      </c>
      <c r="F173" t="s">
        <v>2364</v>
      </c>
      <c r="G173" t="s">
        <v>1506</v>
      </c>
      <c r="H173" s="30">
        <v>13.96</v>
      </c>
      <c r="I173" s="29">
        <f>H173*(1-IFERROR(VLOOKUP(G173,Rabat!$D$10:$E$41,2,FALSE),0))</f>
        <v>13.96</v>
      </c>
      <c r="J173" t="s">
        <v>1900</v>
      </c>
      <c r="K173" t="s">
        <v>2370</v>
      </c>
      <c r="L173" t="s">
        <v>1901</v>
      </c>
      <c r="M173">
        <v>100</v>
      </c>
      <c r="N173">
        <v>2500</v>
      </c>
      <c r="O173" t="s">
        <v>3434</v>
      </c>
      <c r="P173" s="31" t="str">
        <f>HYPERLINK("https://b2b.kobi.pl/pl/product/12529,zarowka-filamentowa-led-fgs-12w-e27-3000k-kobi-360-line?currency=PLN")</f>
        <v>https://b2b.kobi.pl/pl/product/12529,zarowka-filamentowa-led-fgs-12w-e27-3000k-kobi-360-line?currency=PLN</v>
      </c>
      <c r="Q173" s="31" t="str">
        <f>HYPERLINK("https://eprel.ec.europa.eu/qr/2265512")</f>
        <v>https://eprel.ec.europa.eu/qr/2265512</v>
      </c>
      <c r="R173"/>
      <c r="S173" t="s">
        <v>2673</v>
      </c>
      <c r="T173"/>
      <c r="U173">
        <v>1.83E-2</v>
      </c>
      <c r="V173">
        <v>3.2000000000000001E-2</v>
      </c>
      <c r="W173">
        <v>6.2</v>
      </c>
      <c r="X173">
        <v>6.2</v>
      </c>
      <c r="Y173">
        <v>11.8</v>
      </c>
    </row>
    <row r="174" spans="1:25" ht="60" customHeight="1" x14ac:dyDescent="0.25">
      <c r="A174"/>
      <c r="B174" t="s">
        <v>3367</v>
      </c>
      <c r="C174" t="s">
        <v>3369</v>
      </c>
      <c r="D174" t="s">
        <v>631</v>
      </c>
      <c r="E174" t="s">
        <v>2961</v>
      </c>
      <c r="F174" t="s">
        <v>2962</v>
      </c>
      <c r="G174" t="s">
        <v>1506</v>
      </c>
      <c r="H174" s="30">
        <v>21.43</v>
      </c>
      <c r="I174" s="29">
        <f>H174*(1-IFERROR(VLOOKUP(G174,Rabat!$D$10:$E$41,2,FALSE),0))</f>
        <v>21.43</v>
      </c>
      <c r="J174" t="s">
        <v>1904</v>
      </c>
      <c r="K174" t="s">
        <v>2983</v>
      </c>
      <c r="L174" t="s">
        <v>1901</v>
      </c>
      <c r="M174">
        <v>100</v>
      </c>
      <c r="N174">
        <v>3600</v>
      </c>
      <c r="O174" t="s">
        <v>3434</v>
      </c>
      <c r="P174" s="31" t="str">
        <f>HYPERLINK("https://b2b.kobi.pl/pl/product/12911,zarowka-led-sw-8-5w-e27-3000k-kobi-premium?currency=PLN")</f>
        <v>https://b2b.kobi.pl/pl/product/12911,zarowka-led-sw-8-5w-e27-3000k-kobi-premium?currency=PLN</v>
      </c>
      <c r="Q174" s="31" t="str">
        <f>HYPERLINK("https://eprel.ec.europa.eu/qr/2420024")</f>
        <v>https://eprel.ec.europa.eu/qr/2420024</v>
      </c>
      <c r="R174"/>
      <c r="S174" t="s">
        <v>2673</v>
      </c>
      <c r="T174"/>
      <c r="U174">
        <v>0.05</v>
      </c>
      <c r="V174">
        <v>6.5000000000000002E-2</v>
      </c>
      <c r="W174">
        <v>4.7</v>
      </c>
      <c r="X174">
        <v>4.7</v>
      </c>
      <c r="Y174">
        <v>12.5</v>
      </c>
    </row>
    <row r="175" spans="1:25" ht="60" customHeight="1" x14ac:dyDescent="0.25">
      <c r="A175"/>
      <c r="B175" t="s">
        <v>3367</v>
      </c>
      <c r="C175" t="s">
        <v>3369</v>
      </c>
      <c r="D175" t="s">
        <v>643</v>
      </c>
      <c r="E175" t="s">
        <v>2846</v>
      </c>
      <c r="F175" t="s">
        <v>2297</v>
      </c>
      <c r="G175" t="s">
        <v>1506</v>
      </c>
      <c r="H175" s="30">
        <v>13.96</v>
      </c>
      <c r="I175" s="29">
        <f>H175*(1-IFERROR(VLOOKUP(G175,Rabat!$D$10:$E$41,2,FALSE),0))</f>
        <v>13.96</v>
      </c>
      <c r="J175" t="s">
        <v>1900</v>
      </c>
      <c r="K175" t="s">
        <v>2341</v>
      </c>
      <c r="L175" t="s">
        <v>1901</v>
      </c>
      <c r="M175">
        <v>100</v>
      </c>
      <c r="N175">
        <v>2500</v>
      </c>
      <c r="O175" t="s">
        <v>3434</v>
      </c>
      <c r="P175" s="31" t="str">
        <f>HYPERLINK("https://b2b.kobi.pl/pl/product/12528,zarowka-filamentowa-led-fgs-12w-e27-4000k-kobi-360-line?currency=PLN")</f>
        <v>https://b2b.kobi.pl/pl/product/12528,zarowka-filamentowa-led-fgs-12w-e27-4000k-kobi-360-line?currency=PLN</v>
      </c>
      <c r="Q175" s="31" t="str">
        <f>HYPERLINK("https://eprel.ec.europa.eu/qr/2266466")</f>
        <v>https://eprel.ec.europa.eu/qr/2266466</v>
      </c>
      <c r="R175"/>
      <c r="S175" t="s">
        <v>2673</v>
      </c>
      <c r="T175"/>
      <c r="U175">
        <v>1.83E-2</v>
      </c>
      <c r="V175">
        <v>3.2000000000000001E-2</v>
      </c>
      <c r="W175">
        <v>6.2</v>
      </c>
      <c r="X175">
        <v>6.2</v>
      </c>
      <c r="Y175">
        <v>11.8</v>
      </c>
    </row>
    <row r="176" spans="1:25" ht="60" customHeight="1" x14ac:dyDescent="0.25">
      <c r="A176"/>
      <c r="B176" t="s">
        <v>3367</v>
      </c>
      <c r="C176" t="s">
        <v>3369</v>
      </c>
      <c r="D176" t="s">
        <v>643</v>
      </c>
      <c r="E176" t="s">
        <v>2847</v>
      </c>
      <c r="F176" t="s">
        <v>1559</v>
      </c>
      <c r="G176" t="s">
        <v>1506</v>
      </c>
      <c r="H176" s="30">
        <v>6.88</v>
      </c>
      <c r="I176" s="29">
        <f>H176*(1-IFERROR(VLOOKUP(G176,Rabat!$D$10:$E$41,2,FALSE),0))</f>
        <v>6.88</v>
      </c>
      <c r="J176" t="s">
        <v>1900</v>
      </c>
      <c r="K176" t="s">
        <v>22</v>
      </c>
      <c r="L176" t="s">
        <v>1901</v>
      </c>
      <c r="M176">
        <v>100</v>
      </c>
      <c r="N176">
        <v>6000</v>
      </c>
      <c r="O176" t="s">
        <v>3434</v>
      </c>
      <c r="P176" s="31" t="str">
        <f>HYPERLINK("https://b2b.kobi.pl/pl/product/9471,zarowka-filamentowa-led-fde-4w-e14-3000k-kobi-360-line?currency=PLN")</f>
        <v>https://b2b.kobi.pl/pl/product/9471,zarowka-filamentowa-led-fde-4w-e14-3000k-kobi-360-line?currency=PLN</v>
      </c>
      <c r="Q176" s="31" t="str">
        <f>HYPERLINK("https://eprel.ec.europa.eu/qr/659618")</f>
        <v>https://eprel.ec.europa.eu/qr/659618</v>
      </c>
      <c r="R176"/>
      <c r="S176" t="s">
        <v>2673</v>
      </c>
      <c r="T176"/>
      <c r="U176">
        <v>1.2E-2</v>
      </c>
      <c r="V176">
        <v>2.7E-2</v>
      </c>
      <c r="W176">
        <v>4</v>
      </c>
      <c r="X176">
        <v>4</v>
      </c>
      <c r="Y176">
        <v>13.5</v>
      </c>
    </row>
    <row r="177" spans="1:25" ht="60" customHeight="1" x14ac:dyDescent="0.25">
      <c r="A177"/>
      <c r="B177" t="s">
        <v>3367</v>
      </c>
      <c r="C177" t="s">
        <v>3369</v>
      </c>
      <c r="D177" t="s">
        <v>631</v>
      </c>
      <c r="E177" t="s">
        <v>2963</v>
      </c>
      <c r="F177" t="s">
        <v>2964</v>
      </c>
      <c r="G177" t="s">
        <v>1506</v>
      </c>
      <c r="H177" s="30">
        <v>21.43</v>
      </c>
      <c r="I177" s="29">
        <f>H177*(1-IFERROR(VLOOKUP(G177,Rabat!$D$10:$E$41,2,FALSE),0))</f>
        <v>21.43</v>
      </c>
      <c r="J177" t="s">
        <v>1904</v>
      </c>
      <c r="K177" t="s">
        <v>2984</v>
      </c>
      <c r="L177" t="s">
        <v>1901</v>
      </c>
      <c r="M177">
        <v>100</v>
      </c>
      <c r="N177">
        <v>3600</v>
      </c>
      <c r="O177" t="s">
        <v>3434</v>
      </c>
      <c r="P177" s="31" t="str">
        <f>HYPERLINK("https://b2b.kobi.pl/pl/product/12912,zarowka-led-sw-8-5w-e27-4000k-kobi-premium?currency=PLN")</f>
        <v>https://b2b.kobi.pl/pl/product/12912,zarowka-led-sw-8-5w-e27-4000k-kobi-premium?currency=PLN</v>
      </c>
      <c r="Q177" s="31" t="str">
        <f>HYPERLINK("https://eprel.ec.europa.eu/qr/2420041")</f>
        <v>https://eprel.ec.europa.eu/qr/2420041</v>
      </c>
      <c r="R177"/>
      <c r="S177" t="s">
        <v>2673</v>
      </c>
      <c r="T177"/>
      <c r="U177">
        <v>0.05</v>
      </c>
      <c r="V177">
        <v>6.5000000000000002E-2</v>
      </c>
      <c r="W177">
        <v>4.7</v>
      </c>
      <c r="X177">
        <v>4.7</v>
      </c>
      <c r="Y177">
        <v>12.5</v>
      </c>
    </row>
    <row r="178" spans="1:25" ht="60" customHeight="1" x14ac:dyDescent="0.25">
      <c r="A178"/>
      <c r="B178" t="s">
        <v>3367</v>
      </c>
      <c r="C178" t="s">
        <v>3369</v>
      </c>
      <c r="D178" t="s">
        <v>643</v>
      </c>
      <c r="E178" t="s">
        <v>2848</v>
      </c>
      <c r="F178" t="s">
        <v>1564</v>
      </c>
      <c r="G178" t="s">
        <v>1506</v>
      </c>
      <c r="H178" s="30">
        <v>6.88</v>
      </c>
      <c r="I178" s="29">
        <f>H178*(1-IFERROR(VLOOKUP(G178,Rabat!$D$10:$E$41,2,FALSE),0))</f>
        <v>6.88</v>
      </c>
      <c r="J178" t="s">
        <v>1900</v>
      </c>
      <c r="K178" t="s">
        <v>23</v>
      </c>
      <c r="L178" t="s">
        <v>1901</v>
      </c>
      <c r="M178">
        <v>100</v>
      </c>
      <c r="N178">
        <v>4800</v>
      </c>
      <c r="O178" t="s">
        <v>3434</v>
      </c>
      <c r="P178" s="31" t="str">
        <f>HYPERLINK("https://b2b.kobi.pl/pl/product/9481,zarowka-filamentowa-led-fmb-4w-e14-3000k-kobi-360-line?currency=PLN")</f>
        <v>https://b2b.kobi.pl/pl/product/9481,zarowka-filamentowa-led-fmb-4w-e14-3000k-kobi-360-line?currency=PLN</v>
      </c>
      <c r="Q178" s="31" t="str">
        <f>HYPERLINK("https://eprel.ec.europa.eu/qr/659698")</f>
        <v>https://eprel.ec.europa.eu/qr/659698</v>
      </c>
      <c r="R178"/>
      <c r="S178" t="s">
        <v>2673</v>
      </c>
      <c r="T178"/>
      <c r="U178">
        <v>1.4E-2</v>
      </c>
      <c r="V178">
        <v>2.8000000000000001E-2</v>
      </c>
      <c r="W178">
        <v>4.9000000000000004</v>
      </c>
      <c r="X178">
        <v>4.9000000000000004</v>
      </c>
      <c r="Y178">
        <v>8.5</v>
      </c>
    </row>
    <row r="179" spans="1:25" ht="60" customHeight="1" x14ac:dyDescent="0.25">
      <c r="A179"/>
      <c r="B179" t="s">
        <v>3367</v>
      </c>
      <c r="C179" t="s">
        <v>3369</v>
      </c>
      <c r="D179" t="s">
        <v>631</v>
      </c>
      <c r="E179" t="s">
        <v>2965</v>
      </c>
      <c r="F179" t="s">
        <v>2966</v>
      </c>
      <c r="G179" t="s">
        <v>1506</v>
      </c>
      <c r="H179" s="30">
        <v>21.43</v>
      </c>
      <c r="I179" s="29">
        <f>H179*(1-IFERROR(VLOOKUP(G179,Rabat!$D$10:$E$41,2,FALSE),0))</f>
        <v>21.43</v>
      </c>
      <c r="J179" t="s">
        <v>1904</v>
      </c>
      <c r="K179" t="s">
        <v>2985</v>
      </c>
      <c r="L179" t="s">
        <v>1901</v>
      </c>
      <c r="M179">
        <v>100</v>
      </c>
      <c r="N179">
        <v>3600</v>
      </c>
      <c r="O179" t="s">
        <v>3434</v>
      </c>
      <c r="P179" s="31" t="str">
        <f>HYPERLINK("https://b2b.kobi.pl/pl/product/12913,zarowka-led-sw-8-5w-e27-6000k-kobi-premium?currency=PLN")</f>
        <v>https://b2b.kobi.pl/pl/product/12913,zarowka-led-sw-8-5w-e27-6000k-kobi-premium?currency=PLN</v>
      </c>
      <c r="Q179" s="31" t="str">
        <f>HYPERLINK("https://eprel.ec.europa.eu/qr/2420055")</f>
        <v>https://eprel.ec.europa.eu/qr/2420055</v>
      </c>
      <c r="R179"/>
      <c r="S179" t="s">
        <v>2673</v>
      </c>
      <c r="T179"/>
      <c r="U179">
        <v>0.05</v>
      </c>
      <c r="V179">
        <v>6.5000000000000002E-2</v>
      </c>
      <c r="W179">
        <v>4.7</v>
      </c>
      <c r="X179">
        <v>4.7</v>
      </c>
      <c r="Y179">
        <v>12.5</v>
      </c>
    </row>
    <row r="180" spans="1:25" ht="60" customHeight="1" x14ac:dyDescent="0.25">
      <c r="A180"/>
      <c r="B180" t="s">
        <v>3367</v>
      </c>
      <c r="C180" t="s">
        <v>3369</v>
      </c>
      <c r="D180" t="s">
        <v>643</v>
      </c>
      <c r="E180" t="s">
        <v>2849</v>
      </c>
      <c r="F180" t="s">
        <v>1565</v>
      </c>
      <c r="G180" t="s">
        <v>1506</v>
      </c>
      <c r="H180" s="30">
        <v>6.88</v>
      </c>
      <c r="I180" s="29">
        <f>H180*(1-IFERROR(VLOOKUP(G180,Rabat!$D$10:$E$41,2,FALSE),0))</f>
        <v>6.88</v>
      </c>
      <c r="J180" t="s">
        <v>1900</v>
      </c>
      <c r="K180" t="s">
        <v>29</v>
      </c>
      <c r="L180" t="s">
        <v>1901</v>
      </c>
      <c r="M180">
        <v>100</v>
      </c>
      <c r="N180">
        <v>4800</v>
      </c>
      <c r="O180" t="s">
        <v>3434</v>
      </c>
      <c r="P180" s="31" t="str">
        <f>HYPERLINK("https://b2b.kobi.pl/pl/product/9483,zarowka-filamentowa-led-fmb-4w-e27-3000k-kobi-360-line?currency=PLN")</f>
        <v>https://b2b.kobi.pl/pl/product/9483,zarowka-filamentowa-led-fmb-4w-e27-3000k-kobi-360-line?currency=PLN</v>
      </c>
      <c r="Q180" s="31" t="str">
        <f>HYPERLINK("https://eprel.ec.europa.eu/qr/659707")</f>
        <v>https://eprel.ec.europa.eu/qr/659707</v>
      </c>
      <c r="R180"/>
      <c r="S180" t="s">
        <v>2673</v>
      </c>
      <c r="T180"/>
      <c r="U180">
        <v>1.7999999999999999E-2</v>
      </c>
      <c r="V180">
        <v>2.9000000000000001E-2</v>
      </c>
      <c r="W180">
        <v>5.4</v>
      </c>
      <c r="X180">
        <v>5.4</v>
      </c>
      <c r="Y180">
        <v>9</v>
      </c>
    </row>
    <row r="181" spans="1:25" ht="60" customHeight="1" x14ac:dyDescent="0.25">
      <c r="A181"/>
      <c r="B181" t="s">
        <v>3367</v>
      </c>
      <c r="C181" t="s">
        <v>3369</v>
      </c>
      <c r="D181" t="s">
        <v>643</v>
      </c>
      <c r="E181" t="s">
        <v>2850</v>
      </c>
      <c r="F181" t="s">
        <v>2369</v>
      </c>
      <c r="G181" t="s">
        <v>1506</v>
      </c>
      <c r="H181" s="30">
        <v>7.71</v>
      </c>
      <c r="I181" s="29">
        <f>H181*(1-IFERROR(VLOOKUP(G181,Rabat!$D$10:$E$41,2,FALSE),0))</f>
        <v>7.71</v>
      </c>
      <c r="J181" t="s">
        <v>1900</v>
      </c>
      <c r="K181" t="s">
        <v>2375</v>
      </c>
      <c r="L181" t="s">
        <v>1901</v>
      </c>
      <c r="M181">
        <v>100</v>
      </c>
      <c r="N181">
        <v>4200</v>
      </c>
      <c r="O181" t="s">
        <v>3434</v>
      </c>
      <c r="P181" s="31" t="str">
        <f>HYPERLINK("https://b2b.kobi.pl/pl/product/12523,zarowka-filamentowa-led-fmb-4w-e27-3000k-mleczna-kobi-360-line?currency=PLN")</f>
        <v>https://b2b.kobi.pl/pl/product/12523,zarowka-filamentowa-led-fmb-4w-e27-3000k-mleczna-kobi-360-line?currency=PLN</v>
      </c>
      <c r="Q181" s="31" t="str">
        <f>HYPERLINK("https://eprel.ec.europa.eu/qr/2265611")</f>
        <v>https://eprel.ec.europa.eu/qr/2265611</v>
      </c>
      <c r="R181"/>
      <c r="S181" t="s">
        <v>2673</v>
      </c>
      <c r="T181"/>
      <c r="U181">
        <v>1.6E-2</v>
      </c>
      <c r="V181">
        <v>1.06E-2</v>
      </c>
      <c r="W181">
        <v>4.5999999999999996</v>
      </c>
      <c r="X181">
        <v>4.5999999999999996</v>
      </c>
      <c r="Y181">
        <v>8.8000000000000007</v>
      </c>
    </row>
    <row r="182" spans="1:25" ht="60" customHeight="1" x14ac:dyDescent="0.25">
      <c r="A182"/>
      <c r="B182" t="s">
        <v>3367</v>
      </c>
      <c r="C182" t="s">
        <v>3369</v>
      </c>
      <c r="D182" t="s">
        <v>643</v>
      </c>
      <c r="E182" t="s">
        <v>2851</v>
      </c>
      <c r="F182" t="s">
        <v>1566</v>
      </c>
      <c r="G182" t="s">
        <v>1506</v>
      </c>
      <c r="H182" s="30">
        <v>6.88</v>
      </c>
      <c r="I182" s="29">
        <f>H182*(1-IFERROR(VLOOKUP(G182,Rabat!$D$10:$E$41,2,FALSE),0))</f>
        <v>6.88</v>
      </c>
      <c r="J182" t="s">
        <v>1900</v>
      </c>
      <c r="K182" t="s">
        <v>24</v>
      </c>
      <c r="L182" t="s">
        <v>1901</v>
      </c>
      <c r="M182">
        <v>100</v>
      </c>
      <c r="N182">
        <v>7000</v>
      </c>
      <c r="O182" t="s">
        <v>3434</v>
      </c>
      <c r="P182" s="31" t="str">
        <f>HYPERLINK("https://b2b.kobi.pl/pl/product/9486,zarowka-filamentowa-led-fsw-4w-e14-3000k-kobi-360-line?currency=PLN")</f>
        <v>https://b2b.kobi.pl/pl/product/9486,zarowka-filamentowa-led-fsw-4w-e14-3000k-kobi-360-line?currency=PLN</v>
      </c>
      <c r="Q182" s="31" t="str">
        <f>HYPERLINK("https://eprel.ec.europa.eu/qr/659719")</f>
        <v>https://eprel.ec.europa.eu/qr/659719</v>
      </c>
      <c r="R182"/>
      <c r="S182" t="s">
        <v>2673</v>
      </c>
      <c r="T182"/>
      <c r="U182">
        <v>1.2999999999999999E-2</v>
      </c>
      <c r="V182">
        <v>2.5999999999999999E-2</v>
      </c>
      <c r="W182">
        <v>4</v>
      </c>
      <c r="X182">
        <v>4</v>
      </c>
      <c r="Y182">
        <v>11.5</v>
      </c>
    </row>
    <row r="183" spans="1:25" ht="60" customHeight="1" x14ac:dyDescent="0.25">
      <c r="A183"/>
      <c r="B183" t="s">
        <v>3367</v>
      </c>
      <c r="C183" t="s">
        <v>3369</v>
      </c>
      <c r="D183" t="s">
        <v>17</v>
      </c>
      <c r="E183" t="s">
        <v>1763</v>
      </c>
      <c r="F183" t="s">
        <v>1764</v>
      </c>
      <c r="G183" t="s">
        <v>1506</v>
      </c>
      <c r="H183" s="30">
        <v>3.38</v>
      </c>
      <c r="I183" s="29">
        <f>H183*(1-IFERROR(VLOOKUP(G183,Rabat!$D$10:$E$41,2,FALSE),0))</f>
        <v>3.38</v>
      </c>
      <c r="J183" t="s">
        <v>1902</v>
      </c>
      <c r="K183" t="s">
        <v>30</v>
      </c>
      <c r="L183" t="s">
        <v>1901</v>
      </c>
      <c r="M183">
        <v>200</v>
      </c>
      <c r="N183">
        <v>4000</v>
      </c>
      <c r="O183" t="s">
        <v>3434</v>
      </c>
      <c r="P183" s="31" t="str">
        <f>HYPERLINK("https://b2b.kobi.pl/pl/product/9588,zarowka-led-st45-1w-e27-2700k-led2b?currency=PLN")</f>
        <v>https://b2b.kobi.pl/pl/product/9588,zarowka-led-st45-1w-e27-2700k-led2b?currency=PLN</v>
      </c>
      <c r="Q183" t="s">
        <v>15</v>
      </c>
      <c r="R183"/>
      <c r="S183" t="s">
        <v>2673</v>
      </c>
      <c r="T183"/>
      <c r="U183">
        <v>0.01</v>
      </c>
      <c r="V183">
        <v>2.5000000000000001E-2</v>
      </c>
      <c r="W183">
        <v>4.5</v>
      </c>
      <c r="X183">
        <v>4.5</v>
      </c>
      <c r="Y183">
        <v>8.8000000000000007</v>
      </c>
    </row>
    <row r="184" spans="1:25" ht="60" customHeight="1" x14ac:dyDescent="0.25">
      <c r="A184"/>
      <c r="B184" t="s">
        <v>3367</v>
      </c>
      <c r="C184" t="s">
        <v>3369</v>
      </c>
      <c r="D184" t="s">
        <v>1558</v>
      </c>
      <c r="E184" t="s">
        <v>3048</v>
      </c>
      <c r="F184" t="s">
        <v>1563</v>
      </c>
      <c r="G184" t="s">
        <v>1506</v>
      </c>
      <c r="H184" s="30">
        <v>7.74</v>
      </c>
      <c r="I184" s="29">
        <f>H184*(1-IFERROR(VLOOKUP(G184,Rabat!$D$10:$E$41,2,FALSE),0))</f>
        <v>7.74</v>
      </c>
      <c r="J184" t="s">
        <v>1902</v>
      </c>
      <c r="K184" t="s">
        <v>28</v>
      </c>
      <c r="L184" t="s">
        <v>1901</v>
      </c>
      <c r="M184">
        <v>100</v>
      </c>
      <c r="N184">
        <v>4000</v>
      </c>
      <c r="O184" t="s">
        <v>3434</v>
      </c>
      <c r="P184" s="31" t="str">
        <f>HYPERLINK("https://b2b.kobi.pl/pl/product/9482,zarowka-filamentowa-led-fmb-1-3w-e27-2700k-kobi-360-line?currency=PLN")</f>
        <v>https://b2b.kobi.pl/pl/product/9482,zarowka-filamentowa-led-fmb-1-3w-e27-2700k-kobi-360-line?currency=PLN</v>
      </c>
      <c r="Q184" t="s">
        <v>15</v>
      </c>
      <c r="R184"/>
      <c r="S184" t="s">
        <v>2673</v>
      </c>
      <c r="T184"/>
      <c r="U184">
        <v>1.2999999999999999E-2</v>
      </c>
      <c r="V184">
        <v>2.8000000000000001E-2</v>
      </c>
      <c r="W184">
        <v>5.4</v>
      </c>
      <c r="X184">
        <v>5.4</v>
      </c>
      <c r="Y184">
        <v>9</v>
      </c>
    </row>
    <row r="185" spans="1:25" ht="60" customHeight="1" x14ac:dyDescent="0.25">
      <c r="A185"/>
      <c r="B185" t="s">
        <v>3367</v>
      </c>
      <c r="C185" t="s">
        <v>3369</v>
      </c>
      <c r="D185" t="s">
        <v>17</v>
      </c>
      <c r="E185" t="s">
        <v>3178</v>
      </c>
      <c r="F185" t="s">
        <v>3179</v>
      </c>
      <c r="G185" t="s">
        <v>1506</v>
      </c>
      <c r="H185" s="30">
        <v>3.38</v>
      </c>
      <c r="I185" s="29">
        <f>H185*(1-IFERROR(VLOOKUP(G185,Rabat!$D$10:$E$41,2,FALSE),0))</f>
        <v>3.38</v>
      </c>
      <c r="J185" t="s">
        <v>1902</v>
      </c>
      <c r="K185" t="s">
        <v>3217</v>
      </c>
      <c r="L185" t="s">
        <v>1901</v>
      </c>
      <c r="M185">
        <v>200</v>
      </c>
      <c r="N185"/>
      <c r="O185" t="s">
        <v>3434</v>
      </c>
      <c r="P185" s="31" t="str">
        <f>HYPERLINK("https://b2b.kobi.pl/pl/product/13061,zarowka-led-st45-1w-e27-2700k-dymiona-led2b?currency=PLN")</f>
        <v>https://b2b.kobi.pl/pl/product/13061,zarowka-led-st45-1w-e27-2700k-dymiona-led2b?currency=PLN</v>
      </c>
      <c r="Q185" t="s">
        <v>15</v>
      </c>
      <c r="R185"/>
      <c r="S185" t="s">
        <v>2673</v>
      </c>
      <c r="T185"/>
      <c r="U185">
        <v>0.01</v>
      </c>
      <c r="V185">
        <v>2.5000000000000001E-2</v>
      </c>
      <c r="W185">
        <v>4.5</v>
      </c>
      <c r="X185">
        <v>4.5</v>
      </c>
      <c r="Y185">
        <v>8.8000000000000007</v>
      </c>
    </row>
    <row r="186" spans="1:25" ht="60" customHeight="1" x14ac:dyDescent="0.25">
      <c r="A186"/>
      <c r="B186" t="s">
        <v>3367</v>
      </c>
      <c r="C186" t="s">
        <v>3369</v>
      </c>
      <c r="D186" t="s">
        <v>643</v>
      </c>
      <c r="E186" t="s">
        <v>1755</v>
      </c>
      <c r="F186" t="s">
        <v>1756</v>
      </c>
      <c r="G186" t="s">
        <v>1506</v>
      </c>
      <c r="H186" s="30">
        <v>10</v>
      </c>
      <c r="I186" s="29">
        <f>H186*(1-IFERROR(VLOOKUP(G186,Rabat!$D$10:$E$41,2,FALSE),0))</f>
        <v>10</v>
      </c>
      <c r="J186" t="s">
        <v>1905</v>
      </c>
      <c r="K186" t="s">
        <v>116</v>
      </c>
      <c r="L186" t="s">
        <v>1901</v>
      </c>
      <c r="M186">
        <v>100</v>
      </c>
      <c r="N186">
        <v>4800</v>
      </c>
      <c r="O186" t="s">
        <v>3434</v>
      </c>
      <c r="P186" s="31" t="str">
        <f>HYPERLINK("https://b2b.kobi.pl/pl/product/9689,zarowka-led-r50-5w-e14-3000k-kobi?currency=PLN")</f>
        <v>https://b2b.kobi.pl/pl/product/9689,zarowka-led-r50-5w-e14-3000k-kobi?currency=PLN</v>
      </c>
      <c r="Q186" s="31" t="str">
        <f>HYPERLINK("https://eprel.ec.europa.eu/qr/660746")</f>
        <v>https://eprel.ec.europa.eu/qr/660746</v>
      </c>
      <c r="R186"/>
      <c r="S186" t="s">
        <v>2673</v>
      </c>
      <c r="T186"/>
      <c r="U186">
        <v>2.1999999999999999E-2</v>
      </c>
      <c r="V186">
        <v>2.8500000000000001E-2</v>
      </c>
      <c r="W186">
        <v>5.0999999999999996</v>
      </c>
      <c r="X186">
        <v>5.0999999999999996</v>
      </c>
      <c r="Y186">
        <v>8.6</v>
      </c>
    </row>
    <row r="187" spans="1:25" ht="60" customHeight="1" x14ac:dyDescent="0.25">
      <c r="A187"/>
      <c r="B187" t="s">
        <v>3367</v>
      </c>
      <c r="C187" t="s">
        <v>3369</v>
      </c>
      <c r="D187" t="s">
        <v>643</v>
      </c>
      <c r="E187" t="s">
        <v>1757</v>
      </c>
      <c r="F187" t="s">
        <v>1758</v>
      </c>
      <c r="G187" t="s">
        <v>1506</v>
      </c>
      <c r="H187" s="30">
        <v>10</v>
      </c>
      <c r="I187" s="29">
        <f>H187*(1-IFERROR(VLOOKUP(G187,Rabat!$D$10:$E$41,2,FALSE),0))</f>
        <v>10</v>
      </c>
      <c r="J187" t="s">
        <v>1905</v>
      </c>
      <c r="K187" t="s">
        <v>117</v>
      </c>
      <c r="L187" t="s">
        <v>1901</v>
      </c>
      <c r="M187">
        <v>100</v>
      </c>
      <c r="N187">
        <v>4800</v>
      </c>
      <c r="O187" t="s">
        <v>3434</v>
      </c>
      <c r="P187" s="31" t="str">
        <f>HYPERLINK("https://b2b.kobi.pl/pl/product/9690,zarowka-led-r50-5w-e14-4000k-kobi?currency=PLN")</f>
        <v>https://b2b.kobi.pl/pl/product/9690,zarowka-led-r50-5w-e14-4000k-kobi?currency=PLN</v>
      </c>
      <c r="Q187" s="31" t="str">
        <f>HYPERLINK("https://eprel.ec.europa.eu/qr/660747")</f>
        <v>https://eprel.ec.europa.eu/qr/660747</v>
      </c>
      <c r="R187"/>
      <c r="S187" t="s">
        <v>2673</v>
      </c>
      <c r="T187"/>
      <c r="U187">
        <v>2.1999999999999999E-2</v>
      </c>
      <c r="V187">
        <v>2.8500000000000001E-2</v>
      </c>
      <c r="W187">
        <v>5.0999999999999996</v>
      </c>
      <c r="X187">
        <v>5.0999999999999996</v>
      </c>
      <c r="Y187">
        <v>8.6</v>
      </c>
    </row>
    <row r="188" spans="1:25" ht="60" customHeight="1" x14ac:dyDescent="0.25">
      <c r="A188"/>
      <c r="B188" t="s">
        <v>3367</v>
      </c>
      <c r="C188" t="s">
        <v>3369</v>
      </c>
      <c r="D188" t="s">
        <v>643</v>
      </c>
      <c r="E188" t="s">
        <v>1759</v>
      </c>
      <c r="F188" t="s">
        <v>1760</v>
      </c>
      <c r="G188" t="s">
        <v>1506</v>
      </c>
      <c r="H188" s="30">
        <v>11.48</v>
      </c>
      <c r="I188" s="29">
        <f>H188*(1-IFERROR(VLOOKUP(G188,Rabat!$D$10:$E$41,2,FALSE),0))</f>
        <v>11.48</v>
      </c>
      <c r="J188" t="s">
        <v>1903</v>
      </c>
      <c r="K188" t="s">
        <v>118</v>
      </c>
      <c r="L188" t="s">
        <v>1901</v>
      </c>
      <c r="M188">
        <v>100</v>
      </c>
      <c r="N188">
        <v>2500</v>
      </c>
      <c r="O188" t="s">
        <v>3434</v>
      </c>
      <c r="P188" s="31" t="str">
        <f>HYPERLINK("https://b2b.kobi.pl/pl/product/9692,zarowka-led-r63-e27-3000k-kobi?currency=PLN")</f>
        <v>https://b2b.kobi.pl/pl/product/9692,zarowka-led-r63-e27-3000k-kobi?currency=PLN</v>
      </c>
      <c r="Q188" s="31" t="str">
        <f>HYPERLINK("https://eprel.ec.europa.eu/qr/660751")</f>
        <v>https://eprel.ec.europa.eu/qr/660751</v>
      </c>
      <c r="R188"/>
      <c r="S188" t="s">
        <v>2673</v>
      </c>
      <c r="T188"/>
      <c r="U188">
        <v>3.7999999999999999E-2</v>
      </c>
      <c r="V188">
        <v>4.6100000000000002E-2</v>
      </c>
      <c r="W188">
        <v>6.3</v>
      </c>
      <c r="X188">
        <v>6.3</v>
      </c>
      <c r="Y188">
        <v>10.3</v>
      </c>
    </row>
    <row r="189" spans="1:25" ht="60" customHeight="1" x14ac:dyDescent="0.25">
      <c r="A189"/>
      <c r="B189" t="s">
        <v>3367</v>
      </c>
      <c r="C189" t="s">
        <v>3369</v>
      </c>
      <c r="D189" t="s">
        <v>643</v>
      </c>
      <c r="E189" t="s">
        <v>1761</v>
      </c>
      <c r="F189" t="s">
        <v>1762</v>
      </c>
      <c r="G189" t="s">
        <v>1506</v>
      </c>
      <c r="H189" s="30">
        <v>11.48</v>
      </c>
      <c r="I189" s="29">
        <f>H189*(1-IFERROR(VLOOKUP(G189,Rabat!$D$10:$E$41,2,FALSE),0))</f>
        <v>11.48</v>
      </c>
      <c r="J189" t="s">
        <v>1903</v>
      </c>
      <c r="K189" t="s">
        <v>119</v>
      </c>
      <c r="L189" t="s">
        <v>1901</v>
      </c>
      <c r="M189">
        <v>100</v>
      </c>
      <c r="N189">
        <v>2500</v>
      </c>
      <c r="O189" t="s">
        <v>3434</v>
      </c>
      <c r="P189" s="31" t="str">
        <f>HYPERLINK("https://b2b.kobi.pl/pl/product/9693,zarowka-led-r63-e27-4000k-kobi?currency=PLN")</f>
        <v>https://b2b.kobi.pl/pl/product/9693,zarowka-led-r63-e27-4000k-kobi?currency=PLN</v>
      </c>
      <c r="Q189" s="31" t="str">
        <f>HYPERLINK("https://eprel.ec.europa.eu/qr/660752")</f>
        <v>https://eprel.ec.europa.eu/qr/660752</v>
      </c>
      <c r="R189"/>
      <c r="S189" t="s">
        <v>2673</v>
      </c>
      <c r="T189"/>
      <c r="U189">
        <v>3.7999999999999999E-2</v>
      </c>
      <c r="V189">
        <v>4.6100000000000002E-2</v>
      </c>
      <c r="W189">
        <v>6.3</v>
      </c>
      <c r="X189">
        <v>6.3</v>
      </c>
      <c r="Y189">
        <v>10.3</v>
      </c>
    </row>
    <row r="190" spans="1:25" ht="60" customHeight="1" x14ac:dyDescent="0.25">
      <c r="A190"/>
      <c r="B190" t="s">
        <v>3367</v>
      </c>
      <c r="C190" t="s">
        <v>3369</v>
      </c>
      <c r="D190" t="s">
        <v>643</v>
      </c>
      <c r="E190" t="s">
        <v>1815</v>
      </c>
      <c r="F190" t="s">
        <v>1816</v>
      </c>
      <c r="G190" t="s">
        <v>1506</v>
      </c>
      <c r="H190" s="30">
        <v>12.14</v>
      </c>
      <c r="I190" s="29">
        <f>H190*(1-IFERROR(VLOOKUP(G190,Rabat!$D$10:$E$41,2,FALSE),0))</f>
        <v>12.14</v>
      </c>
      <c r="J190" t="s">
        <v>1903</v>
      </c>
      <c r="K190" t="s">
        <v>139</v>
      </c>
      <c r="L190" t="s">
        <v>1901</v>
      </c>
      <c r="M190">
        <v>100</v>
      </c>
      <c r="N190">
        <v>20000</v>
      </c>
      <c r="O190" t="s">
        <v>3434</v>
      </c>
      <c r="P190" s="31" t="str">
        <f>HYPERLINK("https://b2b.kobi.pl/pl/product/9725,zarowka-led-t-2w-e14-4000k-kobi?currency=PLN")</f>
        <v>https://b2b.kobi.pl/pl/product/9725,zarowka-led-t-2w-e14-4000k-kobi?currency=PLN</v>
      </c>
      <c r="Q190" s="31" t="str">
        <f>HYPERLINK("https://eprel.ec.europa.eu/qr/770526")</f>
        <v>https://eprel.ec.europa.eu/qr/770526</v>
      </c>
      <c r="R190"/>
      <c r="S190" t="s">
        <v>2673</v>
      </c>
      <c r="T190"/>
      <c r="U190">
        <v>0.02</v>
      </c>
      <c r="V190">
        <v>0.01</v>
      </c>
      <c r="W190">
        <v>2.5</v>
      </c>
      <c r="X190">
        <v>2.5</v>
      </c>
      <c r="Y190">
        <v>5.6</v>
      </c>
    </row>
    <row r="191" spans="1:25" ht="60" customHeight="1" x14ac:dyDescent="0.25">
      <c r="A191"/>
      <c r="B191" t="s">
        <v>3367</v>
      </c>
      <c r="C191" t="s">
        <v>3369</v>
      </c>
      <c r="D191" t="s">
        <v>643</v>
      </c>
      <c r="E191" t="s">
        <v>1817</v>
      </c>
      <c r="F191" t="s">
        <v>1818</v>
      </c>
      <c r="G191" t="s">
        <v>1506</v>
      </c>
      <c r="H191" s="30">
        <v>16.899999999999999</v>
      </c>
      <c r="I191" s="29">
        <f>H191*(1-IFERROR(VLOOKUP(G191,Rabat!$D$10:$E$41,2,FALSE),0))</f>
        <v>16.899999999999999</v>
      </c>
      <c r="J191" t="s">
        <v>1903</v>
      </c>
      <c r="K191" t="s">
        <v>140</v>
      </c>
      <c r="L191" t="s">
        <v>1901</v>
      </c>
      <c r="M191">
        <v>100</v>
      </c>
      <c r="N191">
        <v>35000</v>
      </c>
      <c r="O191" t="s">
        <v>3434</v>
      </c>
      <c r="P191" s="31" t="str">
        <f>HYPERLINK("https://b2b.kobi.pl/pl/product/9726,zarowka-led-t-4-2w-e14-4000k-kobi?currency=PLN")</f>
        <v>https://b2b.kobi.pl/pl/product/9726,zarowka-led-t-4-2w-e14-4000k-kobi?currency=PLN</v>
      </c>
      <c r="Q191" s="31" t="str">
        <f>HYPERLINK("https://eprel.ec.europa.eu/qr/660816")</f>
        <v>https://eprel.ec.europa.eu/qr/660816</v>
      </c>
      <c r="R191"/>
      <c r="S191" t="s">
        <v>2673</v>
      </c>
      <c r="T191"/>
      <c r="U191">
        <v>1.4E-2</v>
      </c>
      <c r="V191">
        <v>0.17399999999999999</v>
      </c>
      <c r="W191">
        <v>2</v>
      </c>
      <c r="X191">
        <v>2</v>
      </c>
      <c r="Y191">
        <v>6.2</v>
      </c>
    </row>
    <row r="192" spans="1:25" ht="60" customHeight="1" x14ac:dyDescent="0.25">
      <c r="A192"/>
      <c r="B192" t="s">
        <v>3367</v>
      </c>
      <c r="C192" t="s">
        <v>3369</v>
      </c>
      <c r="D192" t="s">
        <v>643</v>
      </c>
      <c r="E192" t="s">
        <v>1589</v>
      </c>
      <c r="F192" t="s">
        <v>1590</v>
      </c>
      <c r="G192" t="s">
        <v>1506</v>
      </c>
      <c r="H192" s="30">
        <v>48.12</v>
      </c>
      <c r="I192" s="29">
        <f>H192*(1-IFERROR(VLOOKUP(G192,Rabat!$D$10:$E$41,2,FALSE),0))</f>
        <v>48.12</v>
      </c>
      <c r="J192" t="s">
        <v>1903</v>
      </c>
      <c r="K192" t="s">
        <v>41</v>
      </c>
      <c r="L192" t="s">
        <v>1901</v>
      </c>
      <c r="M192">
        <v>24</v>
      </c>
      <c r="N192">
        <v>384</v>
      </c>
      <c r="O192" t="s">
        <v>3434</v>
      </c>
      <c r="P192" s="31" t="str">
        <f>HYPERLINK("https://b2b.kobi.pl/pl/product/9487,zarowka-led-g120-24w-e27-3000k-kobi?currency=PLN")</f>
        <v>https://b2b.kobi.pl/pl/product/9487,zarowka-led-g120-24w-e27-3000k-kobi?currency=PLN</v>
      </c>
      <c r="Q192" s="31" t="str">
        <f>HYPERLINK("https://eprel.ec.europa.eu/qr/659726")</f>
        <v>https://eprel.ec.europa.eu/qr/659726</v>
      </c>
      <c r="R192"/>
      <c r="S192" t="s">
        <v>2673</v>
      </c>
      <c r="T192"/>
      <c r="U192">
        <v>0.23499999999999999</v>
      </c>
      <c r="V192">
        <v>0.3</v>
      </c>
      <c r="W192">
        <v>12.3</v>
      </c>
      <c r="X192">
        <v>12.3</v>
      </c>
      <c r="Y192">
        <v>17.3</v>
      </c>
    </row>
    <row r="193" spans="1:25" ht="60" customHeight="1" x14ac:dyDescent="0.25">
      <c r="A193"/>
      <c r="B193" t="s">
        <v>3367</v>
      </c>
      <c r="C193" t="s">
        <v>3369</v>
      </c>
      <c r="D193" t="s">
        <v>643</v>
      </c>
      <c r="E193" t="s">
        <v>1591</v>
      </c>
      <c r="F193" t="s">
        <v>1592</v>
      </c>
      <c r="G193" t="s">
        <v>1506</v>
      </c>
      <c r="H193" s="30">
        <v>48.12</v>
      </c>
      <c r="I193" s="29">
        <f>H193*(1-IFERROR(VLOOKUP(G193,Rabat!$D$10:$E$41,2,FALSE),0))</f>
        <v>48.12</v>
      </c>
      <c r="J193" t="s">
        <v>1903</v>
      </c>
      <c r="K193" t="s">
        <v>42</v>
      </c>
      <c r="L193" t="s">
        <v>1901</v>
      </c>
      <c r="M193">
        <v>24</v>
      </c>
      <c r="N193">
        <v>384</v>
      </c>
      <c r="O193" t="s">
        <v>3434</v>
      </c>
      <c r="P193" s="31" t="str">
        <f>HYPERLINK("https://b2b.kobi.pl/pl/product/9488,zarowka-led-g120-24w-e27-4000k-kobi?currency=PLN")</f>
        <v>https://b2b.kobi.pl/pl/product/9488,zarowka-led-g120-24w-e27-4000k-kobi?currency=PLN</v>
      </c>
      <c r="Q193" s="31" t="str">
        <f>HYPERLINK("https://eprel.ec.europa.eu/qr/659731")</f>
        <v>https://eprel.ec.europa.eu/qr/659731</v>
      </c>
      <c r="R193"/>
      <c r="S193" t="s">
        <v>2673</v>
      </c>
      <c r="T193"/>
      <c r="U193">
        <v>0.23499999999999999</v>
      </c>
      <c r="V193">
        <v>0.3</v>
      </c>
      <c r="W193">
        <v>12.3</v>
      </c>
      <c r="X193">
        <v>12.3</v>
      </c>
      <c r="Y193">
        <v>17.3</v>
      </c>
    </row>
    <row r="194" spans="1:25" ht="60" customHeight="1" x14ac:dyDescent="0.25">
      <c r="A194"/>
      <c r="B194" t="s">
        <v>3367</v>
      </c>
      <c r="C194" t="s">
        <v>6</v>
      </c>
      <c r="D194" t="s">
        <v>643</v>
      </c>
      <c r="E194" t="s">
        <v>2066</v>
      </c>
      <c r="F194" t="s">
        <v>2067</v>
      </c>
      <c r="G194" t="s">
        <v>645</v>
      </c>
      <c r="H194" s="30">
        <v>3</v>
      </c>
      <c r="I194" s="29">
        <f>H194*(1-IFERROR(VLOOKUP(G194,Rabat!$D$10:$E$41,2,FALSE),0))</f>
        <v>3</v>
      </c>
      <c r="J194" t="s">
        <v>1902</v>
      </c>
      <c r="K194" t="s">
        <v>2108</v>
      </c>
      <c r="L194" t="s">
        <v>1901</v>
      </c>
      <c r="M194">
        <v>10</v>
      </c>
      <c r="N194"/>
      <c r="O194" t="s">
        <v>3434</v>
      </c>
      <c r="P194" s="31" t="str">
        <f>HYPERLINK("https://b2b.kobi.pl/pl/product/12374,lacznik-i-tasmy-led-cob-8mm-kobi?currency=PLN")</f>
        <v>https://b2b.kobi.pl/pl/product/12374,lacznik-i-tasmy-led-cob-8mm-kobi?currency=PLN</v>
      </c>
      <c r="Q194" t="s">
        <v>15</v>
      </c>
      <c r="R194"/>
      <c r="S194" t="s">
        <v>2674</v>
      </c>
      <c r="T194"/>
      <c r="U194">
        <v>7.4999999999999997E-3</v>
      </c>
      <c r="V194">
        <v>8.9999999999999993E-3</v>
      </c>
      <c r="W194">
        <v>10</v>
      </c>
      <c r="X194">
        <v>7</v>
      </c>
      <c r="Y194">
        <v>0.02</v>
      </c>
    </row>
    <row r="195" spans="1:25" ht="60" customHeight="1" x14ac:dyDescent="0.25">
      <c r="A195"/>
      <c r="B195" t="s">
        <v>3367</v>
      </c>
      <c r="C195" t="s">
        <v>6</v>
      </c>
      <c r="D195" t="s">
        <v>643</v>
      </c>
      <c r="E195" t="s">
        <v>2068</v>
      </c>
      <c r="F195" t="s">
        <v>2069</v>
      </c>
      <c r="G195" t="s">
        <v>645</v>
      </c>
      <c r="H195" s="30">
        <v>4.25</v>
      </c>
      <c r="I195" s="29">
        <f>H195*(1-IFERROR(VLOOKUP(G195,Rabat!$D$10:$E$41,2,FALSE),0))</f>
        <v>4.25</v>
      </c>
      <c r="J195" t="s">
        <v>1902</v>
      </c>
      <c r="K195" t="s">
        <v>2109</v>
      </c>
      <c r="L195" t="s">
        <v>1901</v>
      </c>
      <c r="M195">
        <v>10</v>
      </c>
      <c r="N195"/>
      <c r="O195" t="s">
        <v>3434</v>
      </c>
      <c r="P195" s="31" t="str">
        <f>HYPERLINK("https://b2b.kobi.pl/pl/product/12375,lacznik-10-cm-tasmy-led-cob-8mm-kobi?currency=PLN")</f>
        <v>https://b2b.kobi.pl/pl/product/12375,lacznik-10-cm-tasmy-led-cob-8mm-kobi?currency=PLN</v>
      </c>
      <c r="Q195" t="s">
        <v>15</v>
      </c>
      <c r="R195"/>
      <c r="S195" t="s">
        <v>2674</v>
      </c>
      <c r="T195"/>
      <c r="U195">
        <v>2.9000000000000001E-2</v>
      </c>
      <c r="V195">
        <v>3.2000000000000001E-2</v>
      </c>
      <c r="W195">
        <v>15</v>
      </c>
      <c r="X195">
        <v>10</v>
      </c>
      <c r="Y195">
        <v>0.2</v>
      </c>
    </row>
    <row r="196" spans="1:25" ht="60" customHeight="1" x14ac:dyDescent="0.25">
      <c r="A196"/>
      <c r="B196" t="s">
        <v>3367</v>
      </c>
      <c r="C196" t="s">
        <v>6</v>
      </c>
      <c r="D196" t="s">
        <v>643</v>
      </c>
      <c r="E196" t="s">
        <v>2070</v>
      </c>
      <c r="F196" t="s">
        <v>2071</v>
      </c>
      <c r="G196" t="s">
        <v>645</v>
      </c>
      <c r="H196" s="30">
        <v>6.25</v>
      </c>
      <c r="I196" s="29">
        <f>H196*(1-IFERROR(VLOOKUP(G196,Rabat!$D$10:$E$41,2,FALSE),0))</f>
        <v>6.25</v>
      </c>
      <c r="J196" t="s">
        <v>1902</v>
      </c>
      <c r="K196" t="s">
        <v>2110</v>
      </c>
      <c r="L196" t="s">
        <v>1901</v>
      </c>
      <c r="M196">
        <v>10</v>
      </c>
      <c r="N196"/>
      <c r="O196" t="s">
        <v>3434</v>
      </c>
      <c r="P196" s="31" t="str">
        <f>HYPERLINK("https://b2b.kobi.pl/pl/product/12376,lacznik-dwustronny-10-cm-tasmy-led-cob-8mm-kobi?currency=PLN")</f>
        <v>https://b2b.kobi.pl/pl/product/12376,lacznik-dwustronny-10-cm-tasmy-led-cob-8mm-kobi?currency=PLN</v>
      </c>
      <c r="Q196" t="s">
        <v>15</v>
      </c>
      <c r="R196"/>
      <c r="S196" t="s">
        <v>2674</v>
      </c>
      <c r="T196"/>
      <c r="U196">
        <v>2.1000000000000001E-2</v>
      </c>
      <c r="V196">
        <v>2.3E-2</v>
      </c>
      <c r="W196">
        <v>17</v>
      </c>
      <c r="X196">
        <v>12</v>
      </c>
      <c r="Y196">
        <v>0.2</v>
      </c>
    </row>
    <row r="197" spans="1:25" ht="60" customHeight="1" x14ac:dyDescent="0.25">
      <c r="A197"/>
      <c r="B197" t="s">
        <v>3367</v>
      </c>
      <c r="C197" t="s">
        <v>6</v>
      </c>
      <c r="D197" t="s">
        <v>643</v>
      </c>
      <c r="E197" t="s">
        <v>2072</v>
      </c>
      <c r="F197" t="s">
        <v>2073</v>
      </c>
      <c r="G197" t="s">
        <v>645</v>
      </c>
      <c r="H197" s="30">
        <v>6.75</v>
      </c>
      <c r="I197" s="29">
        <f>H197*(1-IFERROR(VLOOKUP(G197,Rabat!$D$10:$E$41,2,FALSE),0))</f>
        <v>6.75</v>
      </c>
      <c r="J197" t="s">
        <v>1902</v>
      </c>
      <c r="K197" t="s">
        <v>2111</v>
      </c>
      <c r="L197" t="s">
        <v>1901</v>
      </c>
      <c r="M197">
        <v>10</v>
      </c>
      <c r="N197"/>
      <c r="O197" t="s">
        <v>3434</v>
      </c>
      <c r="P197" s="31" t="str">
        <f>HYPERLINK("https://b2b.kobi.pl/pl/product/12377,lacznik-l-tasmy-led-cob-8mm-kobi?currency=PLN")</f>
        <v>https://b2b.kobi.pl/pl/product/12377,lacznik-l-tasmy-led-cob-8mm-kobi?currency=PLN</v>
      </c>
      <c r="Q197" t="s">
        <v>15</v>
      </c>
      <c r="R197"/>
      <c r="S197" t="s">
        <v>2674</v>
      </c>
      <c r="T197"/>
      <c r="U197">
        <v>1.2E-2</v>
      </c>
      <c r="V197">
        <v>1.4E-2</v>
      </c>
      <c r="W197">
        <v>7</v>
      </c>
      <c r="X197">
        <v>10</v>
      </c>
      <c r="Y197">
        <v>0.2</v>
      </c>
    </row>
    <row r="198" spans="1:25" ht="60" customHeight="1" x14ac:dyDescent="0.25">
      <c r="A198"/>
      <c r="B198" t="s">
        <v>4</v>
      </c>
      <c r="C198" t="s">
        <v>608</v>
      </c>
      <c r="D198" t="s">
        <v>643</v>
      </c>
      <c r="E198" t="s">
        <v>999</v>
      </c>
      <c r="F198" t="s">
        <v>1000</v>
      </c>
      <c r="G198" t="s">
        <v>996</v>
      </c>
      <c r="H198" s="30">
        <v>30</v>
      </c>
      <c r="I198" s="29">
        <f>H198*(1-IFERROR(VLOOKUP(G198,Rabat!$D$10:$E$41,2,FALSE),0))</f>
        <v>30</v>
      </c>
      <c r="J198" t="s">
        <v>1902</v>
      </c>
      <c r="K198" t="s">
        <v>197</v>
      </c>
      <c r="L198" t="s">
        <v>1901</v>
      </c>
      <c r="M198">
        <v>18</v>
      </c>
      <c r="N198">
        <v>360</v>
      </c>
      <c r="O198" t="s">
        <v>3434</v>
      </c>
      <c r="P198" s="31" t="str">
        <f>HYPERLINK("https://b2b.kobi.pl/pl/product/9941,oprawa-hermetyczna-hermetic-1x60-ip65-kobi?currency=PLN")</f>
        <v>https://b2b.kobi.pl/pl/product/9941,oprawa-hermetyczna-hermetic-1x60-ip65-kobi?currency=PLN</v>
      </c>
      <c r="Q198" t="s">
        <v>15</v>
      </c>
      <c r="R198"/>
      <c r="S198" t="s">
        <v>2675</v>
      </c>
      <c r="T198"/>
      <c r="U198">
        <v>0.31900000000000001</v>
      </c>
      <c r="V198">
        <v>0.41299999999999998</v>
      </c>
      <c r="W198">
        <v>6</v>
      </c>
      <c r="X198">
        <v>70.5</v>
      </c>
      <c r="Y198">
        <v>7.5</v>
      </c>
    </row>
    <row r="199" spans="1:25" ht="60" customHeight="1" x14ac:dyDescent="0.25">
      <c r="A199"/>
      <c r="B199" t="s">
        <v>4</v>
      </c>
      <c r="C199" t="s">
        <v>608</v>
      </c>
      <c r="D199" t="s">
        <v>643</v>
      </c>
      <c r="E199" t="s">
        <v>994</v>
      </c>
      <c r="F199" t="s">
        <v>995</v>
      </c>
      <c r="G199" t="s">
        <v>996</v>
      </c>
      <c r="H199" s="30">
        <v>40</v>
      </c>
      <c r="I199" s="29">
        <f>H199*(1-IFERROR(VLOOKUP(G199,Rabat!$D$10:$E$41,2,FALSE),0))</f>
        <v>40</v>
      </c>
      <c r="J199" t="s">
        <v>1902</v>
      </c>
      <c r="K199" t="s">
        <v>198</v>
      </c>
      <c r="L199" t="s">
        <v>1901</v>
      </c>
      <c r="M199">
        <v>12</v>
      </c>
      <c r="N199">
        <v>216</v>
      </c>
      <c r="O199" t="s">
        <v>3434</v>
      </c>
      <c r="P199" s="31" t="str">
        <f>HYPERLINK("https://b2b.kobi.pl/pl/product/9939,oprawa-hermetyczna-hermetic-1x120-ip65-kobi?currency=PLN")</f>
        <v>https://b2b.kobi.pl/pl/product/9939,oprawa-hermetyczna-hermetic-1x120-ip65-kobi?currency=PLN</v>
      </c>
      <c r="Q199" t="s">
        <v>15</v>
      </c>
      <c r="R199"/>
      <c r="S199" t="s">
        <v>2675</v>
      </c>
      <c r="T199"/>
      <c r="U199">
        <v>0.56299999999999994</v>
      </c>
      <c r="V199">
        <v>0.70199999999999996</v>
      </c>
      <c r="W199">
        <v>130.80000000000001</v>
      </c>
      <c r="X199">
        <v>7.5</v>
      </c>
      <c r="Y199">
        <v>6</v>
      </c>
    </row>
    <row r="200" spans="1:25" ht="60" customHeight="1" x14ac:dyDescent="0.25">
      <c r="A200"/>
      <c r="B200" t="s">
        <v>4</v>
      </c>
      <c r="C200" t="s">
        <v>608</v>
      </c>
      <c r="D200" t="s">
        <v>643</v>
      </c>
      <c r="E200" t="s">
        <v>997</v>
      </c>
      <c r="F200" t="s">
        <v>998</v>
      </c>
      <c r="G200" t="s">
        <v>996</v>
      </c>
      <c r="H200" s="30">
        <v>50</v>
      </c>
      <c r="I200" s="29">
        <f>H200*(1-IFERROR(VLOOKUP(G200,Rabat!$D$10:$E$41,2,FALSE),0))</f>
        <v>50</v>
      </c>
      <c r="J200" t="s">
        <v>1902</v>
      </c>
      <c r="K200" t="s">
        <v>199</v>
      </c>
      <c r="L200" t="s">
        <v>1901</v>
      </c>
      <c r="M200">
        <v>12</v>
      </c>
      <c r="N200">
        <v>144</v>
      </c>
      <c r="O200" t="s">
        <v>3434</v>
      </c>
      <c r="P200" s="31" t="str">
        <f>HYPERLINK("https://b2b.kobi.pl/pl/product/9940,oprawa-hermetyczna-hermetic-1x150-ip65-kobi?currency=PLN")</f>
        <v>https://b2b.kobi.pl/pl/product/9940,oprawa-hermetyczna-hermetic-1x150-ip65-kobi?currency=PLN</v>
      </c>
      <c r="Q200" t="s">
        <v>15</v>
      </c>
      <c r="R200"/>
      <c r="S200" t="s">
        <v>2675</v>
      </c>
      <c r="T200"/>
      <c r="U200">
        <v>0.67700000000000005</v>
      </c>
      <c r="V200">
        <v>0.84299999999999997</v>
      </c>
      <c r="W200">
        <v>161.5</v>
      </c>
      <c r="X200">
        <v>7</v>
      </c>
      <c r="Y200">
        <v>6.3</v>
      </c>
    </row>
    <row r="201" spans="1:25" ht="60" customHeight="1" x14ac:dyDescent="0.25">
      <c r="A201"/>
      <c r="B201" t="s">
        <v>4</v>
      </c>
      <c r="C201" t="s">
        <v>608</v>
      </c>
      <c r="D201" t="s">
        <v>643</v>
      </c>
      <c r="E201" t="s">
        <v>1010</v>
      </c>
      <c r="F201" t="s">
        <v>1011</v>
      </c>
      <c r="G201" t="s">
        <v>996</v>
      </c>
      <c r="H201" s="30">
        <v>37.56</v>
      </c>
      <c r="I201" s="29">
        <f>H201*(1-IFERROR(VLOOKUP(G201,Rabat!$D$10:$E$41,2,FALSE),0))</f>
        <v>37.56</v>
      </c>
      <c r="J201" t="s">
        <v>1902</v>
      </c>
      <c r="K201" t="s">
        <v>202</v>
      </c>
      <c r="L201" t="s">
        <v>1901</v>
      </c>
      <c r="M201">
        <v>10</v>
      </c>
      <c r="N201">
        <v>250</v>
      </c>
      <c r="O201" t="s">
        <v>3434</v>
      </c>
      <c r="P201" s="31" t="str">
        <f>HYPERLINK("https://b2b.kobi.pl/pl/product/9944,oprawa-hermetyczna-hermetic-2x60-ip65-kobi?currency=PLN")</f>
        <v>https://b2b.kobi.pl/pl/product/9944,oprawa-hermetyczna-hermetic-2x60-ip65-kobi?currency=PLN</v>
      </c>
      <c r="Q201" t="s">
        <v>15</v>
      </c>
      <c r="R201"/>
      <c r="S201" t="s">
        <v>2675</v>
      </c>
      <c r="T201"/>
      <c r="U201">
        <v>0.45200000000000001</v>
      </c>
      <c r="V201">
        <v>0.54800000000000004</v>
      </c>
      <c r="W201">
        <v>6</v>
      </c>
      <c r="X201">
        <v>69.5</v>
      </c>
      <c r="Y201">
        <v>11.5</v>
      </c>
    </row>
    <row r="202" spans="1:25" ht="60" customHeight="1" x14ac:dyDescent="0.25">
      <c r="A202"/>
      <c r="B202" t="s">
        <v>4</v>
      </c>
      <c r="C202" t="s">
        <v>608</v>
      </c>
      <c r="D202" t="s">
        <v>643</v>
      </c>
      <c r="E202" t="s">
        <v>1003</v>
      </c>
      <c r="F202" t="s">
        <v>1004</v>
      </c>
      <c r="G202" t="s">
        <v>996</v>
      </c>
      <c r="H202" s="30">
        <v>46.67</v>
      </c>
      <c r="I202" s="29">
        <f>H202*(1-IFERROR(VLOOKUP(G202,Rabat!$D$10:$E$41,2,FALSE),0))</f>
        <v>46.67</v>
      </c>
      <c r="J202" t="s">
        <v>1902</v>
      </c>
      <c r="K202" t="s">
        <v>200</v>
      </c>
      <c r="L202" t="s">
        <v>1901</v>
      </c>
      <c r="M202">
        <v>10</v>
      </c>
      <c r="N202">
        <v>150</v>
      </c>
      <c r="O202" t="s">
        <v>3434</v>
      </c>
      <c r="P202" s="31" t="str">
        <f>HYPERLINK("https://b2b.kobi.pl/pl/product/9942,oprawa-hermetyczna-hermetic-2x120-ip65-kobi?currency=PLN")</f>
        <v>https://b2b.kobi.pl/pl/product/9942,oprawa-hermetyczna-hermetic-2x120-ip65-kobi?currency=PLN</v>
      </c>
      <c r="Q202" t="s">
        <v>15</v>
      </c>
      <c r="R202"/>
      <c r="S202" t="s">
        <v>2675</v>
      </c>
      <c r="T202"/>
      <c r="U202">
        <v>0.74199999999999999</v>
      </c>
      <c r="V202">
        <v>0.91400000000000003</v>
      </c>
      <c r="W202">
        <v>130.5</v>
      </c>
      <c r="X202">
        <v>12</v>
      </c>
      <c r="Y202">
        <v>6</v>
      </c>
    </row>
    <row r="203" spans="1:25" ht="60" customHeight="1" x14ac:dyDescent="0.25">
      <c r="A203"/>
      <c r="B203" t="s">
        <v>4</v>
      </c>
      <c r="C203" t="s">
        <v>608</v>
      </c>
      <c r="D203" t="s">
        <v>643</v>
      </c>
      <c r="E203" t="s">
        <v>1007</v>
      </c>
      <c r="F203" t="s">
        <v>1008</v>
      </c>
      <c r="G203" t="s">
        <v>996</v>
      </c>
      <c r="H203" s="30">
        <v>64.44</v>
      </c>
      <c r="I203" s="29">
        <f>H203*(1-IFERROR(VLOOKUP(G203,Rabat!$D$10:$E$41,2,FALSE),0))</f>
        <v>64.44</v>
      </c>
      <c r="J203" t="s">
        <v>1902</v>
      </c>
      <c r="K203" t="s">
        <v>201</v>
      </c>
      <c r="L203" t="s">
        <v>1901</v>
      </c>
      <c r="M203">
        <v>8</v>
      </c>
      <c r="N203">
        <v>120</v>
      </c>
      <c r="O203" t="s">
        <v>3434</v>
      </c>
      <c r="P203" s="31" t="str">
        <f>HYPERLINK("https://b2b.kobi.pl/pl/product/9943,oprawa-hermetyczna-hermetic-2x150-ip65-kobi?currency=PLN")</f>
        <v>https://b2b.kobi.pl/pl/product/9943,oprawa-hermetyczna-hermetic-2x150-ip65-kobi?currency=PLN</v>
      </c>
      <c r="Q203" t="s">
        <v>15</v>
      </c>
      <c r="R203"/>
      <c r="S203" t="s">
        <v>2675</v>
      </c>
      <c r="T203"/>
      <c r="U203">
        <v>0.97299999999999998</v>
      </c>
      <c r="V203">
        <v>1.234</v>
      </c>
      <c r="W203">
        <v>159.4</v>
      </c>
      <c r="X203">
        <v>12</v>
      </c>
      <c r="Y203">
        <v>6</v>
      </c>
    </row>
    <row r="204" spans="1:25" ht="60" customHeight="1" x14ac:dyDescent="0.25">
      <c r="A204"/>
      <c r="B204" t="s">
        <v>4</v>
      </c>
      <c r="C204" t="s">
        <v>608</v>
      </c>
      <c r="D204" t="s">
        <v>643</v>
      </c>
      <c r="E204" t="s">
        <v>1544</v>
      </c>
      <c r="F204" t="s">
        <v>1545</v>
      </c>
      <c r="G204" t="s">
        <v>996</v>
      </c>
      <c r="H204" s="30">
        <v>66.69</v>
      </c>
      <c r="I204" s="29">
        <f>H204*(1-IFERROR(VLOOKUP(G204,Rabat!$D$10:$E$41,2,FALSE),0))</f>
        <v>66.69</v>
      </c>
      <c r="J204" t="s">
        <v>1902</v>
      </c>
      <c r="K204" t="s">
        <v>208</v>
      </c>
      <c r="L204" t="s">
        <v>1901</v>
      </c>
      <c r="M204">
        <v>10</v>
      </c>
      <c r="N204">
        <v>250</v>
      </c>
      <c r="O204" t="s">
        <v>3434</v>
      </c>
      <c r="P204" s="31" t="str">
        <f>HYPERLINK("https://b2b.kobi.pl/pl/product/9938,zestaw-hermetic-2x60-led-t8-9w-4000k-ip65-kobi?currency=PLN")</f>
        <v>https://b2b.kobi.pl/pl/product/9938,zestaw-hermetic-2x60-led-t8-9w-4000k-ip65-kobi?currency=PLN</v>
      </c>
      <c r="Q204" s="31" t="str">
        <f>HYPERLINK("https://eprel.ec.europa.eu/qr/1694474")</f>
        <v>https://eprel.ec.europa.eu/qr/1694474</v>
      </c>
      <c r="R204"/>
      <c r="S204" t="s">
        <v>2675</v>
      </c>
      <c r="T204"/>
      <c r="U204">
        <v>0.61</v>
      </c>
      <c r="V204">
        <v>0.67100000000000004</v>
      </c>
      <c r="W204">
        <v>6</v>
      </c>
      <c r="X204">
        <v>69.5</v>
      </c>
      <c r="Y204">
        <v>11.5</v>
      </c>
    </row>
    <row r="205" spans="1:25" ht="60" customHeight="1" x14ac:dyDescent="0.25">
      <c r="A205"/>
      <c r="B205" t="s">
        <v>4</v>
      </c>
      <c r="C205" t="s">
        <v>608</v>
      </c>
      <c r="D205" t="s">
        <v>643</v>
      </c>
      <c r="E205" t="s">
        <v>1546</v>
      </c>
      <c r="F205" t="s">
        <v>1547</v>
      </c>
      <c r="G205" t="s">
        <v>996</v>
      </c>
      <c r="H205" s="30">
        <v>72.22</v>
      </c>
      <c r="I205" s="29">
        <f>H205*(1-IFERROR(VLOOKUP(G205,Rabat!$D$10:$E$41,2,FALSE),0))</f>
        <v>72.22</v>
      </c>
      <c r="J205" t="s">
        <v>1902</v>
      </c>
      <c r="K205" t="s">
        <v>209</v>
      </c>
      <c r="L205" t="s">
        <v>1901</v>
      </c>
      <c r="M205">
        <v>10</v>
      </c>
      <c r="N205">
        <v>150</v>
      </c>
      <c r="O205" t="s">
        <v>3434</v>
      </c>
      <c r="P205" s="31" t="str">
        <f>HYPERLINK("https://b2b.kobi.pl/pl/product/9936,zestaw-hermetic-2x120-led-t8-18w-4000k-ip65-kobi?currency=PLN")</f>
        <v>https://b2b.kobi.pl/pl/product/9936,zestaw-hermetic-2x120-led-t8-18w-4000k-ip65-kobi?currency=PLN</v>
      </c>
      <c r="Q205" s="31" t="str">
        <f>HYPERLINK("https://eprel.ec.europa.eu/qr/1694581")</f>
        <v>https://eprel.ec.europa.eu/qr/1694581</v>
      </c>
      <c r="R205"/>
      <c r="S205" t="s">
        <v>2675</v>
      </c>
      <c r="T205"/>
      <c r="U205">
        <v>1.095</v>
      </c>
      <c r="V205">
        <v>1.2969999999999999</v>
      </c>
      <c r="W205">
        <v>130</v>
      </c>
      <c r="X205">
        <v>11.5</v>
      </c>
      <c r="Y205">
        <v>5</v>
      </c>
    </row>
    <row r="206" spans="1:25" ht="60" customHeight="1" x14ac:dyDescent="0.25">
      <c r="A206"/>
      <c r="B206" t="s">
        <v>4</v>
      </c>
      <c r="C206" t="s">
        <v>608</v>
      </c>
      <c r="D206" t="s">
        <v>643</v>
      </c>
      <c r="E206" t="s">
        <v>1548</v>
      </c>
      <c r="F206" t="s">
        <v>1549</v>
      </c>
      <c r="G206" t="s">
        <v>996</v>
      </c>
      <c r="H206" s="30">
        <v>72.22</v>
      </c>
      <c r="I206" s="29">
        <f>H206*(1-IFERROR(VLOOKUP(G206,Rabat!$D$10:$E$41,2,FALSE),0))</f>
        <v>72.22</v>
      </c>
      <c r="J206" t="s">
        <v>1902</v>
      </c>
      <c r="K206" t="s">
        <v>210</v>
      </c>
      <c r="L206" t="s">
        <v>1901</v>
      </c>
      <c r="M206">
        <v>10</v>
      </c>
      <c r="N206">
        <v>150</v>
      </c>
      <c r="O206" t="s">
        <v>3434</v>
      </c>
      <c r="P206" s="31" t="str">
        <f>HYPERLINK("https://b2b.kobi.pl/pl/product/9937,zestaw-hermetic-2x120-led-t8-18w-6500k-ip65-kobi?currency=PLN")</f>
        <v>https://b2b.kobi.pl/pl/product/9937,zestaw-hermetic-2x120-led-t8-18w-6500k-ip65-kobi?currency=PLN</v>
      </c>
      <c r="Q206" s="31" t="str">
        <f>HYPERLINK("https://eprel.ec.europa.eu/qr/1694744")</f>
        <v>https://eprel.ec.europa.eu/qr/1694744</v>
      </c>
      <c r="R206"/>
      <c r="S206" t="s">
        <v>2675</v>
      </c>
      <c r="T206"/>
      <c r="U206">
        <v>1.095</v>
      </c>
      <c r="V206">
        <v>1.2969999999999999</v>
      </c>
      <c r="W206">
        <v>130</v>
      </c>
      <c r="X206">
        <v>11.5</v>
      </c>
      <c r="Y206">
        <v>5</v>
      </c>
    </row>
    <row r="207" spans="1:25" ht="60" customHeight="1" x14ac:dyDescent="0.25">
      <c r="A207"/>
      <c r="B207" t="s">
        <v>4</v>
      </c>
      <c r="C207" t="s">
        <v>608</v>
      </c>
      <c r="D207" t="s">
        <v>643</v>
      </c>
      <c r="E207" t="s">
        <v>3439</v>
      </c>
      <c r="F207" t="s">
        <v>1550</v>
      </c>
      <c r="G207" t="s">
        <v>996</v>
      </c>
      <c r="H207" s="30">
        <v>68.67</v>
      </c>
      <c r="I207" s="29">
        <f>H207*(1-IFERROR(VLOOKUP(G207,Rabat!$D$10:$E$41,2,FALSE),0))</f>
        <v>68.67</v>
      </c>
      <c r="J207" t="s">
        <v>1902</v>
      </c>
      <c r="K207" t="s">
        <v>1987</v>
      </c>
      <c r="L207" t="s">
        <v>1901</v>
      </c>
      <c r="M207">
        <v>10</v>
      </c>
      <c r="N207">
        <v>150</v>
      </c>
      <c r="O207" t="s">
        <v>3434</v>
      </c>
      <c r="P207" s="31" t="str">
        <f>HYPERLINK("https://b2b.kobi.pl/pl/product/12115,zestaw-hermetyczny-hermetic-g2-2x-led-t8-18w-120cm-4000k-kobi?currency=PLN")</f>
        <v>https://b2b.kobi.pl/pl/product/12115,zestaw-hermetyczny-hermetic-g2-2x-led-t8-18w-120cm-4000k-kobi?currency=PLN</v>
      </c>
      <c r="Q207" t="s">
        <v>15</v>
      </c>
      <c r="R207"/>
      <c r="S207" t="s">
        <v>2675</v>
      </c>
      <c r="T207"/>
      <c r="U207">
        <v>0.95</v>
      </c>
      <c r="V207">
        <v>1.1499999999999999</v>
      </c>
      <c r="W207">
        <v>133</v>
      </c>
      <c r="X207">
        <v>10</v>
      </c>
      <c r="Y207">
        <v>5.8</v>
      </c>
    </row>
    <row r="208" spans="1:25" ht="60" customHeight="1" x14ac:dyDescent="0.25">
      <c r="A208"/>
      <c r="B208" t="s">
        <v>4</v>
      </c>
      <c r="C208" t="s">
        <v>608</v>
      </c>
      <c r="D208" t="s">
        <v>643</v>
      </c>
      <c r="E208" t="s">
        <v>3440</v>
      </c>
      <c r="F208" t="s">
        <v>1551</v>
      </c>
      <c r="G208" t="s">
        <v>996</v>
      </c>
      <c r="H208" s="30">
        <v>68.67</v>
      </c>
      <c r="I208" s="29">
        <f>H208*(1-IFERROR(VLOOKUP(G208,Rabat!$D$10:$E$41,2,FALSE),0))</f>
        <v>68.67</v>
      </c>
      <c r="J208" t="s">
        <v>1902</v>
      </c>
      <c r="K208" t="s">
        <v>1988</v>
      </c>
      <c r="L208" t="s">
        <v>1901</v>
      </c>
      <c r="M208">
        <v>10</v>
      </c>
      <c r="N208">
        <v>150</v>
      </c>
      <c r="O208" t="s">
        <v>3434</v>
      </c>
      <c r="P208" s="31" t="str">
        <f>HYPERLINK("https://b2b.kobi.pl/pl/product/12116,zestaw-hermetyczny-hermetic-g2-2x-led-t8-18w-120cm-6500k-kobi?currency=PLN")</f>
        <v>https://b2b.kobi.pl/pl/product/12116,zestaw-hermetyczny-hermetic-g2-2x-led-t8-18w-120cm-6500k-kobi?currency=PLN</v>
      </c>
      <c r="Q208" t="s">
        <v>15</v>
      </c>
      <c r="R208"/>
      <c r="S208" t="s">
        <v>2675</v>
      </c>
      <c r="T208"/>
      <c r="U208">
        <v>0.95</v>
      </c>
      <c r="V208">
        <v>1.1499999999999999</v>
      </c>
      <c r="W208">
        <v>133</v>
      </c>
      <c r="X208">
        <v>10</v>
      </c>
      <c r="Y208">
        <v>5.8</v>
      </c>
    </row>
    <row r="209" spans="1:25" ht="60" customHeight="1" x14ac:dyDescent="0.25">
      <c r="A209"/>
      <c r="B209" t="s">
        <v>4</v>
      </c>
      <c r="C209" t="s">
        <v>608</v>
      </c>
      <c r="D209" t="s">
        <v>643</v>
      </c>
      <c r="E209" t="s">
        <v>1014</v>
      </c>
      <c r="F209" t="s">
        <v>1015</v>
      </c>
      <c r="G209" t="s">
        <v>996</v>
      </c>
      <c r="H209" s="30">
        <v>66.790000000000006</v>
      </c>
      <c r="I209" s="29">
        <f>H209*(1-IFERROR(VLOOKUP(G209,Rabat!$D$10:$E$41,2,FALSE),0))</f>
        <v>66.790000000000006</v>
      </c>
      <c r="J209" t="s">
        <v>1902</v>
      </c>
      <c r="K209" t="s">
        <v>203</v>
      </c>
      <c r="L209" t="s">
        <v>1901</v>
      </c>
      <c r="M209">
        <v>8</v>
      </c>
      <c r="N209">
        <v>192</v>
      </c>
      <c r="O209" t="s">
        <v>3434</v>
      </c>
      <c r="P209" s="31" t="str">
        <f>HYPERLINK("https://b2b.kobi.pl/pl/product/9945,oprawa-hermetyczna-hermic-1x120-ip65-kobi?currency=PLN")</f>
        <v>https://b2b.kobi.pl/pl/product/9945,oprawa-hermetyczna-hermic-1x120-ip65-kobi?currency=PLN</v>
      </c>
      <c r="Q209" t="s">
        <v>15</v>
      </c>
      <c r="R209"/>
      <c r="S209" t="s">
        <v>2675</v>
      </c>
      <c r="T209"/>
      <c r="U209">
        <v>0.95</v>
      </c>
      <c r="V209">
        <v>1.1599999999999999</v>
      </c>
      <c r="W209">
        <v>9.5</v>
      </c>
      <c r="X209">
        <v>6</v>
      </c>
      <c r="Y209">
        <v>126</v>
      </c>
    </row>
    <row r="210" spans="1:25" ht="60" customHeight="1" x14ac:dyDescent="0.25">
      <c r="A210"/>
      <c r="B210" t="s">
        <v>4</v>
      </c>
      <c r="C210" t="s">
        <v>608</v>
      </c>
      <c r="D210" t="s">
        <v>643</v>
      </c>
      <c r="E210" t="s">
        <v>1018</v>
      </c>
      <c r="F210" t="s">
        <v>1019</v>
      </c>
      <c r="G210" t="s">
        <v>996</v>
      </c>
      <c r="H210" s="30">
        <v>70.89</v>
      </c>
      <c r="I210" s="29">
        <f>H210*(1-IFERROR(VLOOKUP(G210,Rabat!$D$10:$E$41,2,FALSE),0))</f>
        <v>70.89</v>
      </c>
      <c r="J210" t="s">
        <v>1902</v>
      </c>
      <c r="K210" t="s">
        <v>204</v>
      </c>
      <c r="L210" t="s">
        <v>1901</v>
      </c>
      <c r="M210">
        <v>6</v>
      </c>
      <c r="N210">
        <v>144</v>
      </c>
      <c r="O210" t="s">
        <v>3434</v>
      </c>
      <c r="P210" s="31" t="str">
        <f>HYPERLINK("https://b2b.kobi.pl/pl/product/9947,oprawa-hermetyczna-hermic-2x120-ip65-kobi?currency=PLN")</f>
        <v>https://b2b.kobi.pl/pl/product/9947,oprawa-hermetyczna-hermic-2x120-ip65-kobi?currency=PLN</v>
      </c>
      <c r="Q210" t="s">
        <v>15</v>
      </c>
      <c r="R210"/>
      <c r="S210" t="s">
        <v>2675</v>
      </c>
      <c r="T210"/>
      <c r="U210">
        <v>1.2929999999999999</v>
      </c>
      <c r="V210">
        <v>1.4</v>
      </c>
      <c r="W210">
        <v>126.9</v>
      </c>
      <c r="X210">
        <v>12.6</v>
      </c>
      <c r="Y210">
        <v>6</v>
      </c>
    </row>
    <row r="211" spans="1:25" ht="60" customHeight="1" x14ac:dyDescent="0.25">
      <c r="A211"/>
      <c r="B211" t="s">
        <v>4</v>
      </c>
      <c r="C211" t="s">
        <v>608</v>
      </c>
      <c r="D211" t="s">
        <v>643</v>
      </c>
      <c r="E211" t="s">
        <v>2280</v>
      </c>
      <c r="F211" t="s">
        <v>2281</v>
      </c>
      <c r="G211" t="s">
        <v>996</v>
      </c>
      <c r="H211" s="30">
        <v>55.33</v>
      </c>
      <c r="I211" s="29">
        <f>H211*(1-IFERROR(VLOOKUP(G211,Rabat!$D$10:$E$41,2,FALSE),0))</f>
        <v>55.33</v>
      </c>
      <c r="J211" t="s">
        <v>1902</v>
      </c>
      <c r="K211" t="s">
        <v>2291</v>
      </c>
      <c r="L211" t="s">
        <v>1901</v>
      </c>
      <c r="M211">
        <v>8</v>
      </c>
      <c r="N211">
        <v>144</v>
      </c>
      <c r="O211" t="s">
        <v>3434</v>
      </c>
      <c r="P211" s="31" t="str">
        <f>HYPERLINK("https://b2b.kobi.pl/pl/product/12448,oprawa-hermetyczna-hermic-g2-2x120-ip65-kobi?currency=PLN")</f>
        <v>https://b2b.kobi.pl/pl/product/12448,oprawa-hermetyczna-hermic-g2-2x120-ip65-kobi?currency=PLN</v>
      </c>
      <c r="Q211" t="s">
        <v>15</v>
      </c>
      <c r="R211"/>
      <c r="S211" t="s">
        <v>2675</v>
      </c>
      <c r="T211"/>
      <c r="U211">
        <v>0.95</v>
      </c>
      <c r="V211">
        <v>1.1499999999999999</v>
      </c>
      <c r="W211">
        <v>133</v>
      </c>
      <c r="X211">
        <v>10.5</v>
      </c>
      <c r="Y211">
        <v>8</v>
      </c>
    </row>
    <row r="212" spans="1:25" ht="60" customHeight="1" x14ac:dyDescent="0.25">
      <c r="A212"/>
      <c r="B212" t="s">
        <v>4</v>
      </c>
      <c r="C212" t="s">
        <v>608</v>
      </c>
      <c r="D212" t="s">
        <v>17</v>
      </c>
      <c r="E212" t="s">
        <v>2376</v>
      </c>
      <c r="F212" t="s">
        <v>2377</v>
      </c>
      <c r="G212" t="s">
        <v>996</v>
      </c>
      <c r="H212" s="30">
        <v>35.53</v>
      </c>
      <c r="I212" s="29">
        <f>H212*(1-IFERROR(VLOOKUP(G212,Rabat!$D$10:$E$41,2,FALSE),0))</f>
        <v>35.53</v>
      </c>
      <c r="J212" t="s">
        <v>1902</v>
      </c>
      <c r="K212" t="s">
        <v>2495</v>
      </c>
      <c r="L212" t="s">
        <v>1901</v>
      </c>
      <c r="M212">
        <v>10</v>
      </c>
      <c r="N212">
        <v>190</v>
      </c>
      <c r="O212" t="s">
        <v>3434</v>
      </c>
      <c r="P212" s="31" t="str">
        <f>HYPERLINK("https://b2b.kobi.pl/pl/product/12636,oprawa-hermetyczna-hermes-g2-2x120-ip65-led2b?currency=PLN")</f>
        <v>https://b2b.kobi.pl/pl/product/12636,oprawa-hermetyczna-hermes-g2-2x120-ip65-led2b?currency=PLN</v>
      </c>
      <c r="Q212" t="s">
        <v>15</v>
      </c>
      <c r="R212"/>
      <c r="S212" t="s">
        <v>2675</v>
      </c>
      <c r="T212"/>
      <c r="U212">
        <v>0.64</v>
      </c>
      <c r="V212">
        <v>0.78</v>
      </c>
      <c r="W212">
        <v>128</v>
      </c>
      <c r="X212">
        <v>9.1999999999999993</v>
      </c>
      <c r="Y212">
        <v>5.2</v>
      </c>
    </row>
    <row r="213" spans="1:25" ht="60" customHeight="1" x14ac:dyDescent="0.25">
      <c r="A213"/>
      <c r="B213" t="s">
        <v>4</v>
      </c>
      <c r="C213" t="s">
        <v>3372</v>
      </c>
      <c r="D213" t="s">
        <v>631</v>
      </c>
      <c r="E213" t="s">
        <v>943</v>
      </c>
      <c r="F213" t="s">
        <v>944</v>
      </c>
      <c r="G213" t="s">
        <v>600</v>
      </c>
      <c r="H213" s="30">
        <v>127.78</v>
      </c>
      <c r="I213" s="29">
        <f>H213*(1-IFERROR(VLOOKUP(G213,Rabat!$D$10:$E$41,2,FALSE),0))</f>
        <v>127.78</v>
      </c>
      <c r="J213" t="s">
        <v>1902</v>
      </c>
      <c r="K213" t="s">
        <v>251</v>
      </c>
      <c r="L213" t="s">
        <v>1901</v>
      </c>
      <c r="M213">
        <v>6</v>
      </c>
      <c r="N213">
        <v>72</v>
      </c>
      <c r="O213" t="s">
        <v>3435</v>
      </c>
      <c r="P213" s="31" t="str">
        <f>HYPERLINK("https://b2b.kobi.pl/pl/product/9896,panel-led-brisbane-36w-60x60-4000k-bialy-kobi-premium?currency=PLN")</f>
        <v>https://b2b.kobi.pl/pl/product/9896,panel-led-brisbane-36w-60x60-4000k-bialy-kobi-premium?currency=PLN</v>
      </c>
      <c r="Q213" s="31" t="str">
        <f>HYPERLINK("https://eprel.ec.europa.eu/qr/1974395")</f>
        <v>https://eprel.ec.europa.eu/qr/1974395</v>
      </c>
      <c r="R213"/>
      <c r="S213" t="s">
        <v>2677</v>
      </c>
      <c r="T213"/>
      <c r="U213">
        <v>1.45</v>
      </c>
      <c r="V213">
        <v>1.69</v>
      </c>
      <c r="W213">
        <v>61</v>
      </c>
      <c r="X213">
        <v>4</v>
      </c>
      <c r="Y213">
        <v>61</v>
      </c>
    </row>
    <row r="214" spans="1:25" ht="60" customHeight="1" x14ac:dyDescent="0.25">
      <c r="A214"/>
      <c r="B214" t="s">
        <v>4</v>
      </c>
      <c r="C214" t="s">
        <v>3372</v>
      </c>
      <c r="D214" t="s">
        <v>631</v>
      </c>
      <c r="E214" t="s">
        <v>945</v>
      </c>
      <c r="F214" t="s">
        <v>946</v>
      </c>
      <c r="G214" t="s">
        <v>600</v>
      </c>
      <c r="H214" s="30">
        <v>127.78</v>
      </c>
      <c r="I214" s="29">
        <f>H214*(1-IFERROR(VLOOKUP(G214,Rabat!$D$10:$E$41,2,FALSE),0))</f>
        <v>127.78</v>
      </c>
      <c r="J214" t="s">
        <v>1902</v>
      </c>
      <c r="K214" t="s">
        <v>250</v>
      </c>
      <c r="L214" t="s">
        <v>1901</v>
      </c>
      <c r="M214">
        <v>6</v>
      </c>
      <c r="N214">
        <v>72</v>
      </c>
      <c r="O214" t="s">
        <v>3435</v>
      </c>
      <c r="P214" s="31" t="str">
        <f>HYPERLINK("https://b2b.kobi.pl/pl/product/9897,panel-led-brisbane-36w-60x60-4000k-czarny-kobi-premium?currency=PLN")</f>
        <v>https://b2b.kobi.pl/pl/product/9897,panel-led-brisbane-36w-60x60-4000k-czarny-kobi-premium?currency=PLN</v>
      </c>
      <c r="Q214" s="31" t="str">
        <f>HYPERLINK("https://eprel.ec.europa.eu/qr/1974395")</f>
        <v>https://eprel.ec.europa.eu/qr/1974395</v>
      </c>
      <c r="R214"/>
      <c r="S214" t="s">
        <v>2677</v>
      </c>
      <c r="T214"/>
      <c r="U214">
        <v>1.45</v>
      </c>
      <c r="V214">
        <v>1.69</v>
      </c>
      <c r="W214">
        <v>61</v>
      </c>
      <c r="X214">
        <v>4</v>
      </c>
      <c r="Y214">
        <v>61</v>
      </c>
    </row>
    <row r="215" spans="1:25" ht="60" customHeight="1" x14ac:dyDescent="0.25">
      <c r="A215"/>
      <c r="B215" t="s">
        <v>4</v>
      </c>
      <c r="C215" t="s">
        <v>3372</v>
      </c>
      <c r="D215" t="s">
        <v>631</v>
      </c>
      <c r="E215" t="s">
        <v>947</v>
      </c>
      <c r="F215" t="s">
        <v>948</v>
      </c>
      <c r="G215" t="s">
        <v>600</v>
      </c>
      <c r="H215" s="30">
        <v>151.11000000000001</v>
      </c>
      <c r="I215" s="29">
        <f>H215*(1-IFERROR(VLOOKUP(G215,Rabat!$D$10:$E$41,2,FALSE),0))</f>
        <v>151.11000000000001</v>
      </c>
      <c r="J215" t="s">
        <v>1902</v>
      </c>
      <c r="K215" t="s">
        <v>249</v>
      </c>
      <c r="L215" t="s">
        <v>1901</v>
      </c>
      <c r="M215">
        <v>6</v>
      </c>
      <c r="N215">
        <v>84</v>
      </c>
      <c r="O215" t="s">
        <v>3435</v>
      </c>
      <c r="P215" s="31" t="str">
        <f>HYPERLINK("https://b2b.kobi.pl/pl/product/9898,panel-led-brisbane-36w-30x120-4000k-bialy-kobi-premium?currency=PLN")</f>
        <v>https://b2b.kobi.pl/pl/product/9898,panel-led-brisbane-36w-30x120-4000k-bialy-kobi-premium?currency=PLN</v>
      </c>
      <c r="Q215" s="31" t="str">
        <f>HYPERLINK("https://eprel.ec.europa.eu/qr/1974462")</f>
        <v>https://eprel.ec.europa.eu/qr/1974462</v>
      </c>
      <c r="R215"/>
      <c r="S215" t="s">
        <v>2677</v>
      </c>
      <c r="T215"/>
      <c r="U215">
        <v>1.54</v>
      </c>
      <c r="V215">
        <v>1.8</v>
      </c>
      <c r="W215">
        <v>31</v>
      </c>
      <c r="X215">
        <v>4</v>
      </c>
      <c r="Y215">
        <v>121</v>
      </c>
    </row>
    <row r="216" spans="1:25" ht="60" customHeight="1" x14ac:dyDescent="0.25">
      <c r="A216"/>
      <c r="B216" t="s">
        <v>4</v>
      </c>
      <c r="C216" t="s">
        <v>3372</v>
      </c>
      <c r="D216" t="s">
        <v>631</v>
      </c>
      <c r="E216" t="s">
        <v>949</v>
      </c>
      <c r="F216" t="s">
        <v>950</v>
      </c>
      <c r="G216" t="s">
        <v>600</v>
      </c>
      <c r="H216" s="30">
        <v>151.11000000000001</v>
      </c>
      <c r="I216" s="29">
        <f>H216*(1-IFERROR(VLOOKUP(G216,Rabat!$D$10:$E$41,2,FALSE),0))</f>
        <v>151.11000000000001</v>
      </c>
      <c r="J216" t="s">
        <v>1902</v>
      </c>
      <c r="K216" t="s">
        <v>248</v>
      </c>
      <c r="L216" t="s">
        <v>1901</v>
      </c>
      <c r="M216">
        <v>6</v>
      </c>
      <c r="N216">
        <v>84</v>
      </c>
      <c r="O216" t="s">
        <v>3435</v>
      </c>
      <c r="P216" s="31" t="str">
        <f>HYPERLINK("https://b2b.kobi.pl/pl/product/9899,panel-led-brisbane-36w-30x120-4000k-czarny-kobi-premium?currency=PLN")</f>
        <v>https://b2b.kobi.pl/pl/product/9899,panel-led-brisbane-36w-30x120-4000k-czarny-kobi-premium?currency=PLN</v>
      </c>
      <c r="Q216" s="31" t="str">
        <f>HYPERLINK("https://eprel.ec.europa.eu/qr/1974462")</f>
        <v>https://eprel.ec.europa.eu/qr/1974462</v>
      </c>
      <c r="R216"/>
      <c r="S216" t="s">
        <v>2677</v>
      </c>
      <c r="T216"/>
      <c r="U216">
        <v>1.54</v>
      </c>
      <c r="V216">
        <v>1.8</v>
      </c>
      <c r="W216">
        <v>31</v>
      </c>
      <c r="X216">
        <v>4</v>
      </c>
      <c r="Y216">
        <v>121</v>
      </c>
    </row>
    <row r="217" spans="1:25" ht="60" customHeight="1" x14ac:dyDescent="0.25">
      <c r="A217"/>
      <c r="B217" t="s">
        <v>4</v>
      </c>
      <c r="C217" t="s">
        <v>3372</v>
      </c>
      <c r="D217" t="s">
        <v>599</v>
      </c>
      <c r="E217" t="s">
        <v>959</v>
      </c>
      <c r="F217" t="s">
        <v>960</v>
      </c>
      <c r="G217" t="s">
        <v>600</v>
      </c>
      <c r="H217" s="30">
        <v>308.89</v>
      </c>
      <c r="I217" s="29">
        <f>H217*(1-IFERROR(VLOOKUP(G217,Rabat!$D$10:$E$41,2,FALSE),0))</f>
        <v>308.89</v>
      </c>
      <c r="J217" t="s">
        <v>1902</v>
      </c>
      <c r="K217" t="s">
        <v>247</v>
      </c>
      <c r="L217" t="s">
        <v>1901</v>
      </c>
      <c r="M217">
        <v>6</v>
      </c>
      <c r="N217">
        <v>60</v>
      </c>
      <c r="O217" t="s">
        <v>3436</v>
      </c>
      <c r="P217" s="31" t="str">
        <f>HYPERLINK("https://b2b.kobi.pl/pl/product/9913,panel-led-capri-40w-60x60-4000k-ip65-kobi-pro?currency=PLN")</f>
        <v>https://b2b.kobi.pl/pl/product/9913,panel-led-capri-40w-60x60-4000k-ip65-kobi-pro?currency=PLN</v>
      </c>
      <c r="Q217" s="31" t="str">
        <f>HYPERLINK("https://eprel.ec.europa.eu/qr/2049249")</f>
        <v>https://eprel.ec.europa.eu/qr/2049249</v>
      </c>
      <c r="R217"/>
      <c r="S217" t="s">
        <v>2677</v>
      </c>
      <c r="T217"/>
      <c r="U217">
        <v>1.486</v>
      </c>
      <c r="V217">
        <v>1.6346000000000001</v>
      </c>
      <c r="W217">
        <v>60</v>
      </c>
      <c r="X217">
        <v>60</v>
      </c>
      <c r="Y217">
        <v>3.5</v>
      </c>
    </row>
    <row r="218" spans="1:25" ht="60" customHeight="1" x14ac:dyDescent="0.25">
      <c r="A218"/>
      <c r="B218" t="s">
        <v>4</v>
      </c>
      <c r="C218" t="s">
        <v>3372</v>
      </c>
      <c r="D218" t="s">
        <v>631</v>
      </c>
      <c r="E218" t="s">
        <v>1144</v>
      </c>
      <c r="F218" t="s">
        <v>1145</v>
      </c>
      <c r="G218" t="s">
        <v>600</v>
      </c>
      <c r="H218" s="30">
        <v>222</v>
      </c>
      <c r="I218" s="29">
        <f>H218*(1-IFERROR(VLOOKUP(G218,Rabat!$D$10:$E$41,2,FALSE),0))</f>
        <v>222</v>
      </c>
      <c r="J218" t="s">
        <v>1902</v>
      </c>
      <c r="K218" t="s">
        <v>246</v>
      </c>
      <c r="L218" t="s">
        <v>1901</v>
      </c>
      <c r="M218">
        <v>5</v>
      </c>
      <c r="N218">
        <v>60</v>
      </c>
      <c r="O218" t="s">
        <v>3435</v>
      </c>
      <c r="P218" s="31" t="str">
        <f>HYPERLINK("https://b2b.kobi.pl/pl/product/10108,panel-led-nelio-40w-30x120-4000k-kobi-premium?currency=PLN")</f>
        <v>https://b2b.kobi.pl/pl/product/10108,panel-led-nelio-40w-30x120-4000k-kobi-premium?currency=PLN</v>
      </c>
      <c r="Q218" t="s">
        <v>15</v>
      </c>
      <c r="R218" t="s">
        <v>2035</v>
      </c>
      <c r="S218" t="s">
        <v>2677</v>
      </c>
      <c r="T218"/>
      <c r="U218">
        <v>2.1</v>
      </c>
      <c r="V218">
        <v>2.407</v>
      </c>
      <c r="W218">
        <v>128</v>
      </c>
      <c r="X218">
        <v>34</v>
      </c>
      <c r="Y218">
        <v>3</v>
      </c>
    </row>
    <row r="219" spans="1:25" ht="60" customHeight="1" x14ac:dyDescent="0.25">
      <c r="A219"/>
      <c r="B219" t="s">
        <v>4</v>
      </c>
      <c r="C219" t="s">
        <v>3372</v>
      </c>
      <c r="D219" t="s">
        <v>599</v>
      </c>
      <c r="E219" t="s">
        <v>3260</v>
      </c>
      <c r="F219" t="s">
        <v>3261</v>
      </c>
      <c r="G219" t="s">
        <v>600</v>
      </c>
      <c r="H219" s="30">
        <v>220</v>
      </c>
      <c r="I219" s="29">
        <f>H219*(1-IFERROR(VLOOKUP(G219,Rabat!$D$10:$E$41,2,FALSE),0))</f>
        <v>220</v>
      </c>
      <c r="J219"/>
      <c r="K219" t="s">
        <v>3277</v>
      </c>
      <c r="L219" t="s">
        <v>1901</v>
      </c>
      <c r="M219">
        <v>6</v>
      </c>
      <c r="N219">
        <v>66</v>
      </c>
      <c r="O219" t="s">
        <v>3436</v>
      </c>
      <c r="P219" s="31" t="str">
        <f>HYPERLINK("https://b2b.kobi.pl/pl/product/12271,panel-led-nelio-g2-36w-60x60-3000k-kobi-pro?currency=PLN")</f>
        <v>https://b2b.kobi.pl/pl/product/12271,panel-led-nelio-g2-36w-60x60-3000k-kobi-pro?currency=PLN</v>
      </c>
      <c r="Q219" s="31" t="str">
        <f>HYPERLINK("https://eprel.ec.europa.eu/qr/2206660")</f>
        <v>https://eprel.ec.europa.eu/qr/2206660</v>
      </c>
      <c r="R219"/>
      <c r="S219" t="s">
        <v>2677</v>
      </c>
      <c r="T219"/>
      <c r="U219">
        <v>1.82</v>
      </c>
      <c r="V219">
        <v>2.23</v>
      </c>
      <c r="W219">
        <v>63</v>
      </c>
      <c r="X219">
        <v>66.5</v>
      </c>
      <c r="Y219">
        <v>3.5</v>
      </c>
    </row>
    <row r="220" spans="1:25" ht="60" customHeight="1" x14ac:dyDescent="0.25">
      <c r="A220"/>
      <c r="B220" t="s">
        <v>4</v>
      </c>
      <c r="C220" t="s">
        <v>3372</v>
      </c>
      <c r="D220" t="s">
        <v>643</v>
      </c>
      <c r="E220" t="s">
        <v>1378</v>
      </c>
      <c r="F220" t="s">
        <v>1379</v>
      </c>
      <c r="G220" t="s">
        <v>600</v>
      </c>
      <c r="H220" s="30">
        <v>35.56</v>
      </c>
      <c r="I220" s="29">
        <f>H220*(1-IFERROR(VLOOKUP(G220,Rabat!$D$10:$E$41,2,FALSE),0))</f>
        <v>35.56</v>
      </c>
      <c r="J220" t="s">
        <v>1902</v>
      </c>
      <c r="K220" t="s">
        <v>187</v>
      </c>
      <c r="L220" t="s">
        <v>1901</v>
      </c>
      <c r="M220">
        <v>20</v>
      </c>
      <c r="N220">
        <v>800</v>
      </c>
      <c r="O220" t="s">
        <v>3434</v>
      </c>
      <c r="P220" s="31" t="str">
        <f>HYPERLINK("https://b2b.kobi.pl/pl/product/10123,ramka-45mm-do-panelu-led-30x60-klik-kobi?currency=PLN")</f>
        <v>https://b2b.kobi.pl/pl/product/10123,ramka-45mm-do-panelu-led-30x60-klik-kobi?currency=PLN</v>
      </c>
      <c r="Q220" t="s">
        <v>15</v>
      </c>
      <c r="R220"/>
      <c r="S220" t="s">
        <v>2678</v>
      </c>
      <c r="T220"/>
      <c r="U220">
        <v>0.30499999999999999</v>
      </c>
      <c r="V220">
        <v>0.32</v>
      </c>
      <c r="W220">
        <v>60</v>
      </c>
      <c r="X220">
        <v>5</v>
      </c>
      <c r="Y220">
        <v>5</v>
      </c>
    </row>
    <row r="221" spans="1:25" ht="60" customHeight="1" x14ac:dyDescent="0.25">
      <c r="A221"/>
      <c r="B221" t="s">
        <v>4</v>
      </c>
      <c r="C221" t="s">
        <v>3372</v>
      </c>
      <c r="D221" t="s">
        <v>643</v>
      </c>
      <c r="E221" t="s">
        <v>1382</v>
      </c>
      <c r="F221" t="s">
        <v>1383</v>
      </c>
      <c r="G221" t="s">
        <v>600</v>
      </c>
      <c r="H221" s="30">
        <v>47.4</v>
      </c>
      <c r="I221" s="29">
        <f>H221*(1-IFERROR(VLOOKUP(G221,Rabat!$D$10:$E$41,2,FALSE),0))</f>
        <v>47.4</v>
      </c>
      <c r="J221" t="s">
        <v>1902</v>
      </c>
      <c r="K221" t="s">
        <v>188</v>
      </c>
      <c r="L221" t="s">
        <v>1901</v>
      </c>
      <c r="M221">
        <v>20</v>
      </c>
      <c r="N221">
        <v>960</v>
      </c>
      <c r="O221" t="s">
        <v>3434</v>
      </c>
      <c r="P221" s="31" t="str">
        <f>HYPERLINK("https://b2b.kobi.pl/pl/product/10124,ramka-45mm-do-panelu-led-60x60-klik-kobi?currency=PLN")</f>
        <v>https://b2b.kobi.pl/pl/product/10124,ramka-45mm-do-panelu-led-60x60-klik-kobi?currency=PLN</v>
      </c>
      <c r="Q221" t="s">
        <v>15</v>
      </c>
      <c r="R221"/>
      <c r="S221" t="s">
        <v>2678</v>
      </c>
      <c r="T221"/>
      <c r="U221">
        <v>0.39</v>
      </c>
      <c r="V221">
        <v>0.6</v>
      </c>
      <c r="W221">
        <v>60</v>
      </c>
      <c r="X221">
        <v>4</v>
      </c>
      <c r="Y221">
        <v>6.5</v>
      </c>
    </row>
    <row r="222" spans="1:25" ht="60" customHeight="1" x14ac:dyDescent="0.25">
      <c r="A222"/>
      <c r="B222" t="s">
        <v>4</v>
      </c>
      <c r="C222" t="s">
        <v>3372</v>
      </c>
      <c r="D222" t="s">
        <v>643</v>
      </c>
      <c r="E222" t="s">
        <v>1380</v>
      </c>
      <c r="F222" t="s">
        <v>1381</v>
      </c>
      <c r="G222" t="s">
        <v>600</v>
      </c>
      <c r="H222" s="30">
        <v>56</v>
      </c>
      <c r="I222" s="29">
        <f>H222*(1-IFERROR(VLOOKUP(G222,Rabat!$D$10:$E$41,2,FALSE),0))</f>
        <v>56</v>
      </c>
      <c r="J222" t="s">
        <v>1902</v>
      </c>
      <c r="K222" t="s">
        <v>186</v>
      </c>
      <c r="L222" t="s">
        <v>1901</v>
      </c>
      <c r="M222">
        <v>20</v>
      </c>
      <c r="N222"/>
      <c r="O222" t="s">
        <v>3434</v>
      </c>
      <c r="P222" s="31" t="str">
        <f>HYPERLINK("https://b2b.kobi.pl/pl/product/10122,ramka-45mm-do-panelu-led-30x120-klik-kobi?currency=PLN")</f>
        <v>https://b2b.kobi.pl/pl/product/10122,ramka-45mm-do-panelu-led-30x120-klik-kobi?currency=PLN</v>
      </c>
      <c r="Q222" t="s">
        <v>15</v>
      </c>
      <c r="R222"/>
      <c r="S222" t="s">
        <v>2678</v>
      </c>
      <c r="T222"/>
      <c r="U222">
        <v>0.7</v>
      </c>
      <c r="V222">
        <v>0.73</v>
      </c>
      <c r="W222">
        <v>120</v>
      </c>
      <c r="X222">
        <v>4</v>
      </c>
      <c r="Y222">
        <v>6.5</v>
      </c>
    </row>
    <row r="223" spans="1:25" ht="60" customHeight="1" x14ac:dyDescent="0.25">
      <c r="A223"/>
      <c r="B223" t="s">
        <v>4</v>
      </c>
      <c r="C223" t="s">
        <v>3372</v>
      </c>
      <c r="D223" t="s">
        <v>643</v>
      </c>
      <c r="E223" t="s">
        <v>1386</v>
      </c>
      <c r="F223" t="s">
        <v>1387</v>
      </c>
      <c r="G223" t="s">
        <v>600</v>
      </c>
      <c r="H223" s="30">
        <v>60.64</v>
      </c>
      <c r="I223" s="29">
        <f>H223*(1-IFERROR(VLOOKUP(G223,Rabat!$D$10:$E$41,2,FALSE),0))</f>
        <v>60.64</v>
      </c>
      <c r="J223" t="s">
        <v>1902</v>
      </c>
      <c r="K223" t="s">
        <v>190</v>
      </c>
      <c r="L223" t="s">
        <v>1901</v>
      </c>
      <c r="M223">
        <v>20</v>
      </c>
      <c r="N223">
        <v>600</v>
      </c>
      <c r="O223" t="s">
        <v>3434</v>
      </c>
      <c r="P223" s="31" t="str">
        <f>HYPERLINK("https://b2b.kobi.pl/pl/product/10120,ramka-63mm-do-panelu-led-60x60-klik-kobi?currency=PLN")</f>
        <v>https://b2b.kobi.pl/pl/product/10120,ramka-63mm-do-panelu-led-60x60-klik-kobi?currency=PLN</v>
      </c>
      <c r="Q223" t="s">
        <v>15</v>
      </c>
      <c r="R223"/>
      <c r="S223" t="s">
        <v>2678</v>
      </c>
      <c r="T223"/>
      <c r="U223">
        <v>0.65</v>
      </c>
      <c r="V223">
        <v>0.65100000000000002</v>
      </c>
      <c r="W223">
        <v>60</v>
      </c>
      <c r="X223">
        <v>6.5</v>
      </c>
      <c r="Y223">
        <v>4</v>
      </c>
    </row>
    <row r="224" spans="1:25" ht="60" customHeight="1" x14ac:dyDescent="0.25">
      <c r="A224"/>
      <c r="B224" t="s">
        <v>4</v>
      </c>
      <c r="C224" t="s">
        <v>3372</v>
      </c>
      <c r="D224" t="s">
        <v>643</v>
      </c>
      <c r="E224" t="s">
        <v>1384</v>
      </c>
      <c r="F224" t="s">
        <v>1385</v>
      </c>
      <c r="G224" t="s">
        <v>600</v>
      </c>
      <c r="H224" s="30">
        <v>82</v>
      </c>
      <c r="I224" s="29">
        <f>H224*(1-IFERROR(VLOOKUP(G224,Rabat!$D$10:$E$41,2,FALSE),0))</f>
        <v>82</v>
      </c>
      <c r="J224" t="s">
        <v>1902</v>
      </c>
      <c r="K224" t="s">
        <v>189</v>
      </c>
      <c r="L224" t="s">
        <v>1901</v>
      </c>
      <c r="M224">
        <v>20</v>
      </c>
      <c r="N224">
        <v>360</v>
      </c>
      <c r="O224" t="s">
        <v>3434</v>
      </c>
      <c r="P224" s="31" t="str">
        <f>HYPERLINK("https://b2b.kobi.pl/pl/product/10119,ramka-63mm-do-panelu-led-30x120-klik-kobi?currency=PLN")</f>
        <v>https://b2b.kobi.pl/pl/product/10119,ramka-63mm-do-panelu-led-30x120-klik-kobi?currency=PLN</v>
      </c>
      <c r="Q224" t="s">
        <v>15</v>
      </c>
      <c r="R224"/>
      <c r="S224" t="s">
        <v>2678</v>
      </c>
      <c r="T224"/>
      <c r="U224">
        <v>0.78700000000000003</v>
      </c>
      <c r="V224">
        <v>0.82</v>
      </c>
      <c r="W224">
        <v>120</v>
      </c>
      <c r="X224">
        <v>6.5</v>
      </c>
      <c r="Y224">
        <v>4</v>
      </c>
    </row>
    <row r="225" spans="1:25" ht="60" customHeight="1" x14ac:dyDescent="0.25">
      <c r="A225"/>
      <c r="B225" t="s">
        <v>4</v>
      </c>
      <c r="C225" t="s">
        <v>3372</v>
      </c>
      <c r="D225" t="s">
        <v>643</v>
      </c>
      <c r="E225" t="s">
        <v>1388</v>
      </c>
      <c r="F225" t="s">
        <v>1389</v>
      </c>
      <c r="G225" t="s">
        <v>600</v>
      </c>
      <c r="H225" s="30">
        <v>64.44</v>
      </c>
      <c r="I225" s="29">
        <f>H225*(1-IFERROR(VLOOKUP(G225,Rabat!$D$10:$E$41,2,FALSE),0))</f>
        <v>64.44</v>
      </c>
      <c r="J225" t="s">
        <v>1902</v>
      </c>
      <c r="K225" t="s">
        <v>193</v>
      </c>
      <c r="L225" t="s">
        <v>1901</v>
      </c>
      <c r="M225">
        <v>20</v>
      </c>
      <c r="N225">
        <v>400</v>
      </c>
      <c r="O225" t="s">
        <v>3434</v>
      </c>
      <c r="P225" s="31" t="str">
        <f>HYPERLINK("https://b2b.kobi.pl/pl/product/10117,ramka-70mm-do-panelu-led-60x60-klik-kobi?currency=PLN")</f>
        <v>https://b2b.kobi.pl/pl/product/10117,ramka-70mm-do-panelu-led-60x60-klik-kobi?currency=PLN</v>
      </c>
      <c r="Q225" t="s">
        <v>15</v>
      </c>
      <c r="R225"/>
      <c r="S225" t="s">
        <v>2678</v>
      </c>
      <c r="T225"/>
      <c r="U225">
        <v>0.62</v>
      </c>
      <c r="V225">
        <v>0.62</v>
      </c>
      <c r="W225">
        <v>60</v>
      </c>
      <c r="X225">
        <v>60</v>
      </c>
      <c r="Y225">
        <v>7</v>
      </c>
    </row>
    <row r="226" spans="1:25" ht="60" customHeight="1" x14ac:dyDescent="0.25">
      <c r="A226"/>
      <c r="B226" t="s">
        <v>4</v>
      </c>
      <c r="C226" t="s">
        <v>3372</v>
      </c>
      <c r="D226" t="s">
        <v>643</v>
      </c>
      <c r="E226" t="s">
        <v>1500</v>
      </c>
      <c r="F226" t="s">
        <v>1501</v>
      </c>
      <c r="G226" t="s">
        <v>600</v>
      </c>
      <c r="H226" s="30">
        <v>27.61</v>
      </c>
      <c r="I226" s="29">
        <f>H226*(1-IFERROR(VLOOKUP(G226,Rabat!$D$10:$E$41,2,FALSE),0))</f>
        <v>27.61</v>
      </c>
      <c r="J226" t="s">
        <v>1902</v>
      </c>
      <c r="K226" t="s">
        <v>191</v>
      </c>
      <c r="L226" t="s">
        <v>1917</v>
      </c>
      <c r="M226">
        <v>250</v>
      </c>
      <c r="N226"/>
      <c r="O226" t="s">
        <v>3434</v>
      </c>
      <c r="P226" s="31" t="str">
        <f>HYPERLINK("https://b2b.kobi.pl/pl/product/10125,uchwyty-do-kartongipsu-nelio-60x60-kobi?currency=PLN")</f>
        <v>https://b2b.kobi.pl/pl/product/10125,uchwyty-do-kartongipsu-nelio-60x60-kobi?currency=PLN</v>
      </c>
      <c r="Q226" t="s">
        <v>15</v>
      </c>
      <c r="R226"/>
      <c r="S226" t="s">
        <v>2678</v>
      </c>
      <c r="T226"/>
      <c r="U226">
        <v>5.6000000000000001E-2</v>
      </c>
      <c r="V226">
        <v>0.06</v>
      </c>
      <c r="W226">
        <v>3</v>
      </c>
      <c r="X226">
        <v>7</v>
      </c>
      <c r="Y226">
        <v>11</v>
      </c>
    </row>
    <row r="227" spans="1:25" ht="60" customHeight="1" x14ac:dyDescent="0.25">
      <c r="A227"/>
      <c r="B227" t="s">
        <v>4</v>
      </c>
      <c r="C227" t="s">
        <v>3372</v>
      </c>
      <c r="D227" t="s">
        <v>643</v>
      </c>
      <c r="E227" t="s">
        <v>1498</v>
      </c>
      <c r="F227" t="s">
        <v>1499</v>
      </c>
      <c r="G227" t="s">
        <v>600</v>
      </c>
      <c r="H227" s="30">
        <v>30.84</v>
      </c>
      <c r="I227" s="29">
        <f>H227*(1-IFERROR(VLOOKUP(G227,Rabat!$D$10:$E$41,2,FALSE),0))</f>
        <v>30.84</v>
      </c>
      <c r="J227" t="s">
        <v>1902</v>
      </c>
      <c r="K227" t="s">
        <v>192</v>
      </c>
      <c r="L227" t="s">
        <v>1917</v>
      </c>
      <c r="M227">
        <v>150</v>
      </c>
      <c r="N227"/>
      <c r="O227" t="s">
        <v>3434</v>
      </c>
      <c r="P227" s="31" t="str">
        <f>HYPERLINK("https://b2b.kobi.pl/pl/product/10126,uchwyty-do-kartongipsu-nelio-30x120-kobi?currency=PLN")</f>
        <v>https://b2b.kobi.pl/pl/product/10126,uchwyty-do-kartongipsu-nelio-30x120-kobi?currency=PLN</v>
      </c>
      <c r="Q227" t="s">
        <v>15</v>
      </c>
      <c r="R227"/>
      <c r="S227" t="s">
        <v>2678</v>
      </c>
      <c r="T227"/>
      <c r="U227">
        <v>8.5999999999999993E-2</v>
      </c>
      <c r="V227">
        <v>0.1</v>
      </c>
      <c r="W227">
        <v>4</v>
      </c>
      <c r="X227">
        <v>8.6</v>
      </c>
      <c r="Y227">
        <v>14</v>
      </c>
    </row>
    <row r="228" spans="1:25" ht="60" customHeight="1" x14ac:dyDescent="0.25">
      <c r="A228"/>
      <c r="B228" t="s">
        <v>4</v>
      </c>
      <c r="C228" t="s">
        <v>3372</v>
      </c>
      <c r="D228" t="s">
        <v>643</v>
      </c>
      <c r="E228" t="s">
        <v>1001</v>
      </c>
      <c r="F228" t="s">
        <v>1002</v>
      </c>
      <c r="G228" t="s">
        <v>600</v>
      </c>
      <c r="H228" s="30">
        <v>16.670000000000002</v>
      </c>
      <c r="I228" s="29">
        <f>H228*(1-IFERROR(VLOOKUP(G228,Rabat!$D$10:$E$41,2,FALSE),0))</f>
        <v>16.670000000000002</v>
      </c>
      <c r="J228" t="s">
        <v>1902</v>
      </c>
      <c r="K228" t="s">
        <v>185</v>
      </c>
      <c r="L228" t="s">
        <v>1917</v>
      </c>
      <c r="M228">
        <v>200</v>
      </c>
      <c r="N228"/>
      <c r="O228" t="s">
        <v>3434</v>
      </c>
      <c r="P228" s="31" t="str">
        <f>HYPERLINK("https://b2b.kobi.pl/pl/product/10114,linka-do-panelu-led-kobi?currency=PLN")</f>
        <v>https://b2b.kobi.pl/pl/product/10114,linka-do-panelu-led-kobi?currency=PLN</v>
      </c>
      <c r="Q228" t="s">
        <v>15</v>
      </c>
      <c r="R228"/>
      <c r="S228" t="s">
        <v>2678</v>
      </c>
      <c r="T228"/>
      <c r="U228">
        <v>9.8000000000000004E-2</v>
      </c>
      <c r="V228">
        <v>0.13100000000000001</v>
      </c>
      <c r="W228">
        <v>5</v>
      </c>
      <c r="X228">
        <v>2</v>
      </c>
      <c r="Y228">
        <v>2</v>
      </c>
    </row>
    <row r="229" spans="1:25" ht="60" customHeight="1" x14ac:dyDescent="0.25">
      <c r="A229"/>
      <c r="B229" t="s">
        <v>4</v>
      </c>
      <c r="C229" t="s">
        <v>3372</v>
      </c>
      <c r="D229" t="s">
        <v>599</v>
      </c>
      <c r="E229" t="s">
        <v>1520</v>
      </c>
      <c r="F229" t="s">
        <v>1521</v>
      </c>
      <c r="G229" t="s">
        <v>600</v>
      </c>
      <c r="H229" s="30">
        <v>44</v>
      </c>
      <c r="I229" s="29">
        <f>H229*(1-IFERROR(VLOOKUP(G229,Rabat!$D$10:$E$41,2,FALSE),0))</f>
        <v>44</v>
      </c>
      <c r="J229" t="s">
        <v>1902</v>
      </c>
      <c r="K229" t="s">
        <v>194</v>
      </c>
      <c r="L229" t="s">
        <v>1901</v>
      </c>
      <c r="M229">
        <v>1</v>
      </c>
      <c r="N229"/>
      <c r="O229" t="s">
        <v>3436</v>
      </c>
      <c r="P229" s="31" t="str">
        <f>HYPERLINK("https://b2b.kobi.pl/pl/product/10228,zasilacz-do-panelu-led-36w-lf-gif040ys900h?currency=PLN")</f>
        <v>https://b2b.kobi.pl/pl/product/10228,zasilacz-do-panelu-led-36w-lf-gif040ys900h?currency=PLN</v>
      </c>
      <c r="Q229" t="s">
        <v>15</v>
      </c>
      <c r="R229"/>
      <c r="S229" t="s">
        <v>2676</v>
      </c>
      <c r="T229"/>
      <c r="U229">
        <v>0.1</v>
      </c>
      <c r="V229">
        <v>0.1</v>
      </c>
      <c r="W229">
        <v>0</v>
      </c>
      <c r="X229">
        <v>0</v>
      </c>
      <c r="Y229">
        <v>0</v>
      </c>
    </row>
    <row r="230" spans="1:25" ht="60" customHeight="1" x14ac:dyDescent="0.25">
      <c r="A230"/>
      <c r="B230" t="s">
        <v>4</v>
      </c>
      <c r="C230" t="s">
        <v>3372</v>
      </c>
      <c r="D230" t="s">
        <v>643</v>
      </c>
      <c r="E230" t="s">
        <v>1526</v>
      </c>
      <c r="F230" t="s">
        <v>1527</v>
      </c>
      <c r="G230" t="s">
        <v>600</v>
      </c>
      <c r="H230" s="30">
        <v>197.78</v>
      </c>
      <c r="I230" s="29">
        <f>H230*(1-IFERROR(VLOOKUP(G230,Rabat!$D$10:$E$41,2,FALSE),0))</f>
        <v>197.78</v>
      </c>
      <c r="J230" t="s">
        <v>1902</v>
      </c>
      <c r="K230" t="s">
        <v>1986</v>
      </c>
      <c r="L230" t="s">
        <v>1917</v>
      </c>
      <c r="M230">
        <v>1</v>
      </c>
      <c r="N230"/>
      <c r="O230" t="s">
        <v>3436</v>
      </c>
      <c r="P230" s="31" t="str">
        <f>HYPERLINK("https://b2b.kobi.pl/pl/product/9916,zasilacz-lf-gsd040yc-dali-lifud?currency=PLN")</f>
        <v>https://b2b.kobi.pl/pl/product/9916,zasilacz-lf-gsd040yc-dali-lifud?currency=PLN</v>
      </c>
      <c r="Q230" t="s">
        <v>15</v>
      </c>
      <c r="R230"/>
      <c r="S230" t="s">
        <v>2676</v>
      </c>
      <c r="T230"/>
      <c r="U230">
        <v>0.17</v>
      </c>
      <c r="V230">
        <v>0.17</v>
      </c>
      <c r="W230">
        <v>10.7</v>
      </c>
      <c r="X230">
        <v>7</v>
      </c>
      <c r="Y230">
        <v>2.9</v>
      </c>
    </row>
    <row r="231" spans="1:25" ht="60" customHeight="1" x14ac:dyDescent="0.25">
      <c r="A231"/>
      <c r="B231" t="s">
        <v>4</v>
      </c>
      <c r="C231" t="s">
        <v>3372</v>
      </c>
      <c r="D231" t="s">
        <v>599</v>
      </c>
      <c r="E231" t="s">
        <v>1522</v>
      </c>
      <c r="F231" t="s">
        <v>1523</v>
      </c>
      <c r="G231" t="s">
        <v>600</v>
      </c>
      <c r="H231" s="30">
        <v>45</v>
      </c>
      <c r="I231" s="29">
        <f>H231*(1-IFERROR(VLOOKUP(G231,Rabat!$D$10:$E$41,2,FALSE),0))</f>
        <v>45</v>
      </c>
      <c r="J231" t="s">
        <v>1902</v>
      </c>
      <c r="K231" t="s">
        <v>195</v>
      </c>
      <c r="L231" t="s">
        <v>1901</v>
      </c>
      <c r="M231">
        <v>1</v>
      </c>
      <c r="N231"/>
      <c r="O231" t="s">
        <v>3436</v>
      </c>
      <c r="P231" s="31" t="str">
        <f>HYPERLINK("https://b2b.kobi.pl/pl/product/10229,zasilacz-do-panelu-led-40w-lf-gif040ys1000h?currency=PLN")</f>
        <v>https://b2b.kobi.pl/pl/product/10229,zasilacz-do-panelu-led-40w-lf-gif040ys1000h?currency=PLN</v>
      </c>
      <c r="Q231" t="s">
        <v>15</v>
      </c>
      <c r="R231"/>
      <c r="S231" t="s">
        <v>2679</v>
      </c>
      <c r="T231"/>
      <c r="U231">
        <v>0.1</v>
      </c>
      <c r="V231">
        <v>0.1</v>
      </c>
      <c r="W231">
        <v>0</v>
      </c>
      <c r="X231">
        <v>0</v>
      </c>
      <c r="Y231">
        <v>0</v>
      </c>
    </row>
    <row r="232" spans="1:25" ht="60" customHeight="1" x14ac:dyDescent="0.25">
      <c r="A232"/>
      <c r="B232" t="s">
        <v>4</v>
      </c>
      <c r="C232" t="s">
        <v>3372</v>
      </c>
      <c r="D232" t="s">
        <v>599</v>
      </c>
      <c r="E232" t="s">
        <v>1524</v>
      </c>
      <c r="F232" t="s">
        <v>1525</v>
      </c>
      <c r="G232" t="s">
        <v>600</v>
      </c>
      <c r="H232" s="30">
        <v>215</v>
      </c>
      <c r="I232" s="29">
        <f>H232*(1-IFERROR(VLOOKUP(G232,Rabat!$D$10:$E$41,2,FALSE),0))</f>
        <v>215</v>
      </c>
      <c r="J232" t="s">
        <v>1902</v>
      </c>
      <c r="K232" t="s">
        <v>196</v>
      </c>
      <c r="L232" t="s">
        <v>1901</v>
      </c>
      <c r="M232">
        <v>1</v>
      </c>
      <c r="N232"/>
      <c r="O232" t="s">
        <v>3436</v>
      </c>
      <c r="P232" s="31" t="str">
        <f>HYPERLINK("https://b2b.kobi.pl/pl/product/10230,zasilacz-lf-gsd020yc-lifud-dali?currency=PLN")</f>
        <v>https://b2b.kobi.pl/pl/product/10230,zasilacz-lf-gsd020yc-lifud-dali?currency=PLN</v>
      </c>
      <c r="Q232" t="s">
        <v>15</v>
      </c>
      <c r="R232"/>
      <c r="S232" t="s">
        <v>2676</v>
      </c>
      <c r="T232"/>
      <c r="U232">
        <v>0.13</v>
      </c>
      <c r="V232">
        <v>0.13</v>
      </c>
      <c r="W232">
        <v>0</v>
      </c>
      <c r="X232">
        <v>0</v>
      </c>
      <c r="Y232">
        <v>0</v>
      </c>
    </row>
    <row r="233" spans="1:25" ht="60" customHeight="1" x14ac:dyDescent="0.25">
      <c r="A233"/>
      <c r="B233" t="s">
        <v>4</v>
      </c>
      <c r="C233" t="s">
        <v>3372</v>
      </c>
      <c r="D233" t="s">
        <v>599</v>
      </c>
      <c r="E233" t="s">
        <v>2286</v>
      </c>
      <c r="F233" t="s">
        <v>2287</v>
      </c>
      <c r="G233" t="s">
        <v>600</v>
      </c>
      <c r="H233" s="30">
        <v>236</v>
      </c>
      <c r="I233" s="29">
        <f>H233*(1-IFERROR(VLOOKUP(G233,Rabat!$D$10:$E$41,2,FALSE),0))</f>
        <v>236</v>
      </c>
      <c r="J233" t="s">
        <v>1902</v>
      </c>
      <c r="K233" t="s">
        <v>2294</v>
      </c>
      <c r="L233" t="s">
        <v>1901</v>
      </c>
      <c r="M233"/>
      <c r="N233"/>
      <c r="O233" t="s">
        <v>3436</v>
      </c>
      <c r="P233"/>
      <c r="Q233" t="s">
        <v>15</v>
      </c>
      <c r="R233"/>
      <c r="S233" t="s">
        <v>2676</v>
      </c>
      <c r="T233"/>
      <c r="U233">
        <v>0.22</v>
      </c>
      <c r="V233">
        <v>0.24199999999999999</v>
      </c>
      <c r="W233">
        <v>0</v>
      </c>
      <c r="X233">
        <v>0</v>
      </c>
      <c r="Y233">
        <v>0</v>
      </c>
    </row>
    <row r="234" spans="1:25" ht="60" customHeight="1" x14ac:dyDescent="0.25">
      <c r="A234"/>
      <c r="B234" t="s">
        <v>4</v>
      </c>
      <c r="C234" t="s">
        <v>3372</v>
      </c>
      <c r="D234" t="s">
        <v>599</v>
      </c>
      <c r="E234" t="s">
        <v>2288</v>
      </c>
      <c r="F234" t="s">
        <v>2289</v>
      </c>
      <c r="G234" t="s">
        <v>600</v>
      </c>
      <c r="H234" s="30">
        <v>45</v>
      </c>
      <c r="I234" s="29">
        <f>H234*(1-IFERROR(VLOOKUP(G234,Rabat!$D$10:$E$41,2,FALSE),0))</f>
        <v>45</v>
      </c>
      <c r="J234" t="s">
        <v>1902</v>
      </c>
      <c r="K234" t="s">
        <v>2295</v>
      </c>
      <c r="L234" t="s">
        <v>1901</v>
      </c>
      <c r="M234">
        <v>1</v>
      </c>
      <c r="N234"/>
      <c r="O234" t="s">
        <v>3436</v>
      </c>
      <c r="P234"/>
      <c r="Q234" t="s">
        <v>15</v>
      </c>
      <c r="R234"/>
      <c r="S234" t="s">
        <v>2676</v>
      </c>
      <c r="T234"/>
      <c r="U234">
        <v>0.09</v>
      </c>
      <c r="V234">
        <v>9.9000000000000005E-2</v>
      </c>
      <c r="W234">
        <v>0</v>
      </c>
      <c r="X234">
        <v>0</v>
      </c>
      <c r="Y234">
        <v>0</v>
      </c>
    </row>
    <row r="235" spans="1:25" ht="60" customHeight="1" x14ac:dyDescent="0.25">
      <c r="A235"/>
      <c r="B235" t="s">
        <v>4</v>
      </c>
      <c r="C235" t="s">
        <v>3372</v>
      </c>
      <c r="D235" t="s">
        <v>599</v>
      </c>
      <c r="E235" t="s">
        <v>1370</v>
      </c>
      <c r="F235" t="s">
        <v>1371</v>
      </c>
      <c r="G235" t="s">
        <v>600</v>
      </c>
      <c r="H235" s="30">
        <v>164.22</v>
      </c>
      <c r="I235" s="29">
        <f>H235*(1-IFERROR(VLOOKUP(G235,Rabat!$D$10:$E$41,2,FALSE),0))</f>
        <v>164.22</v>
      </c>
      <c r="J235" t="s">
        <v>1902</v>
      </c>
      <c r="K235" t="s">
        <v>1958</v>
      </c>
      <c r="L235" t="s">
        <v>1901</v>
      </c>
      <c r="M235">
        <v>6</v>
      </c>
      <c r="N235">
        <v>72</v>
      </c>
      <c r="O235" t="s">
        <v>3436</v>
      </c>
      <c r="P235" s="31" t="str">
        <f>HYPERLINK("https://b2b.kobi.pl/pl/product/12264,panel-led-capri-g2-25-36-40w-60x60-3cct-ip44-kobi-pro?currency=PLN")</f>
        <v>https://b2b.kobi.pl/pl/product/12264,panel-led-capri-g2-25-36-40w-60x60-3cct-ip44-kobi-pro?currency=PLN</v>
      </c>
      <c r="Q235" s="31" t="str">
        <f>HYPERLINK("https://eprel.ec.europa.eu/qr/2205372")</f>
        <v>https://eprel.ec.europa.eu/qr/2205372</v>
      </c>
      <c r="R235"/>
      <c r="S235" t="s">
        <v>2677</v>
      </c>
      <c r="T235"/>
      <c r="U235">
        <v>1.25</v>
      </c>
      <c r="V235">
        <v>1.62</v>
      </c>
      <c r="W235">
        <v>60.5</v>
      </c>
      <c r="X235">
        <v>61</v>
      </c>
      <c r="Y235">
        <v>3.8</v>
      </c>
    </row>
    <row r="236" spans="1:25" ht="60" customHeight="1" x14ac:dyDescent="0.25">
      <c r="A236"/>
      <c r="B236" t="s">
        <v>4</v>
      </c>
      <c r="C236" t="s">
        <v>3372</v>
      </c>
      <c r="D236" t="s">
        <v>599</v>
      </c>
      <c r="E236" t="s">
        <v>1372</v>
      </c>
      <c r="F236" t="s">
        <v>1373</v>
      </c>
      <c r="G236" t="s">
        <v>600</v>
      </c>
      <c r="H236" s="30">
        <v>199.9</v>
      </c>
      <c r="I236" s="29">
        <f>H236*(1-IFERROR(VLOOKUP(G236,Rabat!$D$10:$E$41,2,FALSE),0))</f>
        <v>199.9</v>
      </c>
      <c r="J236" t="s">
        <v>1902</v>
      </c>
      <c r="K236" t="s">
        <v>1959</v>
      </c>
      <c r="L236" t="s">
        <v>1901</v>
      </c>
      <c r="M236">
        <v>6</v>
      </c>
      <c r="N236">
        <v>72</v>
      </c>
      <c r="O236" t="s">
        <v>3436</v>
      </c>
      <c r="P236" s="31" t="str">
        <f>HYPERLINK("https://b2b.kobi.pl/pl/product/12265,panel-led-capri-g2-25-36-40w-60x60-3cct-ip44-ugr-19-kobi-pro?currency=PLN")</f>
        <v>https://b2b.kobi.pl/pl/product/12265,panel-led-capri-g2-25-36-40w-60x60-3cct-ip44-ugr-19-kobi-pro?currency=PLN</v>
      </c>
      <c r="Q236" s="31" t="str">
        <f>HYPERLINK("https://eprel.ec.europa.eu/qr/2206477")</f>
        <v>https://eprel.ec.europa.eu/qr/2206477</v>
      </c>
      <c r="R236"/>
      <c r="S236" t="s">
        <v>2677</v>
      </c>
      <c r="T236"/>
      <c r="U236">
        <v>1.42</v>
      </c>
      <c r="V236">
        <v>1.8</v>
      </c>
      <c r="W236">
        <v>60.5</v>
      </c>
      <c r="X236">
        <v>38</v>
      </c>
      <c r="Y236">
        <v>61</v>
      </c>
    </row>
    <row r="237" spans="1:25" ht="60" customHeight="1" x14ac:dyDescent="0.25">
      <c r="A237"/>
      <c r="B237" t="s">
        <v>4</v>
      </c>
      <c r="C237" t="s">
        <v>3372</v>
      </c>
      <c r="D237" t="s">
        <v>599</v>
      </c>
      <c r="E237" t="s">
        <v>2037</v>
      </c>
      <c r="F237" t="s">
        <v>2038</v>
      </c>
      <c r="G237" t="s">
        <v>600</v>
      </c>
      <c r="H237" s="30">
        <v>186.44</v>
      </c>
      <c r="I237" s="29">
        <f>H237*(1-IFERROR(VLOOKUP(G237,Rabat!$D$10:$E$41,2,FALSE),0))</f>
        <v>186.44</v>
      </c>
      <c r="J237" t="s">
        <v>1902</v>
      </c>
      <c r="K237" t="s">
        <v>2047</v>
      </c>
      <c r="L237" t="s">
        <v>1901</v>
      </c>
      <c r="M237">
        <v>6</v>
      </c>
      <c r="N237">
        <v>84</v>
      </c>
      <c r="O237" t="s">
        <v>3436</v>
      </c>
      <c r="P237" s="31" t="str">
        <f>HYPERLINK("https://b2b.kobi.pl/pl/product/12266,panel-led-capri-g2-25-36-40w-30x120-3cct-ip44-kobi-pro?currency=PLN")</f>
        <v>https://b2b.kobi.pl/pl/product/12266,panel-led-capri-g2-25-36-40w-30x120-3cct-ip44-kobi-pro?currency=PLN</v>
      </c>
      <c r="Q237" s="31" t="str">
        <f>HYPERLINK("https://eprel.ec.europa.eu/qr/2206494")</f>
        <v>https://eprel.ec.europa.eu/qr/2206494</v>
      </c>
      <c r="R237"/>
      <c r="S237" t="s">
        <v>2677</v>
      </c>
      <c r="T237"/>
      <c r="U237">
        <v>1.3</v>
      </c>
      <c r="V237">
        <v>1.6950000000000001</v>
      </c>
      <c r="W237">
        <v>120.5</v>
      </c>
      <c r="X237">
        <v>31</v>
      </c>
      <c r="Y237">
        <v>3.8</v>
      </c>
    </row>
    <row r="238" spans="1:25" ht="60" customHeight="1" x14ac:dyDescent="0.25">
      <c r="A238"/>
      <c r="B238" t="s">
        <v>4</v>
      </c>
      <c r="C238" t="s">
        <v>3372</v>
      </c>
      <c r="D238" t="s">
        <v>599</v>
      </c>
      <c r="E238" t="s">
        <v>2039</v>
      </c>
      <c r="F238" t="s">
        <v>2040</v>
      </c>
      <c r="G238" t="s">
        <v>600</v>
      </c>
      <c r="H238" s="30">
        <v>197.78</v>
      </c>
      <c r="I238" s="29">
        <f>H238*(1-IFERROR(VLOOKUP(G238,Rabat!$D$10:$E$41,2,FALSE),0))</f>
        <v>197.78</v>
      </c>
      <c r="J238" t="s">
        <v>1902</v>
      </c>
      <c r="K238" t="s">
        <v>2048</v>
      </c>
      <c r="L238" t="s">
        <v>1901</v>
      </c>
      <c r="M238">
        <v>6</v>
      </c>
      <c r="N238">
        <v>84</v>
      </c>
      <c r="O238" t="s">
        <v>3436</v>
      </c>
      <c r="P238" s="31" t="str">
        <f>HYPERLINK("https://b2b.kobi.pl/pl/product/12267,panel-led-capri-g2-25-36-40w-30x120-3cct-ip44-ugr-19-kobi-pro?currency=PLN")</f>
        <v>https://b2b.kobi.pl/pl/product/12267,panel-led-capri-g2-25-36-40w-30x120-3cct-ip44-ugr-19-kobi-pro?currency=PLN</v>
      </c>
      <c r="Q238" s="31" t="str">
        <f>HYPERLINK("https://eprel.ec.europa.eu/qr/2206511")</f>
        <v>https://eprel.ec.europa.eu/qr/2206511</v>
      </c>
      <c r="R238"/>
      <c r="S238" t="s">
        <v>2677</v>
      </c>
      <c r="T238"/>
      <c r="U238">
        <v>1.45</v>
      </c>
      <c r="V238">
        <v>1.83</v>
      </c>
      <c r="W238">
        <v>120.5</v>
      </c>
      <c r="X238">
        <v>31</v>
      </c>
      <c r="Y238">
        <v>3.8</v>
      </c>
    </row>
    <row r="239" spans="1:25" ht="60" customHeight="1" x14ac:dyDescent="0.25">
      <c r="A239"/>
      <c r="B239" t="s">
        <v>4</v>
      </c>
      <c r="C239" t="s">
        <v>3372</v>
      </c>
      <c r="D239" t="s">
        <v>599</v>
      </c>
      <c r="E239" t="s">
        <v>2041</v>
      </c>
      <c r="F239" t="s">
        <v>2042</v>
      </c>
      <c r="G239" t="s">
        <v>600</v>
      </c>
      <c r="H239" s="30">
        <v>208.89</v>
      </c>
      <c r="I239" s="29">
        <f>H239*(1-IFERROR(VLOOKUP(G239,Rabat!$D$10:$E$41,2,FALSE),0))</f>
        <v>208.89</v>
      </c>
      <c r="J239" t="s">
        <v>1902</v>
      </c>
      <c r="K239" t="s">
        <v>2049</v>
      </c>
      <c r="L239" t="s">
        <v>1901</v>
      </c>
      <c r="M239">
        <v>6</v>
      </c>
      <c r="N239">
        <v>72</v>
      </c>
      <c r="O239" t="s">
        <v>3436</v>
      </c>
      <c r="P239" s="31" t="str">
        <f>HYPERLINK("https://b2b.kobi.pl/pl/product/12268,panel-led-capri-g3-25-36-40w-60x60-3cct-ip44-ugr-19-kobi-pro?currency=PLN")</f>
        <v>https://b2b.kobi.pl/pl/product/12268,panel-led-capri-g3-25-36-40w-60x60-3cct-ip44-ugr-19-kobi-pro?currency=PLN</v>
      </c>
      <c r="Q239" s="31" t="str">
        <f>HYPERLINK("https://eprel.ec.europa.eu/qr/2206621")</f>
        <v>https://eprel.ec.europa.eu/qr/2206621</v>
      </c>
      <c r="R239"/>
      <c r="S239" t="s">
        <v>2677</v>
      </c>
      <c r="T239"/>
      <c r="U239">
        <v>1.52</v>
      </c>
      <c r="V239">
        <v>1.9</v>
      </c>
      <c r="W239">
        <v>60.5</v>
      </c>
      <c r="X239">
        <v>61</v>
      </c>
      <c r="Y239">
        <v>3.8</v>
      </c>
    </row>
    <row r="240" spans="1:25" ht="60" customHeight="1" x14ac:dyDescent="0.25">
      <c r="A240"/>
      <c r="B240" t="s">
        <v>4</v>
      </c>
      <c r="C240" t="s">
        <v>3372</v>
      </c>
      <c r="D240" t="s">
        <v>643</v>
      </c>
      <c r="E240" t="s">
        <v>2027</v>
      </c>
      <c r="F240" t="s">
        <v>2028</v>
      </c>
      <c r="G240" t="s">
        <v>600</v>
      </c>
      <c r="H240" s="30">
        <v>68.89</v>
      </c>
      <c r="I240" s="29">
        <f>H240*(1-IFERROR(VLOOKUP(G240,Rabat!$D$10:$E$41,2,FALSE),0))</f>
        <v>68.89</v>
      </c>
      <c r="J240" t="s">
        <v>1902</v>
      </c>
      <c r="K240" t="s">
        <v>2032</v>
      </c>
      <c r="L240" t="s">
        <v>1901</v>
      </c>
      <c r="M240">
        <v>6</v>
      </c>
      <c r="N240">
        <v>72</v>
      </c>
      <c r="O240" t="s">
        <v>3435</v>
      </c>
      <c r="P240" s="31" t="str">
        <f>HYPERLINK("https://b2b.kobi.pl/pl/product/12269,panel-led-davro-40w-60x60-4000k-kobi?currency=PLN")</f>
        <v>https://b2b.kobi.pl/pl/product/12269,panel-led-davro-40w-60x60-4000k-kobi?currency=PLN</v>
      </c>
      <c r="Q240" s="31" t="str">
        <f>HYPERLINK("https://eprel.ec.europa.eu/qr/2206632")</f>
        <v>https://eprel.ec.europa.eu/qr/2206632</v>
      </c>
      <c r="R240"/>
      <c r="S240" t="s">
        <v>2677</v>
      </c>
      <c r="T240"/>
      <c r="U240">
        <v>1.1499999999999999</v>
      </c>
      <c r="V240">
        <v>1.54</v>
      </c>
      <c r="W240">
        <v>60.5</v>
      </c>
      <c r="X240">
        <v>61</v>
      </c>
      <c r="Y240">
        <v>3.8</v>
      </c>
    </row>
    <row r="241" spans="1:25" ht="60" customHeight="1" x14ac:dyDescent="0.25">
      <c r="A241"/>
      <c r="B241" t="s">
        <v>4</v>
      </c>
      <c r="C241" t="s">
        <v>3372</v>
      </c>
      <c r="D241" t="s">
        <v>599</v>
      </c>
      <c r="E241" t="s">
        <v>2574</v>
      </c>
      <c r="F241" t="s">
        <v>2031</v>
      </c>
      <c r="G241" t="s">
        <v>600</v>
      </c>
      <c r="H241" s="30">
        <v>135.56</v>
      </c>
      <c r="I241" s="29">
        <f>H241*(1-IFERROR(VLOOKUP(G241,Rabat!$D$10:$E$41,2,FALSE),0))</f>
        <v>135.56</v>
      </c>
      <c r="J241" t="s">
        <v>1902</v>
      </c>
      <c r="K241" t="s">
        <v>2034</v>
      </c>
      <c r="L241" t="s">
        <v>1901</v>
      </c>
      <c r="M241">
        <v>6</v>
      </c>
      <c r="N241">
        <v>120</v>
      </c>
      <c r="O241" t="s">
        <v>3436</v>
      </c>
      <c r="P241" s="31" t="str">
        <f>HYPERLINK("https://b2b.kobi.pl/pl/product/12272,panel-led-nelio-g2-25w-60x30-4000k-kobi-pro?currency=PLN")</f>
        <v>https://b2b.kobi.pl/pl/product/12272,panel-led-nelio-g2-25w-60x30-4000k-kobi-pro?currency=PLN</v>
      </c>
      <c r="Q241" s="31" t="str">
        <f>HYPERLINK("https://eprel.ec.europa.eu/qr/2206669")</f>
        <v>https://eprel.ec.europa.eu/qr/2206669</v>
      </c>
      <c r="R241"/>
      <c r="S241" t="s">
        <v>2677</v>
      </c>
      <c r="T241"/>
      <c r="U241">
        <v>1.06</v>
      </c>
      <c r="V241">
        <v>1.33</v>
      </c>
      <c r="W241">
        <v>63</v>
      </c>
      <c r="X241">
        <v>36.5</v>
      </c>
      <c r="Y241">
        <v>3.5</v>
      </c>
    </row>
    <row r="242" spans="1:25" ht="60" customHeight="1" x14ac:dyDescent="0.25">
      <c r="A242"/>
      <c r="B242" t="s">
        <v>4</v>
      </c>
      <c r="C242" t="s">
        <v>3372</v>
      </c>
      <c r="D242" t="s">
        <v>599</v>
      </c>
      <c r="E242" t="s">
        <v>2029</v>
      </c>
      <c r="F242" t="s">
        <v>2030</v>
      </c>
      <c r="G242" t="s">
        <v>600</v>
      </c>
      <c r="H242" s="30">
        <v>186.67</v>
      </c>
      <c r="I242" s="29">
        <f>H242*(1-IFERROR(VLOOKUP(G242,Rabat!$D$10:$E$41,2,FALSE),0))</f>
        <v>186.67</v>
      </c>
      <c r="J242" t="s">
        <v>1902</v>
      </c>
      <c r="K242" t="s">
        <v>2033</v>
      </c>
      <c r="L242" t="s">
        <v>1901</v>
      </c>
      <c r="M242">
        <v>6</v>
      </c>
      <c r="N242">
        <v>66</v>
      </c>
      <c r="O242" t="s">
        <v>3436</v>
      </c>
      <c r="P242" s="31" t="str">
        <f>HYPERLINK("https://b2b.kobi.pl/pl/product/12270,panel-led-nelio-g2-36w-60x60-4000k-kobi-pro?currency=PLN")</f>
        <v>https://b2b.kobi.pl/pl/product/12270,panel-led-nelio-g2-36w-60x60-4000k-kobi-pro?currency=PLN</v>
      </c>
      <c r="Q242" s="31" t="str">
        <f>HYPERLINK("https://eprel.ec.europa.eu/qr/2206653")</f>
        <v>https://eprel.ec.europa.eu/qr/2206653</v>
      </c>
      <c r="R242"/>
      <c r="S242" t="s">
        <v>2677</v>
      </c>
      <c r="T242"/>
      <c r="U242">
        <v>1.83</v>
      </c>
      <c r="V242">
        <v>2.23</v>
      </c>
      <c r="W242">
        <v>63</v>
      </c>
      <c r="X242">
        <v>66.5</v>
      </c>
      <c r="Y242">
        <v>3.5</v>
      </c>
    </row>
    <row r="243" spans="1:25" ht="60" customHeight="1" x14ac:dyDescent="0.25">
      <c r="A243"/>
      <c r="B243" t="s">
        <v>4</v>
      </c>
      <c r="C243" t="s">
        <v>3372</v>
      </c>
      <c r="D243" t="s">
        <v>643</v>
      </c>
      <c r="E243" t="s">
        <v>2378</v>
      </c>
      <c r="F243" t="s">
        <v>2379</v>
      </c>
      <c r="G243" t="s">
        <v>600</v>
      </c>
      <c r="H243" s="30">
        <v>122.2</v>
      </c>
      <c r="I243" s="29">
        <f>H243*(1-IFERROR(VLOOKUP(G243,Rabat!$D$10:$E$41,2,FALSE),0))</f>
        <v>122.2</v>
      </c>
      <c r="J243" t="s">
        <v>1902</v>
      </c>
      <c r="K243" t="s">
        <v>2496</v>
      </c>
      <c r="L243" t="s">
        <v>1901</v>
      </c>
      <c r="M243">
        <v>5</v>
      </c>
      <c r="N243">
        <v>80</v>
      </c>
      <c r="O243" t="s">
        <v>3434</v>
      </c>
      <c r="P243" s="31" t="str">
        <f>HYPERLINK("https://b2b.kobi.pl/pl/product/12401,panel-led-balis-40w-60x60-4000k-bialy-kobi?currency=PLN")</f>
        <v>https://b2b.kobi.pl/pl/product/12401,panel-led-balis-40w-60x60-4000k-bialy-kobi?currency=PLN</v>
      </c>
      <c r="Q243" s="31" t="str">
        <f>HYPERLINK("https://eprel.ec.europa.eu/qr/2142493")</f>
        <v>https://eprel.ec.europa.eu/qr/2142493</v>
      </c>
      <c r="R243"/>
      <c r="S243" t="s">
        <v>2677</v>
      </c>
      <c r="T243"/>
      <c r="U243">
        <v>1.69</v>
      </c>
      <c r="V243">
        <v>2</v>
      </c>
      <c r="W243">
        <v>63</v>
      </c>
      <c r="X243">
        <v>3.5</v>
      </c>
      <c r="Y243">
        <v>66</v>
      </c>
    </row>
    <row r="244" spans="1:25" ht="60" customHeight="1" x14ac:dyDescent="0.25">
      <c r="A244"/>
      <c r="B244" t="s">
        <v>4</v>
      </c>
      <c r="C244" t="s">
        <v>608</v>
      </c>
      <c r="D244" t="s">
        <v>631</v>
      </c>
      <c r="E244" t="s">
        <v>972</v>
      </c>
      <c r="F244" t="s">
        <v>973</v>
      </c>
      <c r="G244" t="s">
        <v>612</v>
      </c>
      <c r="H244" s="30">
        <v>126.44</v>
      </c>
      <c r="I244" s="29">
        <f>H244*(1-IFERROR(VLOOKUP(G244,Rabat!$D$10:$E$41,2,FALSE),0))</f>
        <v>126.44</v>
      </c>
      <c r="J244" t="s">
        <v>1903</v>
      </c>
      <c r="K244" t="s">
        <v>205</v>
      </c>
      <c r="L244" t="s">
        <v>1901</v>
      </c>
      <c r="M244">
        <v>10</v>
      </c>
      <c r="N244">
        <v>240</v>
      </c>
      <c r="O244" t="s">
        <v>3435</v>
      </c>
      <c r="P244" s="31" t="str">
        <f>HYPERLINK("https://b2b.kobi.pl/pl/product/9920,oprawa-hermetyczna-led-cortez-2-60w-120cm-4000k-ip65-kobi-premium?currency=PLN")</f>
        <v>https://b2b.kobi.pl/pl/product/9920,oprawa-hermetyczna-led-cortez-2-60w-120cm-4000k-ip65-kobi-premium?currency=PLN</v>
      </c>
      <c r="Q244" s="31" t="str">
        <f>HYPERLINK("https://eprel.ec.europa.eu/qr/2175600")</f>
        <v>https://eprel.ec.europa.eu/qr/2175600</v>
      </c>
      <c r="R244" t="s">
        <v>2035</v>
      </c>
      <c r="S244" t="s">
        <v>2675</v>
      </c>
      <c r="T244"/>
      <c r="U244">
        <v>0.54</v>
      </c>
      <c r="V244">
        <v>0.56699999999999995</v>
      </c>
      <c r="W244">
        <v>120</v>
      </c>
      <c r="X244">
        <v>8</v>
      </c>
      <c r="Y244">
        <v>5</v>
      </c>
    </row>
    <row r="245" spans="1:25" ht="60" customHeight="1" x14ac:dyDescent="0.25">
      <c r="A245"/>
      <c r="B245" t="s">
        <v>4</v>
      </c>
      <c r="C245" t="s">
        <v>608</v>
      </c>
      <c r="D245" t="s">
        <v>609</v>
      </c>
      <c r="E245" t="s">
        <v>610</v>
      </c>
      <c r="F245" t="s">
        <v>611</v>
      </c>
      <c r="G245" t="s">
        <v>612</v>
      </c>
      <c r="H245" s="30">
        <v>675</v>
      </c>
      <c r="I245" s="29">
        <f>H245*(1-IFERROR(VLOOKUP(G245,Rabat!$D$10:$E$41,2,FALSE),0))</f>
        <v>675</v>
      </c>
      <c r="J245" t="s">
        <v>1904</v>
      </c>
      <c r="K245" t="s">
        <v>166</v>
      </c>
      <c r="L245" t="s">
        <v>1901</v>
      </c>
      <c r="M245"/>
      <c r="N245"/>
      <c r="O245" t="s">
        <v>3436</v>
      </c>
      <c r="P245" s="31" t="str">
        <f>HYPERLINK("https://b2b.kobi.pl/pl/product/8367,oprawa-liniowa-hermetyczna-led-hpl1-30w-ip65-120-kobi-pro?currency=PLN")</f>
        <v>https://b2b.kobi.pl/pl/product/8367,oprawa-liniowa-hermetyczna-led-hpl1-30w-ip65-120-kobi-pro?currency=PLN</v>
      </c>
      <c r="Q245" s="31" t="str">
        <f>HYPERLINK("https://eprel.ec.europa.eu/qr/953103")</f>
        <v>https://eprel.ec.europa.eu/qr/953103</v>
      </c>
      <c r="R245"/>
      <c r="S245" t="s">
        <v>2677</v>
      </c>
      <c r="T245"/>
      <c r="U245">
        <v>1.83</v>
      </c>
      <c r="V245">
        <v>2.0129999999999999</v>
      </c>
      <c r="W245">
        <v>0</v>
      </c>
      <c r="X245">
        <v>0</v>
      </c>
      <c r="Y245">
        <v>0</v>
      </c>
    </row>
    <row r="246" spans="1:25" ht="60" customHeight="1" x14ac:dyDescent="0.25">
      <c r="A246"/>
      <c r="B246" t="s">
        <v>4</v>
      </c>
      <c r="C246" t="s">
        <v>608</v>
      </c>
      <c r="D246" t="s">
        <v>609</v>
      </c>
      <c r="E246" t="s">
        <v>613</v>
      </c>
      <c r="F246" t="s">
        <v>614</v>
      </c>
      <c r="G246" t="s">
        <v>612</v>
      </c>
      <c r="H246" s="30">
        <v>675</v>
      </c>
      <c r="I246" s="29">
        <f>H246*(1-IFERROR(VLOOKUP(G246,Rabat!$D$10:$E$41,2,FALSE),0))</f>
        <v>675</v>
      </c>
      <c r="J246" t="s">
        <v>1904</v>
      </c>
      <c r="K246" t="s">
        <v>167</v>
      </c>
      <c r="L246" t="s">
        <v>1901</v>
      </c>
      <c r="M246"/>
      <c r="N246"/>
      <c r="O246" t="s">
        <v>3436</v>
      </c>
      <c r="P246" s="31" t="str">
        <f>HYPERLINK("https://b2b.kobi.pl/pl/product/8368,oprawa-liniowa-hermetyczna-led-hpl1-30w-ip65-90-kobi-pro?currency=PLN")</f>
        <v>https://b2b.kobi.pl/pl/product/8368,oprawa-liniowa-hermetyczna-led-hpl1-30w-ip65-90-kobi-pro?currency=PLN</v>
      </c>
      <c r="Q246" s="31" t="str">
        <f>HYPERLINK("https://eprel.ec.europa.eu/qr/953122")</f>
        <v>https://eprel.ec.europa.eu/qr/953122</v>
      </c>
      <c r="R246"/>
      <c r="S246" t="s">
        <v>2677</v>
      </c>
      <c r="T246"/>
      <c r="U246">
        <v>1.83</v>
      </c>
      <c r="V246">
        <v>2.0129999999999999</v>
      </c>
      <c r="W246">
        <v>0</v>
      </c>
      <c r="X246">
        <v>0</v>
      </c>
      <c r="Y246">
        <v>0</v>
      </c>
    </row>
    <row r="247" spans="1:25" ht="60" customHeight="1" x14ac:dyDescent="0.25">
      <c r="A247"/>
      <c r="B247" t="s">
        <v>4</v>
      </c>
      <c r="C247" t="s">
        <v>608</v>
      </c>
      <c r="D247" t="s">
        <v>609</v>
      </c>
      <c r="E247" t="s">
        <v>615</v>
      </c>
      <c r="F247" t="s">
        <v>616</v>
      </c>
      <c r="G247" t="s">
        <v>612</v>
      </c>
      <c r="H247" s="30">
        <v>799</v>
      </c>
      <c r="I247" s="29">
        <f>H247*(1-IFERROR(VLOOKUP(G247,Rabat!$D$10:$E$41,2,FALSE),0))</f>
        <v>799</v>
      </c>
      <c r="J247" t="s">
        <v>1904</v>
      </c>
      <c r="K247" t="s">
        <v>168</v>
      </c>
      <c r="L247" t="s">
        <v>1901</v>
      </c>
      <c r="M247"/>
      <c r="N247"/>
      <c r="O247" t="s">
        <v>3436</v>
      </c>
      <c r="P247" s="31" t="str">
        <f>HYPERLINK("https://b2b.kobi.pl/pl/product/8369,oprawa-liniowa-hermetyczna-led-hpl1-45w-ip65-120-kobi-pro?currency=PLN")</f>
        <v>https://b2b.kobi.pl/pl/product/8369,oprawa-liniowa-hermetyczna-led-hpl1-45w-ip65-120-kobi-pro?currency=PLN</v>
      </c>
      <c r="Q247" s="31" t="str">
        <f>HYPERLINK("https://eprel.ec.europa.eu/qr/953134")</f>
        <v>https://eprel.ec.europa.eu/qr/953134</v>
      </c>
      <c r="R247"/>
      <c r="S247" t="s">
        <v>2677</v>
      </c>
      <c r="T247"/>
      <c r="U247">
        <v>2.74</v>
      </c>
      <c r="V247">
        <v>3.0139999999999998</v>
      </c>
      <c r="W247">
        <v>0</v>
      </c>
      <c r="X247">
        <v>0</v>
      </c>
      <c r="Y247">
        <v>0</v>
      </c>
    </row>
    <row r="248" spans="1:25" ht="60" customHeight="1" x14ac:dyDescent="0.25">
      <c r="A248"/>
      <c r="B248" t="s">
        <v>4</v>
      </c>
      <c r="C248" t="s">
        <v>608</v>
      </c>
      <c r="D248" t="s">
        <v>609</v>
      </c>
      <c r="E248" t="s">
        <v>617</v>
      </c>
      <c r="F248" t="s">
        <v>618</v>
      </c>
      <c r="G248" t="s">
        <v>612</v>
      </c>
      <c r="H248" s="30">
        <v>799</v>
      </c>
      <c r="I248" s="29">
        <f>H248*(1-IFERROR(VLOOKUP(G248,Rabat!$D$10:$E$41,2,FALSE),0))</f>
        <v>799</v>
      </c>
      <c r="J248" t="s">
        <v>1904</v>
      </c>
      <c r="K248" t="s">
        <v>169</v>
      </c>
      <c r="L248" t="s">
        <v>1901</v>
      </c>
      <c r="M248"/>
      <c r="N248"/>
      <c r="O248" t="s">
        <v>3436</v>
      </c>
      <c r="P248" s="31" t="str">
        <f>HYPERLINK("https://b2b.kobi.pl/pl/product/8371,oprawa-liniowa-hermetyczna-led-hpl1-45w-ip65-90-kobi-pro?currency=PLN")</f>
        <v>https://b2b.kobi.pl/pl/product/8371,oprawa-liniowa-hermetyczna-led-hpl1-45w-ip65-90-kobi-pro?currency=PLN</v>
      </c>
      <c r="Q248" s="31" t="str">
        <f>HYPERLINK("https://eprel.ec.europa.eu/qr/953186")</f>
        <v>https://eprel.ec.europa.eu/qr/953186</v>
      </c>
      <c r="R248"/>
      <c r="S248" t="s">
        <v>2677</v>
      </c>
      <c r="T248"/>
      <c r="U248">
        <v>2.74</v>
      </c>
      <c r="V248">
        <v>3.0139999999999998</v>
      </c>
      <c r="W248">
        <v>0</v>
      </c>
      <c r="X248">
        <v>0</v>
      </c>
      <c r="Y248">
        <v>0</v>
      </c>
    </row>
    <row r="249" spans="1:25" ht="60" customHeight="1" x14ac:dyDescent="0.25">
      <c r="A249"/>
      <c r="B249" t="s">
        <v>4</v>
      </c>
      <c r="C249" t="s">
        <v>608</v>
      </c>
      <c r="D249" t="s">
        <v>609</v>
      </c>
      <c r="E249" t="s">
        <v>629</v>
      </c>
      <c r="F249" t="s">
        <v>630</v>
      </c>
      <c r="G249" t="s">
        <v>612</v>
      </c>
      <c r="H249" s="30">
        <v>1084</v>
      </c>
      <c r="I249" s="29">
        <f>H249*(1-IFERROR(VLOOKUP(G249,Rabat!$D$10:$E$41,2,FALSE),0))</f>
        <v>1084</v>
      </c>
      <c r="J249" t="s">
        <v>1904</v>
      </c>
      <c r="K249" t="s">
        <v>170</v>
      </c>
      <c r="L249" t="s">
        <v>1901</v>
      </c>
      <c r="M249"/>
      <c r="N249"/>
      <c r="O249" t="s">
        <v>3436</v>
      </c>
      <c r="P249" s="31" t="str">
        <f>HYPERLINK("https://b2b.kobi.pl/pl/product/8379,oprawa-liniowa-hermetyczna-led-hpl1-60w-ip65-120-kobi-pro?currency=PLN")</f>
        <v>https://b2b.kobi.pl/pl/product/8379,oprawa-liniowa-hermetyczna-led-hpl1-60w-ip65-120-kobi-pro?currency=PLN</v>
      </c>
      <c r="Q249" s="31" t="str">
        <f>HYPERLINK("https://eprel.ec.europa.eu/qr/953208")</f>
        <v>https://eprel.ec.europa.eu/qr/953208</v>
      </c>
      <c r="R249"/>
      <c r="S249" t="s">
        <v>2677</v>
      </c>
      <c r="T249"/>
      <c r="U249">
        <v>3.42</v>
      </c>
      <c r="V249">
        <v>3.762</v>
      </c>
      <c r="W249">
        <v>0</v>
      </c>
      <c r="X249">
        <v>0</v>
      </c>
      <c r="Y249">
        <v>0</v>
      </c>
    </row>
    <row r="250" spans="1:25" ht="60" customHeight="1" x14ac:dyDescent="0.25">
      <c r="A250"/>
      <c r="B250" t="s">
        <v>4</v>
      </c>
      <c r="C250" t="s">
        <v>608</v>
      </c>
      <c r="D250" t="s">
        <v>609</v>
      </c>
      <c r="E250" t="s">
        <v>619</v>
      </c>
      <c r="F250" t="s">
        <v>620</v>
      </c>
      <c r="G250" t="s">
        <v>612</v>
      </c>
      <c r="H250" s="30">
        <v>1311</v>
      </c>
      <c r="I250" s="29">
        <f>H250*(1-IFERROR(VLOOKUP(G250,Rabat!$D$10:$E$41,2,FALSE),0))</f>
        <v>1311</v>
      </c>
      <c r="J250" t="s">
        <v>1904</v>
      </c>
      <c r="K250" t="s">
        <v>171</v>
      </c>
      <c r="L250" t="s">
        <v>1901</v>
      </c>
      <c r="M250"/>
      <c r="N250"/>
      <c r="O250" t="s">
        <v>3436</v>
      </c>
      <c r="P250" s="31" t="str">
        <f>HYPERLINK("https://b2b.kobi.pl/pl/product/8372,oprawa-liniowa-hermetyczna-led-hpl1-75w-ip65-120-kobi-pro?currency=PLN")</f>
        <v>https://b2b.kobi.pl/pl/product/8372,oprawa-liniowa-hermetyczna-led-hpl1-75w-ip65-120-kobi-pro?currency=PLN</v>
      </c>
      <c r="Q250" s="31" t="str">
        <f>HYPERLINK("https://eprel.ec.europa.eu/qr/953524")</f>
        <v>https://eprel.ec.europa.eu/qr/953524</v>
      </c>
      <c r="R250"/>
      <c r="S250" t="s">
        <v>2677</v>
      </c>
      <c r="T250"/>
      <c r="U250">
        <v>4.1900000000000004</v>
      </c>
      <c r="V250">
        <v>4.609</v>
      </c>
      <c r="W250">
        <v>0</v>
      </c>
      <c r="X250">
        <v>0</v>
      </c>
      <c r="Y250">
        <v>0</v>
      </c>
    </row>
    <row r="251" spans="1:25" ht="60" customHeight="1" x14ac:dyDescent="0.25">
      <c r="A251"/>
      <c r="B251" t="s">
        <v>4</v>
      </c>
      <c r="C251" t="s">
        <v>608</v>
      </c>
      <c r="D251" t="s">
        <v>609</v>
      </c>
      <c r="E251" t="s">
        <v>621</v>
      </c>
      <c r="F251" t="s">
        <v>622</v>
      </c>
      <c r="G251" t="s">
        <v>612</v>
      </c>
      <c r="H251" s="30">
        <v>1311</v>
      </c>
      <c r="I251" s="29">
        <f>H251*(1-IFERROR(VLOOKUP(G251,Rabat!$D$10:$E$41,2,FALSE),0))</f>
        <v>1311</v>
      </c>
      <c r="J251" t="s">
        <v>1904</v>
      </c>
      <c r="K251" t="s">
        <v>172</v>
      </c>
      <c r="L251" t="s">
        <v>1901</v>
      </c>
      <c r="M251"/>
      <c r="N251"/>
      <c r="O251" t="s">
        <v>3436</v>
      </c>
      <c r="P251" s="31" t="str">
        <f>HYPERLINK("https://b2b.kobi.pl/pl/product/8374,oprawa-liniowa-hermetyczna-led-hpl1-75w-ip65-90-kobi-pro?currency=PLN")</f>
        <v>https://b2b.kobi.pl/pl/product/8374,oprawa-liniowa-hermetyczna-led-hpl1-75w-ip65-90-kobi-pro?currency=PLN</v>
      </c>
      <c r="Q251" s="31" t="str">
        <f>HYPERLINK("https://eprel.ec.europa.eu/qr/953535")</f>
        <v>https://eprel.ec.europa.eu/qr/953535</v>
      </c>
      <c r="R251"/>
      <c r="S251" t="s">
        <v>2677</v>
      </c>
      <c r="T251"/>
      <c r="U251">
        <v>4.1900000000000004</v>
      </c>
      <c r="V251">
        <v>4.609</v>
      </c>
      <c r="W251">
        <v>0</v>
      </c>
      <c r="X251">
        <v>0</v>
      </c>
      <c r="Y251">
        <v>0</v>
      </c>
    </row>
    <row r="252" spans="1:25" ht="60" customHeight="1" x14ac:dyDescent="0.25">
      <c r="A252"/>
      <c r="B252" t="s">
        <v>4</v>
      </c>
      <c r="C252" t="s">
        <v>608</v>
      </c>
      <c r="D252" t="s">
        <v>609</v>
      </c>
      <c r="E252" t="s">
        <v>623</v>
      </c>
      <c r="F252" t="s">
        <v>624</v>
      </c>
      <c r="G252" t="s">
        <v>612</v>
      </c>
      <c r="H252" s="30">
        <v>1937</v>
      </c>
      <c r="I252" s="29">
        <f>H252*(1-IFERROR(VLOOKUP(G252,Rabat!$D$10:$E$41,2,FALSE),0))</f>
        <v>1937</v>
      </c>
      <c r="J252" t="s">
        <v>1904</v>
      </c>
      <c r="K252" t="s">
        <v>174</v>
      </c>
      <c r="L252" t="s">
        <v>1901</v>
      </c>
      <c r="M252"/>
      <c r="N252"/>
      <c r="O252" t="s">
        <v>3436</v>
      </c>
      <c r="P252" s="31" t="str">
        <f>HYPERLINK("https://b2b.kobi.pl/pl/product/8376,oprawa-liniowa-hermetyczna-led-hpl2-120w-ip65-120-kobi-pro?currency=PLN")</f>
        <v>https://b2b.kobi.pl/pl/product/8376,oprawa-liniowa-hermetyczna-led-hpl2-120w-ip65-120-kobi-pro?currency=PLN</v>
      </c>
      <c r="Q252" s="31" t="str">
        <f>HYPERLINK("https://eprel.ec.europa.eu/qr/953581")</f>
        <v>https://eprel.ec.europa.eu/qr/953581</v>
      </c>
      <c r="R252"/>
      <c r="S252" t="s">
        <v>2677</v>
      </c>
      <c r="T252"/>
      <c r="U252">
        <v>6.85</v>
      </c>
      <c r="V252">
        <v>7.5350000000000001</v>
      </c>
      <c r="W252">
        <v>0</v>
      </c>
      <c r="X252">
        <v>0</v>
      </c>
      <c r="Y252">
        <v>0</v>
      </c>
    </row>
    <row r="253" spans="1:25" ht="60" customHeight="1" x14ac:dyDescent="0.25">
      <c r="A253"/>
      <c r="B253" t="s">
        <v>4</v>
      </c>
      <c r="C253" t="s">
        <v>608</v>
      </c>
      <c r="D253" t="s">
        <v>609</v>
      </c>
      <c r="E253" t="s">
        <v>625</v>
      </c>
      <c r="F253" t="s">
        <v>626</v>
      </c>
      <c r="G253" t="s">
        <v>612</v>
      </c>
      <c r="H253" s="30">
        <v>1937</v>
      </c>
      <c r="I253" s="29">
        <f>H253*(1-IFERROR(VLOOKUP(G253,Rabat!$D$10:$E$41,2,FALSE),0))</f>
        <v>1937</v>
      </c>
      <c r="J253" t="s">
        <v>1904</v>
      </c>
      <c r="K253" t="s">
        <v>175</v>
      </c>
      <c r="L253" t="s">
        <v>1901</v>
      </c>
      <c r="M253"/>
      <c r="N253"/>
      <c r="O253" t="s">
        <v>3436</v>
      </c>
      <c r="P253" s="31" t="str">
        <f>HYPERLINK("https://b2b.kobi.pl/pl/product/8377,oprawa-liniowa-hermetyczna-led-hpl2-120w-ip65-90-kobi-pro?currency=PLN")</f>
        <v>https://b2b.kobi.pl/pl/product/8377,oprawa-liniowa-hermetyczna-led-hpl2-120w-ip65-90-kobi-pro?currency=PLN</v>
      </c>
      <c r="Q253" s="31" t="str">
        <f>HYPERLINK("https://eprel.ec.europa.eu/qr/953606")</f>
        <v>https://eprel.ec.europa.eu/qr/953606</v>
      </c>
      <c r="R253"/>
      <c r="S253" t="s">
        <v>2677</v>
      </c>
      <c r="T253"/>
      <c r="U253">
        <v>6.85</v>
      </c>
      <c r="V253">
        <v>7.5350000000000001</v>
      </c>
      <c r="W253">
        <v>0</v>
      </c>
      <c r="X253">
        <v>0</v>
      </c>
      <c r="Y253">
        <v>0</v>
      </c>
    </row>
    <row r="254" spans="1:25" ht="60" customHeight="1" x14ac:dyDescent="0.25">
      <c r="A254"/>
      <c r="B254" t="s">
        <v>4</v>
      </c>
      <c r="C254" t="s">
        <v>608</v>
      </c>
      <c r="D254" t="s">
        <v>609</v>
      </c>
      <c r="E254" t="s">
        <v>627</v>
      </c>
      <c r="F254" t="s">
        <v>628</v>
      </c>
      <c r="G254" t="s">
        <v>612</v>
      </c>
      <c r="H254" s="30">
        <v>2268</v>
      </c>
      <c r="I254" s="29">
        <f>H254*(1-IFERROR(VLOOKUP(G254,Rabat!$D$10:$E$41,2,FALSE),0))</f>
        <v>2268</v>
      </c>
      <c r="J254" t="s">
        <v>1904</v>
      </c>
      <c r="K254" t="s">
        <v>176</v>
      </c>
      <c r="L254" t="s">
        <v>1901</v>
      </c>
      <c r="M254"/>
      <c r="N254"/>
      <c r="O254" t="s">
        <v>3436</v>
      </c>
      <c r="P254" s="31" t="str">
        <f>HYPERLINK("https://b2b.kobi.pl/pl/product/8378,oprawa-liniowa-hermetyczna-led-hpl2-150w-ip65-120-kobi-pro?currency=PLN")</f>
        <v>https://b2b.kobi.pl/pl/product/8378,oprawa-liniowa-hermetyczna-led-hpl2-150w-ip65-120-kobi-pro?currency=PLN</v>
      </c>
      <c r="Q254" s="31" t="str">
        <f>HYPERLINK("https://eprel.ec.europa.eu/qr/953653")</f>
        <v>https://eprel.ec.europa.eu/qr/953653</v>
      </c>
      <c r="R254"/>
      <c r="S254" t="s">
        <v>2677</v>
      </c>
      <c r="T254"/>
      <c r="U254">
        <v>8.3699999999999992</v>
      </c>
      <c r="V254">
        <v>9.2070000000000007</v>
      </c>
      <c r="W254">
        <v>0</v>
      </c>
      <c r="X254">
        <v>0</v>
      </c>
      <c r="Y254">
        <v>0</v>
      </c>
    </row>
    <row r="255" spans="1:25" ht="60" customHeight="1" x14ac:dyDescent="0.25">
      <c r="A255"/>
      <c r="B255" t="s">
        <v>4</v>
      </c>
      <c r="C255" t="s">
        <v>608</v>
      </c>
      <c r="D255" t="s">
        <v>609</v>
      </c>
      <c r="E255" t="s">
        <v>1898</v>
      </c>
      <c r="F255" t="s">
        <v>1899</v>
      </c>
      <c r="G255" t="s">
        <v>612</v>
      </c>
      <c r="H255" s="30">
        <v>1611</v>
      </c>
      <c r="I255" s="29">
        <f>H255*(1-IFERROR(VLOOKUP(G255,Rabat!$D$10:$E$41,2,FALSE),0))</f>
        <v>1611</v>
      </c>
      <c r="J255" t="s">
        <v>1904</v>
      </c>
      <c r="K255" t="s">
        <v>173</v>
      </c>
      <c r="L255" t="s">
        <v>1901</v>
      </c>
      <c r="M255"/>
      <c r="N255"/>
      <c r="O255" t="s">
        <v>3436</v>
      </c>
      <c r="P255" s="31" t="str">
        <f>HYPERLINK("https://b2b.kobi.pl/pl/product/12578,oprawa-liniowa-hermetyczna-led-hpl2-90w-ip65-120-kobi-pro?currency=PLN")</f>
        <v>https://b2b.kobi.pl/pl/product/12578,oprawa-liniowa-hermetyczna-led-hpl2-90w-ip65-120-kobi-pro?currency=PLN</v>
      </c>
      <c r="Q255" s="31" t="str">
        <f>HYPERLINK("https://eprel.ec.europa.eu/qr/953581")</f>
        <v>https://eprel.ec.europa.eu/qr/953581</v>
      </c>
      <c r="R255"/>
      <c r="S255" t="s">
        <v>2677</v>
      </c>
      <c r="T255"/>
      <c r="U255">
        <v>6.85</v>
      </c>
      <c r="V255">
        <v>7.5350000000000001</v>
      </c>
      <c r="W255">
        <v>0</v>
      </c>
      <c r="X255">
        <v>0</v>
      </c>
      <c r="Y255">
        <v>0</v>
      </c>
    </row>
    <row r="256" spans="1:25" ht="60" customHeight="1" x14ac:dyDescent="0.25">
      <c r="A256"/>
      <c r="B256" t="s">
        <v>4</v>
      </c>
      <c r="C256" t="s">
        <v>608</v>
      </c>
      <c r="D256" t="s">
        <v>17</v>
      </c>
      <c r="E256" t="s">
        <v>1037</v>
      </c>
      <c r="F256" t="s">
        <v>1038</v>
      </c>
      <c r="G256" t="s">
        <v>612</v>
      </c>
      <c r="H256" s="30">
        <v>49.75</v>
      </c>
      <c r="I256" s="29">
        <f>H256*(1-IFERROR(VLOOKUP(G256,Rabat!$D$10:$E$41,2,FALSE),0))</f>
        <v>49.75</v>
      </c>
      <c r="J256" t="s">
        <v>1902</v>
      </c>
      <c r="K256" t="s">
        <v>459</v>
      </c>
      <c r="L256" t="s">
        <v>1901</v>
      </c>
      <c r="M256">
        <v>30</v>
      </c>
      <c r="N256">
        <v>450</v>
      </c>
      <c r="O256" t="s">
        <v>3434</v>
      </c>
      <c r="P256" s="31" t="str">
        <f>HYPERLINK("https://b2b.kobi.pl/pl/product/9971,oprawa-hermetyczna-led-mivro-36w-4000k-ip65-led2b?currency=PLN")</f>
        <v>https://b2b.kobi.pl/pl/product/9971,oprawa-hermetyczna-led-mivro-36w-4000k-ip65-led2b?currency=PLN</v>
      </c>
      <c r="Q256" s="31" t="str">
        <f>HYPERLINK("https://eprel.ec.europa.eu/qr/1949789")</f>
        <v>https://eprel.ec.europa.eu/qr/1949789</v>
      </c>
      <c r="R256"/>
      <c r="S256" t="s">
        <v>2675</v>
      </c>
      <c r="T256"/>
      <c r="U256">
        <v>0.25</v>
      </c>
      <c r="V256">
        <v>0.3</v>
      </c>
      <c r="W256">
        <v>123.5</v>
      </c>
      <c r="X256">
        <v>4.5</v>
      </c>
      <c r="Y256">
        <v>3.4</v>
      </c>
    </row>
    <row r="257" spans="1:25" ht="60" customHeight="1" x14ac:dyDescent="0.25">
      <c r="A257"/>
      <c r="B257" t="s">
        <v>4</v>
      </c>
      <c r="C257" t="s">
        <v>608</v>
      </c>
      <c r="D257" t="s">
        <v>599</v>
      </c>
      <c r="E257" t="s">
        <v>2900</v>
      </c>
      <c r="F257" t="s">
        <v>1141</v>
      </c>
      <c r="G257" t="s">
        <v>612</v>
      </c>
      <c r="H257" s="30">
        <v>222.2</v>
      </c>
      <c r="I257" s="29">
        <f>H257*(1-IFERROR(VLOOKUP(G257,Rabat!$D$10:$E$41,2,FALSE),0))</f>
        <v>222.2</v>
      </c>
      <c r="J257" t="s">
        <v>1902</v>
      </c>
      <c r="K257" t="s">
        <v>562</v>
      </c>
      <c r="L257" t="s">
        <v>1901</v>
      </c>
      <c r="M257">
        <v>9</v>
      </c>
      <c r="N257">
        <v>162</v>
      </c>
      <c r="O257" t="s">
        <v>3436</v>
      </c>
      <c r="P257" s="31" t="str">
        <f>HYPERLINK("https://b2b.kobi.pl/pl/product/10063,oprawa-liniowa-hermetyczna-led-nexforce-n2-36w-4000k-kobi-pro?currency=PLN")</f>
        <v>https://b2b.kobi.pl/pl/product/10063,oprawa-liniowa-hermetyczna-led-nexforce-n2-36w-4000k-kobi-pro?currency=PLN</v>
      </c>
      <c r="Q257" s="31" t="str">
        <f>HYPERLINK("https://eprel.ec.europa.eu/qr/2082349")</f>
        <v>https://eprel.ec.europa.eu/qr/2082349</v>
      </c>
      <c r="R257"/>
      <c r="S257" t="s">
        <v>2675</v>
      </c>
      <c r="T257"/>
      <c r="U257">
        <v>1.29</v>
      </c>
      <c r="V257">
        <v>1.6</v>
      </c>
      <c r="W257">
        <v>123</v>
      </c>
      <c r="X257">
        <v>8.5</v>
      </c>
      <c r="Y257">
        <v>8.3000000000000007</v>
      </c>
    </row>
    <row r="258" spans="1:25" ht="60" customHeight="1" x14ac:dyDescent="0.25">
      <c r="A258"/>
      <c r="B258" t="s">
        <v>4</v>
      </c>
      <c r="C258" t="s">
        <v>608</v>
      </c>
      <c r="D258" t="s">
        <v>599</v>
      </c>
      <c r="E258" t="s">
        <v>2901</v>
      </c>
      <c r="F258" t="s">
        <v>1142</v>
      </c>
      <c r="G258" t="s">
        <v>612</v>
      </c>
      <c r="H258" s="30">
        <v>280</v>
      </c>
      <c r="I258" s="29">
        <f>H258*(1-IFERROR(VLOOKUP(G258,Rabat!$D$10:$E$41,2,FALSE),0))</f>
        <v>280</v>
      </c>
      <c r="J258" t="s">
        <v>1902</v>
      </c>
      <c r="K258" t="s">
        <v>563</v>
      </c>
      <c r="L258" t="s">
        <v>1901</v>
      </c>
      <c r="M258">
        <v>9</v>
      </c>
      <c r="N258">
        <v>108</v>
      </c>
      <c r="O258" t="s">
        <v>3436</v>
      </c>
      <c r="P258" s="31" t="str">
        <f>HYPERLINK("https://b2b.kobi.pl/pl/product/10064,oprawa-liniowa-hermetyczna-led-nexforce-n2-52w-4000k-kobi-pro?currency=PLN")</f>
        <v>https://b2b.kobi.pl/pl/product/10064,oprawa-liniowa-hermetyczna-led-nexforce-n2-52w-4000k-kobi-pro?currency=PLN</v>
      </c>
      <c r="Q258" s="31" t="str">
        <f>HYPERLINK("https://eprel.ec.europa.eu/qr/2082480")</f>
        <v>https://eprel.ec.europa.eu/qr/2082480</v>
      </c>
      <c r="R258"/>
      <c r="S258" t="s">
        <v>2675</v>
      </c>
      <c r="T258"/>
      <c r="U258">
        <v>1.63</v>
      </c>
      <c r="V258">
        <v>1.95</v>
      </c>
      <c r="W258">
        <v>153</v>
      </c>
      <c r="X258">
        <v>8.5</v>
      </c>
      <c r="Y258">
        <v>8.3000000000000007</v>
      </c>
    </row>
    <row r="259" spans="1:25" ht="60" customHeight="1" x14ac:dyDescent="0.25">
      <c r="A259"/>
      <c r="B259" t="s">
        <v>4</v>
      </c>
      <c r="C259" t="s">
        <v>608</v>
      </c>
      <c r="D259" t="s">
        <v>599</v>
      </c>
      <c r="E259" t="s">
        <v>2902</v>
      </c>
      <c r="F259" t="s">
        <v>1143</v>
      </c>
      <c r="G259" t="s">
        <v>612</v>
      </c>
      <c r="H259" s="30">
        <v>322.22000000000003</v>
      </c>
      <c r="I259" s="29">
        <f>H259*(1-IFERROR(VLOOKUP(G259,Rabat!$D$10:$E$41,2,FALSE),0))</f>
        <v>322.22000000000003</v>
      </c>
      <c r="J259" t="s">
        <v>1902</v>
      </c>
      <c r="K259" t="s">
        <v>564</v>
      </c>
      <c r="L259" t="s">
        <v>1901</v>
      </c>
      <c r="M259">
        <v>9</v>
      </c>
      <c r="N259">
        <v>108</v>
      </c>
      <c r="O259" t="s">
        <v>3436</v>
      </c>
      <c r="P259" s="31" t="str">
        <f>HYPERLINK("https://b2b.kobi.pl/pl/product/10065,oprawa-liniowa-hermetyczna-led-nexforce-n2-70w-4000k-kobi-pro?currency=PLN")</f>
        <v>https://b2b.kobi.pl/pl/product/10065,oprawa-liniowa-hermetyczna-led-nexforce-n2-70w-4000k-kobi-pro?currency=PLN</v>
      </c>
      <c r="Q259" s="31" t="str">
        <f>HYPERLINK("https://eprel.ec.europa.eu/qr/2082512")</f>
        <v>https://eprel.ec.europa.eu/qr/2082512</v>
      </c>
      <c r="R259"/>
      <c r="S259" t="s">
        <v>2675</v>
      </c>
      <c r="T259"/>
      <c r="U259">
        <v>1.63</v>
      </c>
      <c r="V259">
        <v>1.95</v>
      </c>
      <c r="W259">
        <v>153</v>
      </c>
      <c r="X259">
        <v>8.5</v>
      </c>
      <c r="Y259">
        <v>8.3000000000000007</v>
      </c>
    </row>
    <row r="260" spans="1:25" ht="60" customHeight="1" x14ac:dyDescent="0.25">
      <c r="A260"/>
      <c r="B260" t="s">
        <v>4</v>
      </c>
      <c r="C260" t="s">
        <v>608</v>
      </c>
      <c r="D260" t="s">
        <v>631</v>
      </c>
      <c r="E260" t="s">
        <v>1157</v>
      </c>
      <c r="F260" t="s">
        <v>1158</v>
      </c>
      <c r="G260" t="s">
        <v>612</v>
      </c>
      <c r="H260" s="30">
        <v>75.56</v>
      </c>
      <c r="I260" s="29">
        <f>H260*(1-IFERROR(VLOOKUP(G260,Rabat!$D$10:$E$41,2,FALSE),0))</f>
        <v>75.56</v>
      </c>
      <c r="J260" t="s">
        <v>1900</v>
      </c>
      <c r="K260" t="s">
        <v>503</v>
      </c>
      <c r="L260" t="s">
        <v>1901</v>
      </c>
      <c r="M260">
        <v>16</v>
      </c>
      <c r="N260">
        <v>400</v>
      </c>
      <c r="O260" t="s">
        <v>3435</v>
      </c>
      <c r="P260" s="31" t="str">
        <f>HYPERLINK("https://b2b.kobi.pl/pl/product/10127,oprawa-liniowa-hermetyczna-led-negro-20w-4000k-kobi-premium?currency=PLN")</f>
        <v>https://b2b.kobi.pl/pl/product/10127,oprawa-liniowa-hermetyczna-led-negro-20w-4000k-kobi-premium?currency=PLN</v>
      </c>
      <c r="Q260" t="s">
        <v>15</v>
      </c>
      <c r="R260"/>
      <c r="S260" t="s">
        <v>2675</v>
      </c>
      <c r="T260"/>
      <c r="U260">
        <v>0.4</v>
      </c>
      <c r="V260">
        <v>0.6</v>
      </c>
      <c r="W260">
        <v>60</v>
      </c>
      <c r="X260">
        <v>7</v>
      </c>
      <c r="Y260">
        <v>5.6</v>
      </c>
    </row>
    <row r="261" spans="1:25" ht="60" customHeight="1" x14ac:dyDescent="0.25">
      <c r="A261"/>
      <c r="B261" t="s">
        <v>4</v>
      </c>
      <c r="C261" t="s">
        <v>608</v>
      </c>
      <c r="D261" t="s">
        <v>631</v>
      </c>
      <c r="E261" t="s">
        <v>1159</v>
      </c>
      <c r="F261" t="s">
        <v>1160</v>
      </c>
      <c r="G261" t="s">
        <v>612</v>
      </c>
      <c r="H261" s="30">
        <v>102.22</v>
      </c>
      <c r="I261" s="29">
        <f>H261*(1-IFERROR(VLOOKUP(G261,Rabat!$D$10:$E$41,2,FALSE),0))</f>
        <v>102.22</v>
      </c>
      <c r="J261" t="s">
        <v>1900</v>
      </c>
      <c r="K261" t="s">
        <v>206</v>
      </c>
      <c r="L261" t="s">
        <v>1901</v>
      </c>
      <c r="M261">
        <v>16</v>
      </c>
      <c r="N261">
        <v>240</v>
      </c>
      <c r="O261" t="s">
        <v>3435</v>
      </c>
      <c r="P261" s="31" t="str">
        <f>HYPERLINK("https://b2b.kobi.pl/pl/product/10128,oprawa-liniowa-hermetyczna-led-negro-36w-4000k-kobi-premium?currency=PLN")</f>
        <v>https://b2b.kobi.pl/pl/product/10128,oprawa-liniowa-hermetyczna-led-negro-36w-4000k-kobi-premium?currency=PLN</v>
      </c>
      <c r="Q261" s="31" t="str">
        <f>HYPERLINK("https://eprel.ec.europa.eu/qr/1822239")</f>
        <v>https://eprel.ec.europa.eu/qr/1822239</v>
      </c>
      <c r="R261"/>
      <c r="S261" t="s">
        <v>2675</v>
      </c>
      <c r="T261"/>
      <c r="U261">
        <v>1.022</v>
      </c>
      <c r="V261">
        <v>1.73</v>
      </c>
      <c r="W261">
        <v>122</v>
      </c>
      <c r="X261">
        <v>7</v>
      </c>
      <c r="Y261">
        <v>5</v>
      </c>
    </row>
    <row r="262" spans="1:25" ht="60" customHeight="1" x14ac:dyDescent="0.25">
      <c r="A262"/>
      <c r="B262" t="s">
        <v>4</v>
      </c>
      <c r="C262" t="s">
        <v>608</v>
      </c>
      <c r="D262" t="s">
        <v>631</v>
      </c>
      <c r="E262" t="s">
        <v>1161</v>
      </c>
      <c r="F262" t="s">
        <v>1162</v>
      </c>
      <c r="G262" t="s">
        <v>612</v>
      </c>
      <c r="H262" s="30">
        <v>102.22</v>
      </c>
      <c r="I262" s="29">
        <f>H262*(1-IFERROR(VLOOKUP(G262,Rabat!$D$10:$E$41,2,FALSE),0))</f>
        <v>102.22</v>
      </c>
      <c r="J262" t="s">
        <v>1900</v>
      </c>
      <c r="K262" t="s">
        <v>207</v>
      </c>
      <c r="L262" t="s">
        <v>1901</v>
      </c>
      <c r="M262">
        <v>16</v>
      </c>
      <c r="N262">
        <v>240</v>
      </c>
      <c r="O262" t="s">
        <v>3435</v>
      </c>
      <c r="P262" s="31" t="str">
        <f>HYPERLINK("https://b2b.kobi.pl/pl/product/10129,oprawa-liniowa-hermetyczna-led-negro-36w-6000k-kobi-premium?currency=PLN")</f>
        <v>https://b2b.kobi.pl/pl/product/10129,oprawa-liniowa-hermetyczna-led-negro-36w-6000k-kobi-premium?currency=PLN</v>
      </c>
      <c r="Q262" s="31" t="str">
        <f>HYPERLINK("https://eprel.ec.europa.eu/qr/1822222")</f>
        <v>https://eprel.ec.europa.eu/qr/1822222</v>
      </c>
      <c r="R262"/>
      <c r="S262" t="s">
        <v>2675</v>
      </c>
      <c r="T262"/>
      <c r="U262">
        <v>1.022</v>
      </c>
      <c r="V262">
        <v>1.73</v>
      </c>
      <c r="W262">
        <v>122</v>
      </c>
      <c r="X262">
        <v>7</v>
      </c>
      <c r="Y262">
        <v>5</v>
      </c>
    </row>
    <row r="263" spans="1:25" ht="60" customHeight="1" x14ac:dyDescent="0.25">
      <c r="A263"/>
      <c r="B263" t="s">
        <v>4</v>
      </c>
      <c r="C263" t="s">
        <v>608</v>
      </c>
      <c r="D263" t="s">
        <v>631</v>
      </c>
      <c r="E263" t="s">
        <v>1165</v>
      </c>
      <c r="F263" t="s">
        <v>1166</v>
      </c>
      <c r="G263" t="s">
        <v>612</v>
      </c>
      <c r="H263" s="30">
        <v>146.66999999999999</v>
      </c>
      <c r="I263" s="29">
        <f>H263*(1-IFERROR(VLOOKUP(G263,Rabat!$D$10:$E$41,2,FALSE),0))</f>
        <v>146.66999999999999</v>
      </c>
      <c r="J263" t="s">
        <v>1900</v>
      </c>
      <c r="K263" t="s">
        <v>504</v>
      </c>
      <c r="L263" t="s">
        <v>1901</v>
      </c>
      <c r="M263">
        <v>12</v>
      </c>
      <c r="N263">
        <v>144</v>
      </c>
      <c r="O263" t="s">
        <v>3435</v>
      </c>
      <c r="P263" s="31" t="str">
        <f>HYPERLINK("https://b2b.kobi.pl/pl/product/10130,oprawa-liniowa-hermetyczna-led-negro-60w-4000k-kobi-premium?currency=PLN")</f>
        <v>https://b2b.kobi.pl/pl/product/10130,oprawa-liniowa-hermetyczna-led-negro-60w-4000k-kobi-premium?currency=PLN</v>
      </c>
      <c r="Q263" s="31" t="str">
        <f>HYPERLINK("https://eprel.ec.europa.eu/qr/1784068")</f>
        <v>https://eprel.ec.europa.eu/qr/1784068</v>
      </c>
      <c r="R263"/>
      <c r="S263" t="s">
        <v>2675</v>
      </c>
      <c r="T263"/>
      <c r="U263">
        <v>1.25</v>
      </c>
      <c r="V263">
        <v>1.55</v>
      </c>
      <c r="W263">
        <v>161.5</v>
      </c>
      <c r="X263">
        <v>8.5</v>
      </c>
      <c r="Y263">
        <v>5.2</v>
      </c>
    </row>
    <row r="264" spans="1:25" ht="60" customHeight="1" x14ac:dyDescent="0.25">
      <c r="A264"/>
      <c r="B264" t="s">
        <v>4</v>
      </c>
      <c r="C264" t="s">
        <v>608</v>
      </c>
      <c r="D264" t="s">
        <v>599</v>
      </c>
      <c r="E264" t="s">
        <v>1273</v>
      </c>
      <c r="F264" t="s">
        <v>1274</v>
      </c>
      <c r="G264" t="s">
        <v>612</v>
      </c>
      <c r="H264" s="30">
        <v>397.78</v>
      </c>
      <c r="I264" s="29">
        <f>H264*(1-IFERROR(VLOOKUP(G264,Rabat!$D$10:$E$41,2,FALSE),0))</f>
        <v>397.78</v>
      </c>
      <c r="J264" t="s">
        <v>1902</v>
      </c>
      <c r="K264" t="s">
        <v>1948</v>
      </c>
      <c r="L264" t="s">
        <v>1901</v>
      </c>
      <c r="M264">
        <v>9</v>
      </c>
      <c r="N264"/>
      <c r="O264" t="s">
        <v>3436</v>
      </c>
      <c r="P264" s="31" t="str">
        <f>HYPERLINK("https://b2b.kobi.pl/pl/product/12150,oprawa-liniowa-led-koline-k2-30w-3cct-ugr-19-biala-kobi-pro?currency=PLN")</f>
        <v>https://b2b.kobi.pl/pl/product/12150,oprawa-liniowa-led-koline-k2-30w-3cct-ugr-19-biala-kobi-pro?currency=PLN</v>
      </c>
      <c r="Q264" s="31" t="str">
        <f>HYPERLINK("https://eprel.ec.europa.eu/qr/2221866")</f>
        <v>https://eprel.ec.europa.eu/qr/2221866</v>
      </c>
      <c r="R264" t="s">
        <v>2035</v>
      </c>
      <c r="S264" t="s">
        <v>2677</v>
      </c>
      <c r="T264"/>
      <c r="U264">
        <v>1.458</v>
      </c>
      <c r="V264">
        <v>1.728</v>
      </c>
      <c r="W264">
        <v>133</v>
      </c>
      <c r="X264">
        <v>8.5</v>
      </c>
      <c r="Y264">
        <v>5.5</v>
      </c>
    </row>
    <row r="265" spans="1:25" ht="60" customHeight="1" x14ac:dyDescent="0.25">
      <c r="A265"/>
      <c r="B265" t="s">
        <v>4</v>
      </c>
      <c r="C265" t="s">
        <v>608</v>
      </c>
      <c r="D265" t="s">
        <v>599</v>
      </c>
      <c r="E265" t="s">
        <v>1275</v>
      </c>
      <c r="F265" t="s">
        <v>1276</v>
      </c>
      <c r="G265" t="s">
        <v>612</v>
      </c>
      <c r="H265" s="30">
        <v>397.78</v>
      </c>
      <c r="I265" s="29">
        <f>H265*(1-IFERROR(VLOOKUP(G265,Rabat!$D$10:$E$41,2,FALSE),0))</f>
        <v>397.78</v>
      </c>
      <c r="J265" t="s">
        <v>1902</v>
      </c>
      <c r="K265" t="s">
        <v>1949</v>
      </c>
      <c r="L265" t="s">
        <v>1901</v>
      </c>
      <c r="M265">
        <v>9</v>
      </c>
      <c r="N265"/>
      <c r="O265" t="s">
        <v>3436</v>
      </c>
      <c r="P265" s="31" t="str">
        <f>HYPERLINK("https://b2b.kobi.pl/pl/product/12151,oprawa-liniowa-led-koline-k2-30w-3cct-ugr-19-czarna-kobi-pro?currency=PLN")</f>
        <v>https://b2b.kobi.pl/pl/product/12151,oprawa-liniowa-led-koline-k2-30w-3cct-ugr-19-czarna-kobi-pro?currency=PLN</v>
      </c>
      <c r="Q265" s="31" t="str">
        <f>HYPERLINK("https://eprel.ec.europa.eu/qr/2221866")</f>
        <v>https://eprel.ec.europa.eu/qr/2221866</v>
      </c>
      <c r="R265" t="s">
        <v>2035</v>
      </c>
      <c r="S265" t="s">
        <v>2677</v>
      </c>
      <c r="T265"/>
      <c r="U265">
        <v>1.474</v>
      </c>
      <c r="V265">
        <v>1.7070000000000001</v>
      </c>
      <c r="W265">
        <v>133</v>
      </c>
      <c r="X265">
        <v>8.5</v>
      </c>
      <c r="Y265">
        <v>5.5</v>
      </c>
    </row>
    <row r="266" spans="1:25" ht="60" customHeight="1" x14ac:dyDescent="0.25">
      <c r="A266"/>
      <c r="B266" t="s">
        <v>4</v>
      </c>
      <c r="C266" t="s">
        <v>608</v>
      </c>
      <c r="D266" t="s">
        <v>599</v>
      </c>
      <c r="E266" t="s">
        <v>1277</v>
      </c>
      <c r="F266" t="s">
        <v>1278</v>
      </c>
      <c r="G266" t="s">
        <v>612</v>
      </c>
      <c r="H266" s="30">
        <v>368.89</v>
      </c>
      <c r="I266" s="29">
        <f>H266*(1-IFERROR(VLOOKUP(G266,Rabat!$D$10:$E$41,2,FALSE),0))</f>
        <v>368.89</v>
      </c>
      <c r="J266" t="s">
        <v>1902</v>
      </c>
      <c r="K266" t="s">
        <v>1950</v>
      </c>
      <c r="L266" t="s">
        <v>1901</v>
      </c>
      <c r="M266">
        <v>9</v>
      </c>
      <c r="N266">
        <v>144</v>
      </c>
      <c r="O266" t="s">
        <v>3436</v>
      </c>
      <c r="P266" s="31" t="str">
        <f>HYPERLINK("https://b2b.kobi.pl/pl/product/12148,oprawa-liniowa-led-koline-k2-40w-3cct-biala-kobi-pro?currency=PLN")</f>
        <v>https://b2b.kobi.pl/pl/product/12148,oprawa-liniowa-led-koline-k2-40w-3cct-biala-kobi-pro?currency=PLN</v>
      </c>
      <c r="Q266" s="31" t="str">
        <f>HYPERLINK("https://eprel.ec.europa.eu/qr/2221062")</f>
        <v>https://eprel.ec.europa.eu/qr/2221062</v>
      </c>
      <c r="R266" t="s">
        <v>2035</v>
      </c>
      <c r="S266" t="s">
        <v>2677</v>
      </c>
      <c r="T266"/>
      <c r="U266">
        <v>1.397</v>
      </c>
      <c r="V266">
        <v>1.651</v>
      </c>
      <c r="W266">
        <v>133</v>
      </c>
      <c r="X266">
        <v>8.5</v>
      </c>
      <c r="Y266">
        <v>5.5</v>
      </c>
    </row>
    <row r="267" spans="1:25" ht="60" customHeight="1" x14ac:dyDescent="0.25">
      <c r="A267"/>
      <c r="B267" t="s">
        <v>4</v>
      </c>
      <c r="C267" t="s">
        <v>608</v>
      </c>
      <c r="D267" t="s">
        <v>599</v>
      </c>
      <c r="E267" t="s">
        <v>1271</v>
      </c>
      <c r="F267" t="s">
        <v>1272</v>
      </c>
      <c r="G267" t="s">
        <v>612</v>
      </c>
      <c r="H267" s="30">
        <v>353.33</v>
      </c>
      <c r="I267" s="29">
        <f>H267*(1-IFERROR(VLOOKUP(G267,Rabat!$D$10:$E$41,2,FALSE),0))</f>
        <v>353.33</v>
      </c>
      <c r="J267" t="s">
        <v>1902</v>
      </c>
      <c r="K267" t="s">
        <v>1947</v>
      </c>
      <c r="L267" t="s">
        <v>1901</v>
      </c>
      <c r="M267">
        <v>9</v>
      </c>
      <c r="N267"/>
      <c r="O267" t="s">
        <v>3436</v>
      </c>
      <c r="P267" s="31" t="str">
        <f>HYPERLINK("https://b2b.kobi.pl/pl/product/12146,oprawa-liniowa-led-koline-k2-20w-3cct-biala-kobi-pro?currency=PLN")</f>
        <v>https://b2b.kobi.pl/pl/product/12146,oprawa-liniowa-led-koline-k2-20w-3cct-biala-kobi-pro?currency=PLN</v>
      </c>
      <c r="Q267" s="31" t="str">
        <f>HYPERLINK("https://eprel.ec.europa.eu/qr/2221032")</f>
        <v>https://eprel.ec.europa.eu/qr/2221032</v>
      </c>
      <c r="R267" t="s">
        <v>2035</v>
      </c>
      <c r="S267" t="s">
        <v>2677</v>
      </c>
      <c r="T267"/>
      <c r="U267">
        <v>1.333</v>
      </c>
      <c r="V267">
        <v>1.585</v>
      </c>
      <c r="W267">
        <v>133</v>
      </c>
      <c r="X267">
        <v>8.5</v>
      </c>
      <c r="Y267">
        <v>5.5</v>
      </c>
    </row>
    <row r="268" spans="1:25" ht="60" customHeight="1" x14ac:dyDescent="0.25">
      <c r="A268"/>
      <c r="B268" t="s">
        <v>4</v>
      </c>
      <c r="C268" t="s">
        <v>608</v>
      </c>
      <c r="D268" t="s">
        <v>599</v>
      </c>
      <c r="E268" t="s">
        <v>1269</v>
      </c>
      <c r="F268" t="s">
        <v>1270</v>
      </c>
      <c r="G268" t="s">
        <v>612</v>
      </c>
      <c r="H268" s="30">
        <v>353.33</v>
      </c>
      <c r="I268" s="29">
        <f>H268*(1-IFERROR(VLOOKUP(G268,Rabat!$D$10:$E$41,2,FALSE),0))</f>
        <v>353.33</v>
      </c>
      <c r="J268" t="s">
        <v>1902</v>
      </c>
      <c r="K268" t="s">
        <v>1946</v>
      </c>
      <c r="L268" t="s">
        <v>1901</v>
      </c>
      <c r="M268">
        <v>9</v>
      </c>
      <c r="N268">
        <v>144</v>
      </c>
      <c r="O268" t="s">
        <v>3436</v>
      </c>
      <c r="P268" s="31" t="str">
        <f>HYPERLINK("https://b2b.kobi.pl/pl/product/12147,oprawa-liniowa-led-koline-k2-20w-3cct-czarna-kobi-pro?currency=PLN")</f>
        <v>https://b2b.kobi.pl/pl/product/12147,oprawa-liniowa-led-koline-k2-20w-3cct-czarna-kobi-pro?currency=PLN</v>
      </c>
      <c r="Q268" s="31" t="str">
        <f>HYPERLINK("https://eprel.ec.europa.eu/qr/2221032")</f>
        <v>https://eprel.ec.europa.eu/qr/2221032</v>
      </c>
      <c r="R268" t="s">
        <v>2035</v>
      </c>
      <c r="S268" t="s">
        <v>2677</v>
      </c>
      <c r="T268"/>
      <c r="U268">
        <v>1.375</v>
      </c>
      <c r="V268">
        <v>1.6259999999999999</v>
      </c>
      <c r="W268">
        <v>133</v>
      </c>
      <c r="X268">
        <v>8.5</v>
      </c>
      <c r="Y268">
        <v>5.5</v>
      </c>
    </row>
    <row r="269" spans="1:25" ht="60" customHeight="1" x14ac:dyDescent="0.25">
      <c r="A269"/>
      <c r="B269" t="s">
        <v>4</v>
      </c>
      <c r="C269" t="s">
        <v>608</v>
      </c>
      <c r="D269" t="s">
        <v>599</v>
      </c>
      <c r="E269" t="s">
        <v>1279</v>
      </c>
      <c r="F269" t="s">
        <v>1280</v>
      </c>
      <c r="G269" t="s">
        <v>612</v>
      </c>
      <c r="H269" s="30">
        <v>368.89</v>
      </c>
      <c r="I269" s="29">
        <f>H269*(1-IFERROR(VLOOKUP(G269,Rabat!$D$10:$E$41,2,FALSE),0))</f>
        <v>368.89</v>
      </c>
      <c r="J269" t="s">
        <v>1902</v>
      </c>
      <c r="K269" t="s">
        <v>1951</v>
      </c>
      <c r="L269" t="s">
        <v>1901</v>
      </c>
      <c r="M269">
        <v>9</v>
      </c>
      <c r="N269">
        <v>144</v>
      </c>
      <c r="O269" t="s">
        <v>3436</v>
      </c>
      <c r="P269" s="31" t="str">
        <f>HYPERLINK("https://b2b.kobi.pl/pl/product/12149,oprawa-liniowa-led-koline-k2-40w-3cct-czarna-kobi-pro?currency=PLN")</f>
        <v>https://b2b.kobi.pl/pl/product/12149,oprawa-liniowa-led-koline-k2-40w-3cct-czarna-kobi-pro?currency=PLN</v>
      </c>
      <c r="Q269" s="31" t="str">
        <f>HYPERLINK("https://eprel.ec.europa.eu/qr/2221062")</f>
        <v>https://eprel.ec.europa.eu/qr/2221062</v>
      </c>
      <c r="R269" t="s">
        <v>2035</v>
      </c>
      <c r="S269" t="s">
        <v>2677</v>
      </c>
      <c r="T269"/>
      <c r="U269">
        <v>1.4370000000000001</v>
      </c>
      <c r="V269">
        <v>1.6719999999999999</v>
      </c>
      <c r="W269">
        <v>133</v>
      </c>
      <c r="X269">
        <v>8.5</v>
      </c>
      <c r="Y269">
        <v>5.5</v>
      </c>
    </row>
    <row r="270" spans="1:25" ht="60" customHeight="1" x14ac:dyDescent="0.25">
      <c r="A270"/>
      <c r="B270" t="s">
        <v>4</v>
      </c>
      <c r="C270" t="s">
        <v>608</v>
      </c>
      <c r="D270" t="s">
        <v>599</v>
      </c>
      <c r="E270" t="s">
        <v>3398</v>
      </c>
      <c r="F270" t="s">
        <v>3399</v>
      </c>
      <c r="G270" t="s">
        <v>612</v>
      </c>
      <c r="H270" s="30">
        <v>391.11</v>
      </c>
      <c r="I270" s="29">
        <f>H270*(1-IFERROR(VLOOKUP(G270,Rabat!$D$10:$E$41,2,FALSE),0))</f>
        <v>391.11</v>
      </c>
      <c r="J270" t="s">
        <v>1902</v>
      </c>
      <c r="K270" t="s">
        <v>3410</v>
      </c>
      <c r="L270" t="s">
        <v>1901</v>
      </c>
      <c r="M270"/>
      <c r="N270"/>
      <c r="O270" t="s">
        <v>3436</v>
      </c>
      <c r="P270" s="31" t="str">
        <f>HYPERLINK("https://b2b.kobi.pl/pl/product/13232,oprawa-liniowa-led-koline-k2-20-30-40w-3cct-biala-kobi-pro?currency=PLN")</f>
        <v>https://b2b.kobi.pl/pl/product/13232,oprawa-liniowa-led-koline-k2-20-30-40w-3cct-biala-kobi-pro?currency=PLN</v>
      </c>
      <c r="Q270" s="31" t="str">
        <f>HYPERLINK("https://eprel.ec.europa.eu/qr/2221062")</f>
        <v>https://eprel.ec.europa.eu/qr/2221062</v>
      </c>
      <c r="R270"/>
      <c r="S270" t="s">
        <v>2677</v>
      </c>
      <c r="T270"/>
      <c r="U270">
        <v>1.4</v>
      </c>
      <c r="V270">
        <v>1.65</v>
      </c>
      <c r="W270">
        <v>125</v>
      </c>
      <c r="X270">
        <v>8.5</v>
      </c>
      <c r="Y270">
        <v>5.5</v>
      </c>
    </row>
    <row r="271" spans="1:25" ht="60" customHeight="1" x14ac:dyDescent="0.25">
      <c r="A271"/>
      <c r="B271" t="s">
        <v>4</v>
      </c>
      <c r="C271" t="s">
        <v>608</v>
      </c>
      <c r="D271" t="s">
        <v>599</v>
      </c>
      <c r="E271" t="s">
        <v>3400</v>
      </c>
      <c r="F271" t="s">
        <v>3401</v>
      </c>
      <c r="G271" t="s">
        <v>612</v>
      </c>
      <c r="H271" s="30">
        <v>420</v>
      </c>
      <c r="I271" s="29">
        <f>H271*(1-IFERROR(VLOOKUP(G271,Rabat!$D$10:$E$41,2,FALSE),0))</f>
        <v>420</v>
      </c>
      <c r="J271" t="s">
        <v>1902</v>
      </c>
      <c r="K271" t="s">
        <v>3411</v>
      </c>
      <c r="L271" t="s">
        <v>1901</v>
      </c>
      <c r="M271"/>
      <c r="N271"/>
      <c r="O271" t="s">
        <v>3436</v>
      </c>
      <c r="P271" s="31" t="str">
        <f>HYPERLINK("https://b2b.kobi.pl/pl/product/13233,oprawa-liniowa-led-koline-k2-20-30-40w-3cct-ugr-19-czarna-kobi-pro?currency=PLN")</f>
        <v>https://b2b.kobi.pl/pl/product/13233,oprawa-liniowa-led-koline-k2-20-30-40w-3cct-ugr-19-czarna-kobi-pro?currency=PLN</v>
      </c>
      <c r="Q271" s="31" t="str">
        <f>HYPERLINK("https://eprel.ec.europa.eu/qr/2221062")</f>
        <v>https://eprel.ec.europa.eu/qr/2221062</v>
      </c>
      <c r="R271"/>
      <c r="S271" t="s">
        <v>2677</v>
      </c>
      <c r="T271"/>
      <c r="U271">
        <v>1.4</v>
      </c>
      <c r="V271">
        <v>1.65</v>
      </c>
      <c r="W271">
        <v>125</v>
      </c>
      <c r="X271">
        <v>8.5</v>
      </c>
      <c r="Y271">
        <v>5.5</v>
      </c>
    </row>
    <row r="272" spans="1:25" ht="60" customHeight="1" x14ac:dyDescent="0.25">
      <c r="A272"/>
      <c r="B272" t="s">
        <v>4</v>
      </c>
      <c r="C272" t="s">
        <v>608</v>
      </c>
      <c r="D272" t="s">
        <v>599</v>
      </c>
      <c r="E272" t="s">
        <v>3396</v>
      </c>
      <c r="F272" t="s">
        <v>3397</v>
      </c>
      <c r="G272" t="s">
        <v>612</v>
      </c>
      <c r="H272" s="30">
        <v>391.11</v>
      </c>
      <c r="I272" s="29">
        <f>H272*(1-IFERROR(VLOOKUP(G272,Rabat!$D$10:$E$41,2,FALSE),0))</f>
        <v>391.11</v>
      </c>
      <c r="J272" t="s">
        <v>1902</v>
      </c>
      <c r="K272" t="s">
        <v>3409</v>
      </c>
      <c r="L272" t="s">
        <v>1901</v>
      </c>
      <c r="M272"/>
      <c r="N272"/>
      <c r="O272" t="s">
        <v>3436</v>
      </c>
      <c r="P272" s="31" t="str">
        <f>HYPERLINK("https://b2b.kobi.pl/pl/product/13231,oprawa-liniowa-led-koline-k2-20-30-40w-3cct-czarna-kobi-pro?currency=PLN")</f>
        <v>https://b2b.kobi.pl/pl/product/13231,oprawa-liniowa-led-koline-k2-20-30-40w-3cct-czarna-kobi-pro?currency=PLN</v>
      </c>
      <c r="Q272" s="31" t="str">
        <f>HYPERLINK("https://eprel.ec.europa.eu/qr/2221062")</f>
        <v>https://eprel.ec.europa.eu/qr/2221062</v>
      </c>
      <c r="R272"/>
      <c r="S272" t="s">
        <v>2677</v>
      </c>
      <c r="T272"/>
      <c r="U272">
        <v>1.4</v>
      </c>
      <c r="V272">
        <v>1.65</v>
      </c>
      <c r="W272">
        <v>125</v>
      </c>
      <c r="X272">
        <v>8.5</v>
      </c>
      <c r="Y272">
        <v>5.5</v>
      </c>
    </row>
    <row r="273" spans="1:25" ht="60" customHeight="1" x14ac:dyDescent="0.25">
      <c r="A273"/>
      <c r="B273" t="s">
        <v>4</v>
      </c>
      <c r="C273" t="s">
        <v>608</v>
      </c>
      <c r="D273" t="s">
        <v>599</v>
      </c>
      <c r="E273" t="s">
        <v>1043</v>
      </c>
      <c r="F273" t="s">
        <v>1044</v>
      </c>
      <c r="G273" t="s">
        <v>612</v>
      </c>
      <c r="H273" s="30">
        <v>308.89</v>
      </c>
      <c r="I273" s="29">
        <f>H273*(1-IFERROR(VLOOKUP(G273,Rabat!$D$10:$E$41,2,FALSE),0))</f>
        <v>308.89</v>
      </c>
      <c r="J273" t="s">
        <v>1902</v>
      </c>
      <c r="K273" t="s">
        <v>1938</v>
      </c>
      <c r="L273" t="s">
        <v>1901</v>
      </c>
      <c r="M273">
        <v>5</v>
      </c>
      <c r="N273"/>
      <c r="O273" t="s">
        <v>3436</v>
      </c>
      <c r="P273" s="31" t="str">
        <f>HYPERLINK("https://b2b.kobi.pl/pl/product/12152,lacznik-x-do-led-koline-k2-bialy-kobi-pro?currency=PLN")</f>
        <v>https://b2b.kobi.pl/pl/product/12152,lacznik-x-do-led-koline-k2-bialy-kobi-pro?currency=PLN</v>
      </c>
      <c r="Q273" s="31" t="str">
        <f>HYPERLINK("https://eprel.ec.europa.eu/qr/2225172")</f>
        <v>https://eprel.ec.europa.eu/qr/2225172</v>
      </c>
      <c r="R273"/>
      <c r="S273" t="s">
        <v>2677</v>
      </c>
      <c r="T273"/>
      <c r="U273">
        <v>0.63300000000000001</v>
      </c>
      <c r="V273">
        <v>0.77200000000000002</v>
      </c>
      <c r="W273">
        <v>27</v>
      </c>
      <c r="X273">
        <v>8.3000000000000007</v>
      </c>
      <c r="Y273">
        <v>27</v>
      </c>
    </row>
    <row r="274" spans="1:25" ht="60" customHeight="1" x14ac:dyDescent="0.25">
      <c r="A274"/>
      <c r="B274" t="s">
        <v>4</v>
      </c>
      <c r="C274" t="s">
        <v>608</v>
      </c>
      <c r="D274" t="s">
        <v>599</v>
      </c>
      <c r="E274" t="s">
        <v>1045</v>
      </c>
      <c r="F274" t="s">
        <v>1046</v>
      </c>
      <c r="G274" t="s">
        <v>612</v>
      </c>
      <c r="H274" s="30">
        <v>308.89</v>
      </c>
      <c r="I274" s="29">
        <f>H274*(1-IFERROR(VLOOKUP(G274,Rabat!$D$10:$E$41,2,FALSE),0))</f>
        <v>308.89</v>
      </c>
      <c r="J274" t="s">
        <v>1902</v>
      </c>
      <c r="K274" t="s">
        <v>1939</v>
      </c>
      <c r="L274" t="s">
        <v>1901</v>
      </c>
      <c r="M274">
        <v>5</v>
      </c>
      <c r="N274"/>
      <c r="O274" t="s">
        <v>3436</v>
      </c>
      <c r="P274" s="31" t="str">
        <f>HYPERLINK("https://b2b.kobi.pl/pl/product/12153,lacznik-x-do-led-koline-k2-czarny-kobi-pro?currency=PLN")</f>
        <v>https://b2b.kobi.pl/pl/product/12153,lacznik-x-do-led-koline-k2-czarny-kobi-pro?currency=PLN</v>
      </c>
      <c r="Q274" s="31" t="str">
        <f>HYPERLINK("https://eprel.ec.europa.eu/qr/2225172")</f>
        <v>https://eprel.ec.europa.eu/qr/2225172</v>
      </c>
      <c r="R274"/>
      <c r="S274" t="s">
        <v>2677</v>
      </c>
      <c r="T274"/>
      <c r="U274">
        <v>0.61099999999999999</v>
      </c>
      <c r="V274">
        <v>0.748</v>
      </c>
      <c r="W274">
        <v>27</v>
      </c>
      <c r="X274">
        <v>8.3000000000000007</v>
      </c>
      <c r="Y274">
        <v>27</v>
      </c>
    </row>
    <row r="275" spans="1:25" ht="60" customHeight="1" x14ac:dyDescent="0.25">
      <c r="A275"/>
      <c r="B275" t="s">
        <v>4</v>
      </c>
      <c r="C275" t="s">
        <v>608</v>
      </c>
      <c r="D275" t="s">
        <v>599</v>
      </c>
      <c r="E275" t="s">
        <v>1039</v>
      </c>
      <c r="F275" t="s">
        <v>1040</v>
      </c>
      <c r="G275" t="s">
        <v>612</v>
      </c>
      <c r="H275" s="30">
        <v>264.44</v>
      </c>
      <c r="I275" s="29">
        <f>H275*(1-IFERROR(VLOOKUP(G275,Rabat!$D$10:$E$41,2,FALSE),0))</f>
        <v>264.44</v>
      </c>
      <c r="J275" t="s">
        <v>1902</v>
      </c>
      <c r="K275" t="s">
        <v>1936</v>
      </c>
      <c r="L275" t="s">
        <v>1901</v>
      </c>
      <c r="M275">
        <v>5</v>
      </c>
      <c r="N275"/>
      <c r="O275" t="s">
        <v>3436</v>
      </c>
      <c r="P275" s="31" t="str">
        <f>HYPERLINK("https://b2b.kobi.pl/pl/product/12154,lacznik-t-do-led-koline-k2-bialy-kobi-pro?currency=PLN")</f>
        <v>https://b2b.kobi.pl/pl/product/12154,lacznik-t-do-led-koline-k2-bialy-kobi-pro?currency=PLN</v>
      </c>
      <c r="Q275" s="31" t="str">
        <f>HYPERLINK("https://eprel.ec.europa.eu/qr/2225270")</f>
        <v>https://eprel.ec.europa.eu/qr/2225270</v>
      </c>
      <c r="R275"/>
      <c r="S275" t="s">
        <v>2677</v>
      </c>
      <c r="T275"/>
      <c r="U275">
        <v>0.495</v>
      </c>
      <c r="V275">
        <v>0.59799999999999998</v>
      </c>
      <c r="W275">
        <v>27</v>
      </c>
      <c r="X275">
        <v>8.3000000000000007</v>
      </c>
      <c r="Y275">
        <v>16</v>
      </c>
    </row>
    <row r="276" spans="1:25" ht="60" customHeight="1" x14ac:dyDescent="0.25">
      <c r="A276"/>
      <c r="B276" t="s">
        <v>4</v>
      </c>
      <c r="C276" t="s">
        <v>608</v>
      </c>
      <c r="D276" t="s">
        <v>599</v>
      </c>
      <c r="E276" t="s">
        <v>1041</v>
      </c>
      <c r="F276" t="s">
        <v>1042</v>
      </c>
      <c r="G276" t="s">
        <v>612</v>
      </c>
      <c r="H276" s="30">
        <v>264.44</v>
      </c>
      <c r="I276" s="29">
        <f>H276*(1-IFERROR(VLOOKUP(G276,Rabat!$D$10:$E$41,2,FALSE),0))</f>
        <v>264.44</v>
      </c>
      <c r="J276" t="s">
        <v>1902</v>
      </c>
      <c r="K276" t="s">
        <v>1937</v>
      </c>
      <c r="L276" t="s">
        <v>1901</v>
      </c>
      <c r="M276">
        <v>5</v>
      </c>
      <c r="N276"/>
      <c r="O276" t="s">
        <v>3436</v>
      </c>
      <c r="P276" s="31" t="str">
        <f>HYPERLINK("https://b2b.kobi.pl/pl/product/12155,lacznik-t-do-led-koline-k2-czarny-kobi-pro?currency=PLN")</f>
        <v>https://b2b.kobi.pl/pl/product/12155,lacznik-t-do-led-koline-k2-czarny-kobi-pro?currency=PLN</v>
      </c>
      <c r="Q276" s="31" t="str">
        <f>HYPERLINK("https://eprel.ec.europa.eu/qr/2225270")</f>
        <v>https://eprel.ec.europa.eu/qr/2225270</v>
      </c>
      <c r="R276"/>
      <c r="S276" t="s">
        <v>2677</v>
      </c>
      <c r="T276"/>
      <c r="U276">
        <v>0.48199999999999998</v>
      </c>
      <c r="V276">
        <v>0.58599999999999997</v>
      </c>
      <c r="W276">
        <v>27</v>
      </c>
      <c r="X276">
        <v>8.3000000000000007</v>
      </c>
      <c r="Y276">
        <v>16</v>
      </c>
    </row>
    <row r="277" spans="1:25" ht="60" customHeight="1" x14ac:dyDescent="0.25">
      <c r="A277"/>
      <c r="B277" t="s">
        <v>4</v>
      </c>
      <c r="C277" t="s">
        <v>608</v>
      </c>
      <c r="D277" t="s">
        <v>599</v>
      </c>
      <c r="E277" t="s">
        <v>2190</v>
      </c>
      <c r="F277" t="s">
        <v>2191</v>
      </c>
      <c r="G277" t="s">
        <v>612</v>
      </c>
      <c r="H277" s="30">
        <v>220</v>
      </c>
      <c r="I277" s="29">
        <f>H277*(1-IFERROR(VLOOKUP(G277,Rabat!$D$10:$E$41,2,FALSE),0))</f>
        <v>220</v>
      </c>
      <c r="J277" t="s">
        <v>1902</v>
      </c>
      <c r="K277" t="s">
        <v>2250</v>
      </c>
      <c r="L277" t="s">
        <v>1901</v>
      </c>
      <c r="M277">
        <v>5</v>
      </c>
      <c r="N277">
        <v>405</v>
      </c>
      <c r="O277" t="s">
        <v>3436</v>
      </c>
      <c r="P277" s="31" t="str">
        <f>HYPERLINK("https://b2b.kobi.pl/pl/product/12156,lacznik-l-do-led-koline-k2-bialy-kobi-pro?currency=PLN")</f>
        <v>https://b2b.kobi.pl/pl/product/12156,lacznik-l-do-led-koline-k2-bialy-kobi-pro?currency=PLN</v>
      </c>
      <c r="Q277" s="31" t="str">
        <f>HYPERLINK("https://eprel.ec.europa.eu/qr/2225288")</f>
        <v>https://eprel.ec.europa.eu/qr/2225288</v>
      </c>
      <c r="R277"/>
      <c r="S277" t="s">
        <v>2677</v>
      </c>
      <c r="T277"/>
      <c r="U277">
        <v>0.36299999999999999</v>
      </c>
      <c r="V277">
        <v>0.434</v>
      </c>
      <c r="W277">
        <v>16</v>
      </c>
      <c r="X277">
        <v>8.3000000000000007</v>
      </c>
      <c r="Y277">
        <v>16</v>
      </c>
    </row>
    <row r="278" spans="1:25" ht="60" customHeight="1" x14ac:dyDescent="0.25">
      <c r="A278"/>
      <c r="B278" t="s">
        <v>4</v>
      </c>
      <c r="C278" t="s">
        <v>608</v>
      </c>
      <c r="D278" t="s">
        <v>599</v>
      </c>
      <c r="E278" t="s">
        <v>2192</v>
      </c>
      <c r="F278" t="s">
        <v>2193</v>
      </c>
      <c r="G278" t="s">
        <v>612</v>
      </c>
      <c r="H278" s="30">
        <v>220</v>
      </c>
      <c r="I278" s="29">
        <f>H278*(1-IFERROR(VLOOKUP(G278,Rabat!$D$10:$E$41,2,FALSE),0))</f>
        <v>220</v>
      </c>
      <c r="J278" t="s">
        <v>1902</v>
      </c>
      <c r="K278" t="s">
        <v>2251</v>
      </c>
      <c r="L278" t="s">
        <v>1901</v>
      </c>
      <c r="M278">
        <v>5</v>
      </c>
      <c r="N278">
        <v>405</v>
      </c>
      <c r="O278" t="s">
        <v>3436</v>
      </c>
      <c r="P278" s="31" t="str">
        <f>HYPERLINK("https://b2b.kobi.pl/pl/product/12157,lacznik-l-do-led-koline-k2-czarny-kobi-pro?currency=PLN")</f>
        <v>https://b2b.kobi.pl/pl/product/12157,lacznik-l-do-led-koline-k2-czarny-kobi-pro?currency=PLN</v>
      </c>
      <c r="Q278" s="31" t="str">
        <f>HYPERLINK("https://eprel.ec.europa.eu/qr/2225288")</f>
        <v>https://eprel.ec.europa.eu/qr/2225288</v>
      </c>
      <c r="R278"/>
      <c r="S278" t="s">
        <v>2677</v>
      </c>
      <c r="T278"/>
      <c r="U278">
        <v>0.35599999999999998</v>
      </c>
      <c r="V278">
        <v>0.435</v>
      </c>
      <c r="W278">
        <v>16</v>
      </c>
      <c r="X278">
        <v>8.3000000000000007</v>
      </c>
      <c r="Y278">
        <v>16</v>
      </c>
    </row>
    <row r="279" spans="1:25" ht="60" customHeight="1" x14ac:dyDescent="0.25">
      <c r="A279"/>
      <c r="B279" t="s">
        <v>4</v>
      </c>
      <c r="C279" t="s">
        <v>608</v>
      </c>
      <c r="D279" t="s">
        <v>17</v>
      </c>
      <c r="E279" t="s">
        <v>1239</v>
      </c>
      <c r="F279" t="s">
        <v>1240</v>
      </c>
      <c r="G279" t="s">
        <v>612</v>
      </c>
      <c r="H279" s="30">
        <v>31.11</v>
      </c>
      <c r="I279" s="29">
        <f>H279*(1-IFERROR(VLOOKUP(G279,Rabat!$D$10:$E$41,2,FALSE),0))</f>
        <v>31.11</v>
      </c>
      <c r="J279" t="s">
        <v>1902</v>
      </c>
      <c r="K279" t="s">
        <v>567</v>
      </c>
      <c r="L279" t="s">
        <v>1901</v>
      </c>
      <c r="M279">
        <v>20</v>
      </c>
      <c r="N279"/>
      <c r="O279" t="s">
        <v>3434</v>
      </c>
      <c r="P279" s="31" t="str">
        <f>HYPERLINK("https://b2b.kobi.pl/pl/product/12108,oprawa-hermetyczna-led-cortez-18w-4000k-ip65-led2b?currency=PLN")</f>
        <v>https://b2b.kobi.pl/pl/product/12108,oprawa-hermetyczna-led-cortez-18w-4000k-ip65-led2b?currency=PLN</v>
      </c>
      <c r="Q279" t="s">
        <v>15</v>
      </c>
      <c r="R279"/>
      <c r="S279" t="s">
        <v>2675</v>
      </c>
      <c r="T279"/>
      <c r="U279">
        <v>0.13500000000000001</v>
      </c>
      <c r="V279">
        <v>0.19500000000000001</v>
      </c>
      <c r="W279">
        <v>64</v>
      </c>
      <c r="X279">
        <v>5.5</v>
      </c>
      <c r="Y279">
        <v>3.8</v>
      </c>
    </row>
    <row r="280" spans="1:25" ht="60" customHeight="1" x14ac:dyDescent="0.25">
      <c r="A280"/>
      <c r="B280" t="s">
        <v>4</v>
      </c>
      <c r="C280" t="s">
        <v>608</v>
      </c>
      <c r="D280" t="s">
        <v>17</v>
      </c>
      <c r="E280" t="s">
        <v>1242</v>
      </c>
      <c r="F280" t="s">
        <v>1243</v>
      </c>
      <c r="G280" t="s">
        <v>612</v>
      </c>
      <c r="H280" s="30">
        <v>52.22</v>
      </c>
      <c r="I280" s="29">
        <f>H280*(1-IFERROR(VLOOKUP(G280,Rabat!$D$10:$E$41,2,FALSE),0))</f>
        <v>52.22</v>
      </c>
      <c r="J280" t="s">
        <v>1902</v>
      </c>
      <c r="K280" t="s">
        <v>568</v>
      </c>
      <c r="L280" t="s">
        <v>1901</v>
      </c>
      <c r="M280">
        <v>20</v>
      </c>
      <c r="N280"/>
      <c r="O280" t="s">
        <v>3434</v>
      </c>
      <c r="P280" s="31" t="str">
        <f>HYPERLINK("https://b2b.kobi.pl/pl/product/12109,oprawa-hermetyczna-led-cortez-36w-4000k-ip65-led2b?currency=PLN")</f>
        <v>https://b2b.kobi.pl/pl/product/12109,oprawa-hermetyczna-led-cortez-36w-4000k-ip65-led2b?currency=PLN</v>
      </c>
      <c r="Q280" t="s">
        <v>15</v>
      </c>
      <c r="R280"/>
      <c r="S280" t="s">
        <v>2675</v>
      </c>
      <c r="T280"/>
      <c r="U280">
        <v>0.246</v>
      </c>
      <c r="V280">
        <v>0.30599999999999999</v>
      </c>
      <c r="W280">
        <v>124</v>
      </c>
      <c r="X280">
        <v>5.5</v>
      </c>
      <c r="Y280">
        <v>3.8</v>
      </c>
    </row>
    <row r="281" spans="1:25" ht="60" customHeight="1" x14ac:dyDescent="0.25">
      <c r="A281"/>
      <c r="B281" t="s">
        <v>4</v>
      </c>
      <c r="C281" t="s">
        <v>608</v>
      </c>
      <c r="D281" t="s">
        <v>17</v>
      </c>
      <c r="E281" t="s">
        <v>1245</v>
      </c>
      <c r="F281" t="s">
        <v>1246</v>
      </c>
      <c r="G281" t="s">
        <v>612</v>
      </c>
      <c r="H281" s="30">
        <v>65.56</v>
      </c>
      <c r="I281" s="29">
        <f>H281*(1-IFERROR(VLOOKUP(G281,Rabat!$D$10:$E$41,2,FALSE),0))</f>
        <v>65.56</v>
      </c>
      <c r="J281" t="s">
        <v>1902</v>
      </c>
      <c r="K281" t="s">
        <v>569</v>
      </c>
      <c r="L281" t="s">
        <v>1901</v>
      </c>
      <c r="M281">
        <v>20</v>
      </c>
      <c r="N281"/>
      <c r="O281" t="s">
        <v>3434</v>
      </c>
      <c r="P281" s="31" t="str">
        <f>HYPERLINK("https://b2b.kobi.pl/pl/product/12110,oprawa-hermetyczna-led-cortez-48w-4000k-ip65-led2b?currency=PLN")</f>
        <v>https://b2b.kobi.pl/pl/product/12110,oprawa-hermetyczna-led-cortez-48w-4000k-ip65-led2b?currency=PLN</v>
      </c>
      <c r="Q281" t="s">
        <v>15</v>
      </c>
      <c r="R281"/>
      <c r="S281" t="s">
        <v>2675</v>
      </c>
      <c r="T281"/>
      <c r="U281">
        <v>0.28499999999999998</v>
      </c>
      <c r="V281">
        <v>0.35799999999999998</v>
      </c>
      <c r="W281">
        <v>154</v>
      </c>
      <c r="X281">
        <v>5.5</v>
      </c>
      <c r="Y281">
        <v>3.8</v>
      </c>
    </row>
    <row r="282" spans="1:25" ht="60" customHeight="1" x14ac:dyDescent="0.25">
      <c r="A282"/>
      <c r="B282" t="s">
        <v>4</v>
      </c>
      <c r="C282" t="s">
        <v>608</v>
      </c>
      <c r="D282" t="s">
        <v>631</v>
      </c>
      <c r="E282" t="s">
        <v>3394</v>
      </c>
      <c r="F282" t="s">
        <v>3395</v>
      </c>
      <c r="G282" t="s">
        <v>612</v>
      </c>
      <c r="H282" s="30">
        <v>84.22</v>
      </c>
      <c r="I282" s="29">
        <f>H282*(1-IFERROR(VLOOKUP(G282,Rabat!$D$10:$E$41,2,FALSE),0))</f>
        <v>84.22</v>
      </c>
      <c r="J282" t="s">
        <v>1902</v>
      </c>
      <c r="K282" t="s">
        <v>3408</v>
      </c>
      <c r="L282" t="s">
        <v>1901</v>
      </c>
      <c r="M282">
        <v>20</v>
      </c>
      <c r="N282">
        <v>480</v>
      </c>
      <c r="O282" t="s">
        <v>3435</v>
      </c>
      <c r="P282" s="31" t="str">
        <f>HYPERLINK("https://b2b.kobi.pl/pl/product/12924,oprawa-hermetyczna-led-cortez-2-50w-120cm-4000k-ip65-kobi-premium?currency=PLN")</f>
        <v>https://b2b.kobi.pl/pl/product/12924,oprawa-hermetyczna-led-cortez-2-50w-120cm-4000k-ip65-kobi-premium?currency=PLN</v>
      </c>
      <c r="Q282" s="31" t="str">
        <f>HYPERLINK("https://eprel.ec.europa.eu/qr/2430368")</f>
        <v>https://eprel.ec.europa.eu/qr/2430368</v>
      </c>
      <c r="R282"/>
      <c r="S282" t="s">
        <v>2675</v>
      </c>
      <c r="T282"/>
      <c r="U282">
        <v>0.3</v>
      </c>
      <c r="V282">
        <v>0.4</v>
      </c>
      <c r="W282">
        <v>133</v>
      </c>
      <c r="X282">
        <v>10</v>
      </c>
      <c r="Y282">
        <v>5.8</v>
      </c>
    </row>
    <row r="283" spans="1:25" ht="60" customHeight="1" x14ac:dyDescent="0.25">
      <c r="A283"/>
      <c r="B283" t="s">
        <v>4</v>
      </c>
      <c r="C283" t="s">
        <v>608</v>
      </c>
      <c r="D283" t="s">
        <v>609</v>
      </c>
      <c r="E283" t="s">
        <v>1825</v>
      </c>
      <c r="F283" t="s">
        <v>1826</v>
      </c>
      <c r="G283" t="s">
        <v>612</v>
      </c>
      <c r="H283" s="30">
        <v>954</v>
      </c>
      <c r="I283" s="29">
        <f>H283*(1-IFERROR(VLOOKUP(G283,Rabat!$D$10:$E$41,2,FALSE),0))</f>
        <v>954</v>
      </c>
      <c r="J283" t="s">
        <v>1907</v>
      </c>
      <c r="K283" t="s">
        <v>237</v>
      </c>
      <c r="L283" t="s">
        <v>1901</v>
      </c>
      <c r="M283"/>
      <c r="N283"/>
      <c r="O283" t="s">
        <v>3436</v>
      </c>
      <c r="P283" s="31" t="str">
        <f>HYPERLINK("https://b2b.kobi.pl/pl/product/8388,oprawa-liniowa-led-nexline1-31w-p-kobi-pro?currency=PLN")</f>
        <v>https://b2b.kobi.pl/pl/product/8388,oprawa-liniowa-led-nexline1-31w-p-kobi-pro?currency=PLN</v>
      </c>
      <c r="Q283" s="31" t="str">
        <f>HYPERLINK("https://eprel.ec.europa.eu/qr/953680")</f>
        <v>https://eprel.ec.europa.eu/qr/953680</v>
      </c>
      <c r="R283"/>
      <c r="S283" t="s">
        <v>2677</v>
      </c>
      <c r="T283"/>
      <c r="U283">
        <v>3.7</v>
      </c>
      <c r="V283">
        <v>4.07</v>
      </c>
      <c r="W283">
        <v>0</v>
      </c>
      <c r="X283">
        <v>0</v>
      </c>
      <c r="Y283">
        <v>0</v>
      </c>
    </row>
    <row r="284" spans="1:25" ht="60" customHeight="1" x14ac:dyDescent="0.25">
      <c r="A284"/>
      <c r="B284" t="s">
        <v>4</v>
      </c>
      <c r="C284" t="s">
        <v>608</v>
      </c>
      <c r="D284" t="s">
        <v>599</v>
      </c>
      <c r="E284" t="s">
        <v>2605</v>
      </c>
      <c r="F284" t="s">
        <v>2606</v>
      </c>
      <c r="G284" t="s">
        <v>612</v>
      </c>
      <c r="H284" s="30">
        <v>133.31</v>
      </c>
      <c r="I284" s="29">
        <f>H284*(1-IFERROR(VLOOKUP(G284,Rabat!$D$10:$E$41,2,FALSE),0))</f>
        <v>133.31</v>
      </c>
      <c r="J284" t="s">
        <v>1902</v>
      </c>
      <c r="K284" t="s">
        <v>2680</v>
      </c>
      <c r="L284" t="s">
        <v>1901</v>
      </c>
      <c r="M284">
        <v>16</v>
      </c>
      <c r="N284">
        <v>160</v>
      </c>
      <c r="O284" t="s">
        <v>3436</v>
      </c>
      <c r="P284" s="31" t="str">
        <f>HYPERLINK("https://b2b.kobi.pl/pl/product/12748,oprawa-liniowa-hermetyczna-led-lumexo-36w-4000k-ip65-biala-kobi-pro?currency=PLN")</f>
        <v>https://b2b.kobi.pl/pl/product/12748,oprawa-liniowa-hermetyczna-led-lumexo-36w-4000k-ip65-biala-kobi-pro?currency=PLN</v>
      </c>
      <c r="Q284" s="31" t="str">
        <f>HYPERLINK("https://eprel.ec.europa.eu/qr/2365867")</f>
        <v>https://eprel.ec.europa.eu/qr/2365867</v>
      </c>
      <c r="R284"/>
      <c r="S284" t="s">
        <v>2675</v>
      </c>
      <c r="T284"/>
      <c r="U284">
        <v>0.71299999999999997</v>
      </c>
      <c r="V284">
        <v>0.87</v>
      </c>
      <c r="W284">
        <v>122</v>
      </c>
      <c r="X284">
        <v>8</v>
      </c>
      <c r="Y284">
        <v>8</v>
      </c>
    </row>
    <row r="285" spans="1:25" ht="60" customHeight="1" x14ac:dyDescent="0.25">
      <c r="A285"/>
      <c r="B285" t="s">
        <v>4</v>
      </c>
      <c r="C285" t="s">
        <v>608</v>
      </c>
      <c r="D285" t="s">
        <v>599</v>
      </c>
      <c r="E285" t="s">
        <v>2607</v>
      </c>
      <c r="F285" t="s">
        <v>2608</v>
      </c>
      <c r="G285" t="s">
        <v>612</v>
      </c>
      <c r="H285" s="30">
        <v>164.44</v>
      </c>
      <c r="I285" s="29">
        <f>H285*(1-IFERROR(VLOOKUP(G285,Rabat!$D$10:$E$41,2,FALSE),0))</f>
        <v>164.44</v>
      </c>
      <c r="J285" t="s">
        <v>1902</v>
      </c>
      <c r="K285" t="s">
        <v>2681</v>
      </c>
      <c r="L285" t="s">
        <v>1901</v>
      </c>
      <c r="M285">
        <v>16</v>
      </c>
      <c r="N285">
        <v>128</v>
      </c>
      <c r="O285" t="s">
        <v>3436</v>
      </c>
      <c r="P285" s="31" t="str">
        <f>HYPERLINK("https://b2b.kobi.pl/pl/product/12749,oprawa-liniowa-hermetyczna-led-lumexo-50w-4000k-ip65-biala-kobi-pro?currency=PLN")</f>
        <v>https://b2b.kobi.pl/pl/product/12749,oprawa-liniowa-hermetyczna-led-lumexo-50w-4000k-ip65-biala-kobi-pro?currency=PLN</v>
      </c>
      <c r="Q285" s="31" t="str">
        <f>HYPERLINK("https://eprel.ec.europa.eu/qr/2365942")</f>
        <v>https://eprel.ec.europa.eu/qr/2365942</v>
      </c>
      <c r="R285"/>
      <c r="S285" t="s">
        <v>2675</v>
      </c>
      <c r="T285"/>
      <c r="U285">
        <v>0.85499999999999998</v>
      </c>
      <c r="V285">
        <v>1.05</v>
      </c>
      <c r="W285">
        <v>152</v>
      </c>
      <c r="X285">
        <v>8</v>
      </c>
      <c r="Y285">
        <v>8</v>
      </c>
    </row>
    <row r="286" spans="1:25" ht="60" customHeight="1" x14ac:dyDescent="0.25">
      <c r="A286"/>
      <c r="B286" t="s">
        <v>4</v>
      </c>
      <c r="C286" t="s">
        <v>18</v>
      </c>
      <c r="D286" t="s">
        <v>17</v>
      </c>
      <c r="E286" t="s">
        <v>1053</v>
      </c>
      <c r="F286" t="s">
        <v>1054</v>
      </c>
      <c r="G286" t="s">
        <v>1048</v>
      </c>
      <c r="H286" s="30">
        <v>17.78</v>
      </c>
      <c r="I286" s="29">
        <f>H286*(1-IFERROR(VLOOKUP(G286,Rabat!$D$10:$E$41,2,FALSE),0))</f>
        <v>17.78</v>
      </c>
      <c r="J286" t="s">
        <v>1903</v>
      </c>
      <c r="K286" t="s">
        <v>222</v>
      </c>
      <c r="L286" t="s">
        <v>1901</v>
      </c>
      <c r="M286">
        <v>60</v>
      </c>
      <c r="N286">
        <v>1800</v>
      </c>
      <c r="O286" t="s">
        <v>3434</v>
      </c>
      <c r="P286" s="31" t="str">
        <f>HYPERLINK("https://b2b.kobi.pl/pl/product/9979,naswietlacz-led-mh-10w-3000k-ip65-czarny-led2b?currency=PLN")</f>
        <v>https://b2b.kobi.pl/pl/product/9979,naswietlacz-led-mh-10w-3000k-ip65-czarny-led2b?currency=PLN</v>
      </c>
      <c r="Q286" s="31" t="str">
        <f>HYPERLINK("https://eprel.ec.europa.eu/qr/934475")</f>
        <v>https://eprel.ec.europa.eu/qr/934475</v>
      </c>
      <c r="R286" t="s">
        <v>2035</v>
      </c>
      <c r="S286" t="s">
        <v>2677</v>
      </c>
      <c r="T286"/>
      <c r="U286">
        <v>0.18099999999999999</v>
      </c>
      <c r="V286">
        <v>0.20699999999999999</v>
      </c>
      <c r="W286">
        <v>11.3</v>
      </c>
      <c r="X286">
        <v>3.7</v>
      </c>
      <c r="Y286">
        <v>10.8</v>
      </c>
    </row>
    <row r="287" spans="1:25" ht="60" customHeight="1" x14ac:dyDescent="0.25">
      <c r="A287"/>
      <c r="B287" t="s">
        <v>4</v>
      </c>
      <c r="C287" t="s">
        <v>18</v>
      </c>
      <c r="D287" t="s">
        <v>17</v>
      </c>
      <c r="E287" t="s">
        <v>1057</v>
      </c>
      <c r="F287" t="s">
        <v>1058</v>
      </c>
      <c r="G287" t="s">
        <v>1048</v>
      </c>
      <c r="H287" s="30">
        <v>17.78</v>
      </c>
      <c r="I287" s="29">
        <f>H287*(1-IFERROR(VLOOKUP(G287,Rabat!$D$10:$E$41,2,FALSE),0))</f>
        <v>17.78</v>
      </c>
      <c r="J287" t="s">
        <v>1903</v>
      </c>
      <c r="K287" t="s">
        <v>223</v>
      </c>
      <c r="L287" t="s">
        <v>1901</v>
      </c>
      <c r="M287">
        <v>60</v>
      </c>
      <c r="N287">
        <v>3000</v>
      </c>
      <c r="O287" t="s">
        <v>3434</v>
      </c>
      <c r="P287" s="31" t="str">
        <f>HYPERLINK("https://b2b.kobi.pl/pl/product/9980,naswietlacz-led-mh-10w-4000k-ip65-czarny-led2b?currency=PLN")</f>
        <v>https://b2b.kobi.pl/pl/product/9980,naswietlacz-led-mh-10w-4000k-ip65-czarny-led2b?currency=PLN</v>
      </c>
      <c r="Q287" s="31" t="str">
        <f>HYPERLINK("https://eprel.ec.europa.eu/qr/760350")</f>
        <v>https://eprel.ec.europa.eu/qr/760350</v>
      </c>
      <c r="R287"/>
      <c r="S287" t="s">
        <v>2677</v>
      </c>
      <c r="T287"/>
      <c r="U287">
        <v>0.14000000000000001</v>
      </c>
      <c r="V287">
        <v>0.17</v>
      </c>
      <c r="W287">
        <v>10</v>
      </c>
      <c r="X287">
        <v>10</v>
      </c>
      <c r="Y287">
        <v>3.5</v>
      </c>
    </row>
    <row r="288" spans="1:25" ht="60" customHeight="1" x14ac:dyDescent="0.25">
      <c r="A288"/>
      <c r="B288" t="s">
        <v>4</v>
      </c>
      <c r="C288" t="s">
        <v>18</v>
      </c>
      <c r="D288" t="s">
        <v>17</v>
      </c>
      <c r="E288" t="s">
        <v>1065</v>
      </c>
      <c r="F288" t="s">
        <v>1066</v>
      </c>
      <c r="G288" t="s">
        <v>1048</v>
      </c>
      <c r="H288" s="30">
        <v>17.78</v>
      </c>
      <c r="I288" s="29">
        <f>H288*(1-IFERROR(VLOOKUP(G288,Rabat!$D$10:$E$41,2,FALSE),0))</f>
        <v>17.78</v>
      </c>
      <c r="J288" t="s">
        <v>1903</v>
      </c>
      <c r="K288" t="s">
        <v>224</v>
      </c>
      <c r="L288" t="s">
        <v>1901</v>
      </c>
      <c r="M288">
        <v>60</v>
      </c>
      <c r="N288">
        <v>3000</v>
      </c>
      <c r="O288" t="s">
        <v>3434</v>
      </c>
      <c r="P288" s="31" t="str">
        <f>HYPERLINK("https://b2b.kobi.pl/pl/product/9982,naswietlacz-led-mh-10w-6500k-ip65-czarny-led2b?currency=PLN")</f>
        <v>https://b2b.kobi.pl/pl/product/9982,naswietlacz-led-mh-10w-6500k-ip65-czarny-led2b?currency=PLN</v>
      </c>
      <c r="Q288" s="31" t="str">
        <f>HYPERLINK("https://eprel.ec.europa.eu/qr/760357")</f>
        <v>https://eprel.ec.europa.eu/qr/760357</v>
      </c>
      <c r="R288"/>
      <c r="S288" t="s">
        <v>2677</v>
      </c>
      <c r="T288"/>
      <c r="U288">
        <v>0.14000000000000001</v>
      </c>
      <c r="V288">
        <v>0.17</v>
      </c>
      <c r="W288">
        <v>10</v>
      </c>
      <c r="X288">
        <v>10</v>
      </c>
      <c r="Y288">
        <v>3.5</v>
      </c>
    </row>
    <row r="289" spans="1:25" ht="60" customHeight="1" x14ac:dyDescent="0.25">
      <c r="A289"/>
      <c r="B289" t="s">
        <v>4</v>
      </c>
      <c r="C289" t="s">
        <v>18</v>
      </c>
      <c r="D289" t="s">
        <v>17</v>
      </c>
      <c r="E289" t="s">
        <v>2113</v>
      </c>
      <c r="F289" t="s">
        <v>2114</v>
      </c>
      <c r="G289" t="s">
        <v>1048</v>
      </c>
      <c r="H289" s="30">
        <v>24.44</v>
      </c>
      <c r="I289" s="29">
        <f>H289*(1-IFERROR(VLOOKUP(G289,Rabat!$D$10:$E$41,2,FALSE),0))</f>
        <v>24.44</v>
      </c>
      <c r="J289" t="s">
        <v>1903</v>
      </c>
      <c r="K289" t="s">
        <v>2151</v>
      </c>
      <c r="L289" t="s">
        <v>1901</v>
      </c>
      <c r="M289">
        <v>60</v>
      </c>
      <c r="N289">
        <v>3000</v>
      </c>
      <c r="O289" t="s">
        <v>3434</v>
      </c>
      <c r="P289" s="31" t="str">
        <f>HYPERLINK("https://b2b.kobi.pl/pl/product/9985,naswietlacz-led-mh-20w-4000k-ip65-czarny-led2b?currency=PLN")</f>
        <v>https://b2b.kobi.pl/pl/product/9985,naswietlacz-led-mh-20w-4000k-ip65-czarny-led2b?currency=PLN</v>
      </c>
      <c r="Q289" s="31" t="str">
        <f>HYPERLINK("https://eprel.ec.europa.eu/qr/760359")</f>
        <v>https://eprel.ec.europa.eu/qr/760359</v>
      </c>
      <c r="R289"/>
      <c r="S289" t="s">
        <v>2677</v>
      </c>
      <c r="T289"/>
      <c r="U289">
        <v>0.18</v>
      </c>
      <c r="V289">
        <v>0.21</v>
      </c>
      <c r="W289">
        <v>11</v>
      </c>
      <c r="X289">
        <v>11</v>
      </c>
      <c r="Y289">
        <v>3.5</v>
      </c>
    </row>
    <row r="290" spans="1:25" ht="60" customHeight="1" x14ac:dyDescent="0.25">
      <c r="A290"/>
      <c r="B290" t="s">
        <v>4</v>
      </c>
      <c r="C290" t="s">
        <v>18</v>
      </c>
      <c r="D290" t="s">
        <v>17</v>
      </c>
      <c r="E290" t="s">
        <v>1077</v>
      </c>
      <c r="F290" t="s">
        <v>1078</v>
      </c>
      <c r="G290" t="s">
        <v>1048</v>
      </c>
      <c r="H290" s="30">
        <v>24.44</v>
      </c>
      <c r="I290" s="29">
        <f>H290*(1-IFERROR(VLOOKUP(G290,Rabat!$D$10:$E$41,2,FALSE),0))</f>
        <v>24.44</v>
      </c>
      <c r="J290" t="s">
        <v>1903</v>
      </c>
      <c r="K290" t="s">
        <v>225</v>
      </c>
      <c r="L290" t="s">
        <v>1901</v>
      </c>
      <c r="M290">
        <v>60</v>
      </c>
      <c r="N290">
        <v>1600</v>
      </c>
      <c r="O290" t="s">
        <v>3434</v>
      </c>
      <c r="P290" s="31" t="str">
        <f>HYPERLINK("https://b2b.kobi.pl/pl/product/9987,naswietlacz-led-mh-20w-6500k-ip65-czarny-led2b?currency=PLN")</f>
        <v>https://b2b.kobi.pl/pl/product/9987,naswietlacz-led-mh-20w-6500k-ip65-czarny-led2b?currency=PLN</v>
      </c>
      <c r="Q290" s="31" t="str">
        <f>HYPERLINK("https://eprel.ec.europa.eu/qr/760361")</f>
        <v>https://eprel.ec.europa.eu/qr/760361</v>
      </c>
      <c r="R290"/>
      <c r="S290" t="s">
        <v>2677</v>
      </c>
      <c r="T290"/>
      <c r="U290">
        <v>0.18</v>
      </c>
      <c r="V290">
        <v>0.21</v>
      </c>
      <c r="W290">
        <v>11</v>
      </c>
      <c r="X290">
        <v>11</v>
      </c>
      <c r="Y290">
        <v>3.5</v>
      </c>
    </row>
    <row r="291" spans="1:25" ht="60" customHeight="1" x14ac:dyDescent="0.25">
      <c r="A291"/>
      <c r="B291" t="s">
        <v>4</v>
      </c>
      <c r="C291" t="s">
        <v>18</v>
      </c>
      <c r="D291" t="s">
        <v>17</v>
      </c>
      <c r="E291" t="s">
        <v>2115</v>
      </c>
      <c r="F291" t="s">
        <v>2116</v>
      </c>
      <c r="G291" t="s">
        <v>1048</v>
      </c>
      <c r="H291" s="30">
        <v>34.44</v>
      </c>
      <c r="I291" s="29">
        <f>H291*(1-IFERROR(VLOOKUP(G291,Rabat!$D$10:$E$41,2,FALSE),0))</f>
        <v>34.44</v>
      </c>
      <c r="J291" t="s">
        <v>1903</v>
      </c>
      <c r="K291" t="s">
        <v>2152</v>
      </c>
      <c r="L291" t="s">
        <v>1901</v>
      </c>
      <c r="M291">
        <v>40</v>
      </c>
      <c r="N291">
        <v>1600</v>
      </c>
      <c r="O291" t="s">
        <v>3434</v>
      </c>
      <c r="P291" s="31" t="str">
        <f>HYPERLINK("https://b2b.kobi.pl/pl/product/9990,naswietlacz-led-mh-30w-4000k-ip65-czarny-led2b?currency=PLN")</f>
        <v>https://b2b.kobi.pl/pl/product/9990,naswietlacz-led-mh-30w-4000k-ip65-czarny-led2b?currency=PLN</v>
      </c>
      <c r="Q291" s="31" t="str">
        <f>HYPERLINK("https://eprel.ec.europa.eu/qr/760363")</f>
        <v>https://eprel.ec.europa.eu/qr/760363</v>
      </c>
      <c r="R291"/>
      <c r="S291" t="s">
        <v>2677</v>
      </c>
      <c r="T291"/>
      <c r="U291">
        <v>0.27</v>
      </c>
      <c r="V291">
        <v>0.32</v>
      </c>
      <c r="W291">
        <v>14.5</v>
      </c>
      <c r="X291">
        <v>13.5</v>
      </c>
      <c r="Y291">
        <v>3.5</v>
      </c>
    </row>
    <row r="292" spans="1:25" ht="60" customHeight="1" x14ac:dyDescent="0.25">
      <c r="A292"/>
      <c r="B292" t="s">
        <v>4</v>
      </c>
      <c r="C292" t="s">
        <v>18</v>
      </c>
      <c r="D292" t="s">
        <v>17</v>
      </c>
      <c r="E292" t="s">
        <v>2117</v>
      </c>
      <c r="F292" t="s">
        <v>2118</v>
      </c>
      <c r="G292" t="s">
        <v>1048</v>
      </c>
      <c r="H292" s="30">
        <v>34.44</v>
      </c>
      <c r="I292" s="29">
        <f>H292*(1-IFERROR(VLOOKUP(G292,Rabat!$D$10:$E$41,2,FALSE),0))</f>
        <v>34.44</v>
      </c>
      <c r="J292" t="s">
        <v>1903</v>
      </c>
      <c r="K292" t="s">
        <v>2153</v>
      </c>
      <c r="L292" t="s">
        <v>1901</v>
      </c>
      <c r="M292">
        <v>40</v>
      </c>
      <c r="N292">
        <v>1600</v>
      </c>
      <c r="O292" t="s">
        <v>3434</v>
      </c>
      <c r="P292" s="31" t="str">
        <f>HYPERLINK("https://b2b.kobi.pl/pl/product/9992,naswietlacz-led-mh-30w-6500k-ip65-czarny-led2b?currency=PLN")</f>
        <v>https://b2b.kobi.pl/pl/product/9992,naswietlacz-led-mh-30w-6500k-ip65-czarny-led2b?currency=PLN</v>
      </c>
      <c r="Q292" s="31" t="str">
        <f>HYPERLINK("https://eprel.ec.europa.eu/qr/760365")</f>
        <v>https://eprel.ec.europa.eu/qr/760365</v>
      </c>
      <c r="R292"/>
      <c r="S292" t="s">
        <v>2677</v>
      </c>
      <c r="T292"/>
      <c r="U292">
        <v>0.27</v>
      </c>
      <c r="V292">
        <v>0.32</v>
      </c>
      <c r="W292">
        <v>14.5</v>
      </c>
      <c r="X292">
        <v>13.5</v>
      </c>
      <c r="Y292">
        <v>3.5</v>
      </c>
    </row>
    <row r="293" spans="1:25" ht="60" customHeight="1" x14ac:dyDescent="0.25">
      <c r="A293"/>
      <c r="B293" t="s">
        <v>4</v>
      </c>
      <c r="C293" t="s">
        <v>18</v>
      </c>
      <c r="D293" t="s">
        <v>17</v>
      </c>
      <c r="E293" t="s">
        <v>2119</v>
      </c>
      <c r="F293" t="s">
        <v>2120</v>
      </c>
      <c r="G293" t="s">
        <v>1048</v>
      </c>
      <c r="H293" s="30">
        <v>48.89</v>
      </c>
      <c r="I293" s="29">
        <f>H293*(1-IFERROR(VLOOKUP(G293,Rabat!$D$10:$E$41,2,FALSE),0))</f>
        <v>48.89</v>
      </c>
      <c r="J293" t="s">
        <v>1903</v>
      </c>
      <c r="K293" t="s">
        <v>2154</v>
      </c>
      <c r="L293" t="s">
        <v>1901</v>
      </c>
      <c r="M293">
        <v>30</v>
      </c>
      <c r="N293">
        <v>960</v>
      </c>
      <c r="O293" t="s">
        <v>3434</v>
      </c>
      <c r="P293" s="31" t="str">
        <f>HYPERLINK("https://b2b.kobi.pl/pl/product/9995,naswietlacz-led-mh-50w-4000k-ip65-czarny-led2b?currency=PLN")</f>
        <v>https://b2b.kobi.pl/pl/product/9995,naswietlacz-led-mh-50w-4000k-ip65-czarny-led2b?currency=PLN</v>
      </c>
      <c r="Q293" s="31" t="str">
        <f>HYPERLINK("https://eprel.ec.europa.eu/qr/760369")</f>
        <v>https://eprel.ec.europa.eu/qr/760369</v>
      </c>
      <c r="R293"/>
      <c r="S293" t="s">
        <v>2677</v>
      </c>
      <c r="T293"/>
      <c r="U293">
        <v>0.41</v>
      </c>
      <c r="V293">
        <v>0.47</v>
      </c>
      <c r="W293">
        <v>19.5</v>
      </c>
      <c r="X293">
        <v>17.5</v>
      </c>
      <c r="Y293">
        <v>3.5</v>
      </c>
    </row>
    <row r="294" spans="1:25" ht="60" customHeight="1" x14ac:dyDescent="0.25">
      <c r="A294"/>
      <c r="B294" t="s">
        <v>4</v>
      </c>
      <c r="C294" t="s">
        <v>18</v>
      </c>
      <c r="D294" t="s">
        <v>17</v>
      </c>
      <c r="E294" t="s">
        <v>2121</v>
      </c>
      <c r="F294" t="s">
        <v>2122</v>
      </c>
      <c r="G294" t="s">
        <v>1048</v>
      </c>
      <c r="H294" s="30">
        <v>48.89</v>
      </c>
      <c r="I294" s="29">
        <f>H294*(1-IFERROR(VLOOKUP(G294,Rabat!$D$10:$E$41,2,FALSE),0))</f>
        <v>48.89</v>
      </c>
      <c r="J294" t="s">
        <v>1903</v>
      </c>
      <c r="K294" t="s">
        <v>2155</v>
      </c>
      <c r="L294" t="s">
        <v>1901</v>
      </c>
      <c r="M294">
        <v>30</v>
      </c>
      <c r="N294">
        <v>960</v>
      </c>
      <c r="O294" t="s">
        <v>3434</v>
      </c>
      <c r="P294" s="31" t="str">
        <f>HYPERLINK("https://b2b.kobi.pl/pl/product/9997,naswietlacz-led-mh-50w-6500k-ip65-czarny-led2b?currency=PLN")</f>
        <v>https://b2b.kobi.pl/pl/product/9997,naswietlacz-led-mh-50w-6500k-ip65-czarny-led2b?currency=PLN</v>
      </c>
      <c r="Q294" s="31" t="str">
        <f>HYPERLINK("https://eprel.ec.europa.eu/qr/760371")</f>
        <v>https://eprel.ec.europa.eu/qr/760371</v>
      </c>
      <c r="R294"/>
      <c r="S294" t="s">
        <v>2677</v>
      </c>
      <c r="T294"/>
      <c r="U294">
        <v>0.41</v>
      </c>
      <c r="V294">
        <v>0.47</v>
      </c>
      <c r="W294">
        <v>19.5</v>
      </c>
      <c r="X294">
        <v>17.5</v>
      </c>
      <c r="Y294">
        <v>3.5</v>
      </c>
    </row>
    <row r="295" spans="1:25" ht="60" customHeight="1" x14ac:dyDescent="0.25">
      <c r="A295"/>
      <c r="B295" t="s">
        <v>4</v>
      </c>
      <c r="C295" t="s">
        <v>18</v>
      </c>
      <c r="D295" t="s">
        <v>17</v>
      </c>
      <c r="E295" t="s">
        <v>2123</v>
      </c>
      <c r="F295" t="s">
        <v>2124</v>
      </c>
      <c r="G295" t="s">
        <v>1048</v>
      </c>
      <c r="H295" s="30">
        <v>90</v>
      </c>
      <c r="I295" s="29">
        <f>H295*(1-IFERROR(VLOOKUP(G295,Rabat!$D$10:$E$41,2,FALSE),0))</f>
        <v>90</v>
      </c>
      <c r="J295" t="s">
        <v>1903</v>
      </c>
      <c r="K295" t="s">
        <v>2156</v>
      </c>
      <c r="L295" t="s">
        <v>1901</v>
      </c>
      <c r="M295">
        <v>10</v>
      </c>
      <c r="N295">
        <v>510</v>
      </c>
      <c r="O295" t="s">
        <v>3434</v>
      </c>
      <c r="P295" s="31" t="str">
        <f>HYPERLINK("https://b2b.kobi.pl/pl/product/9975,naswietlacz-led-mh-100w-4000k-ip65-czarny-led2b?currency=PLN")</f>
        <v>https://b2b.kobi.pl/pl/product/9975,naswietlacz-led-mh-100w-4000k-ip65-czarny-led2b?currency=PLN</v>
      </c>
      <c r="Q295" s="31" t="str">
        <f>HYPERLINK("https://eprel.ec.europa.eu/qr/760373")</f>
        <v>https://eprel.ec.europa.eu/qr/760373</v>
      </c>
      <c r="R295"/>
      <c r="S295" t="s">
        <v>2677</v>
      </c>
      <c r="T295"/>
      <c r="U295">
        <v>0.9</v>
      </c>
      <c r="V295">
        <v>0.98</v>
      </c>
      <c r="W295">
        <v>28</v>
      </c>
      <c r="X295">
        <v>22.5</v>
      </c>
      <c r="Y295">
        <v>3.5</v>
      </c>
    </row>
    <row r="296" spans="1:25" ht="60" customHeight="1" x14ac:dyDescent="0.25">
      <c r="A296"/>
      <c r="B296" t="s">
        <v>4</v>
      </c>
      <c r="C296" t="s">
        <v>18</v>
      </c>
      <c r="D296" t="s">
        <v>17</v>
      </c>
      <c r="E296" t="s">
        <v>2125</v>
      </c>
      <c r="F296" t="s">
        <v>2126</v>
      </c>
      <c r="G296" t="s">
        <v>1048</v>
      </c>
      <c r="H296" s="30">
        <v>90</v>
      </c>
      <c r="I296" s="29">
        <f>H296*(1-IFERROR(VLOOKUP(G296,Rabat!$D$10:$E$41,2,FALSE),0))</f>
        <v>90</v>
      </c>
      <c r="J296" t="s">
        <v>1903</v>
      </c>
      <c r="K296" t="s">
        <v>2157</v>
      </c>
      <c r="L296" t="s">
        <v>1901</v>
      </c>
      <c r="M296">
        <v>10</v>
      </c>
      <c r="N296">
        <v>400</v>
      </c>
      <c r="O296" t="s">
        <v>3434</v>
      </c>
      <c r="P296" s="31" t="str">
        <f>HYPERLINK("https://b2b.kobi.pl/pl/product/9977,naswietlacz-led-mh-100w-6500k-ip65-czarny-led2b?currency=PLN")</f>
        <v>https://b2b.kobi.pl/pl/product/9977,naswietlacz-led-mh-100w-6500k-ip65-czarny-led2b?currency=PLN</v>
      </c>
      <c r="Q296" s="31" t="str">
        <f>HYPERLINK("https://eprel.ec.europa.eu/qr/760374")</f>
        <v>https://eprel.ec.europa.eu/qr/760374</v>
      </c>
      <c r="R296"/>
      <c r="S296" t="s">
        <v>2677</v>
      </c>
      <c r="T296"/>
      <c r="U296">
        <v>0.9</v>
      </c>
      <c r="V296">
        <v>0.98</v>
      </c>
      <c r="W296">
        <v>28</v>
      </c>
      <c r="X296">
        <v>22.5</v>
      </c>
      <c r="Y296">
        <v>3.5</v>
      </c>
    </row>
    <row r="297" spans="1:25" ht="60" customHeight="1" x14ac:dyDescent="0.25">
      <c r="A297"/>
      <c r="B297" t="s">
        <v>4</v>
      </c>
      <c r="C297" t="s">
        <v>18</v>
      </c>
      <c r="D297" t="s">
        <v>17</v>
      </c>
      <c r="E297" t="s">
        <v>1087</v>
      </c>
      <c r="F297" t="s">
        <v>1088</v>
      </c>
      <c r="G297" t="s">
        <v>1048</v>
      </c>
      <c r="H297" s="30">
        <v>46.44</v>
      </c>
      <c r="I297" s="29">
        <f>H297*(1-IFERROR(VLOOKUP(G297,Rabat!$D$10:$E$41,2,FALSE),0))</f>
        <v>46.44</v>
      </c>
      <c r="J297" t="s">
        <v>1903</v>
      </c>
      <c r="K297" t="s">
        <v>229</v>
      </c>
      <c r="L297" t="s">
        <v>1901</v>
      </c>
      <c r="M297">
        <v>60</v>
      </c>
      <c r="N297">
        <v>960</v>
      </c>
      <c r="O297" t="s">
        <v>3434</v>
      </c>
      <c r="P297" s="31" t="str">
        <f>HYPERLINK("https://b2b.kobi.pl/pl/product/10000,naswietlaczz-czujnikiem-ruchu-led-mhc-10w-3000k-ip44-czarny-led2b?currency=PLN")</f>
        <v>https://b2b.kobi.pl/pl/product/10000,naswietlaczz-czujnikiem-ruchu-led-mhc-10w-3000k-ip44-czarny-led2b?currency=PLN</v>
      </c>
      <c r="Q297" s="31" t="str">
        <f>HYPERLINK("https://eprel.ec.europa.eu/qr/941688")</f>
        <v>https://eprel.ec.europa.eu/qr/941688</v>
      </c>
      <c r="R297" t="s">
        <v>2035</v>
      </c>
      <c r="S297" t="s">
        <v>2677</v>
      </c>
      <c r="T297"/>
      <c r="U297">
        <v>0.23499999999999999</v>
      </c>
      <c r="V297">
        <v>0.26300000000000001</v>
      </c>
      <c r="W297">
        <v>11.5</v>
      </c>
      <c r="X297">
        <v>4.8</v>
      </c>
      <c r="Y297">
        <v>16</v>
      </c>
    </row>
    <row r="298" spans="1:25" ht="60" customHeight="1" x14ac:dyDescent="0.25">
      <c r="A298"/>
      <c r="B298" t="s">
        <v>4</v>
      </c>
      <c r="C298" t="s">
        <v>18</v>
      </c>
      <c r="D298" t="s">
        <v>17</v>
      </c>
      <c r="E298" t="s">
        <v>2055</v>
      </c>
      <c r="F298" t="s">
        <v>1089</v>
      </c>
      <c r="G298" t="s">
        <v>1048</v>
      </c>
      <c r="H298" s="30">
        <v>46.44</v>
      </c>
      <c r="I298" s="29">
        <f>H298*(1-IFERROR(VLOOKUP(G298,Rabat!$D$10:$E$41,2,FALSE),0))</f>
        <v>46.44</v>
      </c>
      <c r="J298" t="s">
        <v>1903</v>
      </c>
      <c r="K298" t="s">
        <v>230</v>
      </c>
      <c r="L298" t="s">
        <v>1901</v>
      </c>
      <c r="M298">
        <v>60</v>
      </c>
      <c r="N298">
        <v>960</v>
      </c>
      <c r="O298" t="s">
        <v>3434</v>
      </c>
      <c r="P298" s="31" t="str">
        <f>HYPERLINK("https://b2b.kobi.pl/pl/product/10001,naswietlaczz-czujnikiem-ruchu-led-mhc-10w-4000k-ip44-czarny-led2b?currency=PLN")</f>
        <v>https://b2b.kobi.pl/pl/product/10001,naswietlaczz-czujnikiem-ruchu-led-mhc-10w-4000k-ip44-czarny-led2b?currency=PLN</v>
      </c>
      <c r="Q298" s="31" t="str">
        <f>HYPERLINK("https://eprel.ec.europa.eu/qr/760375")</f>
        <v>https://eprel.ec.europa.eu/qr/760375</v>
      </c>
      <c r="R298"/>
      <c r="S298" t="s">
        <v>2677</v>
      </c>
      <c r="T298"/>
      <c r="U298">
        <v>0.19</v>
      </c>
      <c r="V298">
        <v>0.23</v>
      </c>
      <c r="W298">
        <v>10</v>
      </c>
      <c r="X298">
        <v>15.5</v>
      </c>
      <c r="Y298">
        <v>5</v>
      </c>
    </row>
    <row r="299" spans="1:25" ht="60" customHeight="1" x14ac:dyDescent="0.25">
      <c r="A299"/>
      <c r="B299" t="s">
        <v>4</v>
      </c>
      <c r="C299" t="s">
        <v>18</v>
      </c>
      <c r="D299" t="s">
        <v>17</v>
      </c>
      <c r="E299" t="s">
        <v>2112</v>
      </c>
      <c r="F299" t="s">
        <v>1091</v>
      </c>
      <c r="G299" t="s">
        <v>1048</v>
      </c>
      <c r="H299" s="30">
        <v>46.44</v>
      </c>
      <c r="I299" s="29">
        <f>H299*(1-IFERROR(VLOOKUP(G299,Rabat!$D$10:$E$41,2,FALSE),0))</f>
        <v>46.44</v>
      </c>
      <c r="J299" t="s">
        <v>1903</v>
      </c>
      <c r="K299" t="s">
        <v>231</v>
      </c>
      <c r="L299" t="s">
        <v>1901</v>
      </c>
      <c r="M299">
        <v>60</v>
      </c>
      <c r="N299">
        <v>960</v>
      </c>
      <c r="O299" t="s">
        <v>3434</v>
      </c>
      <c r="P299" s="31" t="str">
        <f>HYPERLINK("https://b2b.kobi.pl/pl/product/10003,naswietlacz-z-czujnikiem-ruchu-led-mhc-10w-6500k-ip44-czarny-led2b?currency=PLN")</f>
        <v>https://b2b.kobi.pl/pl/product/10003,naswietlacz-z-czujnikiem-ruchu-led-mhc-10w-6500k-ip44-czarny-led2b?currency=PLN</v>
      </c>
      <c r="Q299" s="31" t="str">
        <f>HYPERLINK("https://eprel.ec.europa.eu/qr/760379")</f>
        <v>https://eprel.ec.europa.eu/qr/760379</v>
      </c>
      <c r="R299"/>
      <c r="S299" t="s">
        <v>2677</v>
      </c>
      <c r="T299"/>
      <c r="U299">
        <v>0.19</v>
      </c>
      <c r="V299">
        <v>0.23</v>
      </c>
      <c r="W299">
        <v>10</v>
      </c>
      <c r="X299">
        <v>15.5</v>
      </c>
      <c r="Y299">
        <v>5</v>
      </c>
    </row>
    <row r="300" spans="1:25" ht="60" customHeight="1" x14ac:dyDescent="0.25">
      <c r="A300"/>
      <c r="B300" t="s">
        <v>4</v>
      </c>
      <c r="C300" t="s">
        <v>18</v>
      </c>
      <c r="D300" t="s">
        <v>17</v>
      </c>
      <c r="E300" t="s">
        <v>2127</v>
      </c>
      <c r="F300" t="s">
        <v>2128</v>
      </c>
      <c r="G300" t="s">
        <v>1048</v>
      </c>
      <c r="H300" s="30">
        <v>54.44</v>
      </c>
      <c r="I300" s="29">
        <f>H300*(1-IFERROR(VLOOKUP(G300,Rabat!$D$10:$E$41,2,FALSE),0))</f>
        <v>54.44</v>
      </c>
      <c r="J300" t="s">
        <v>1903</v>
      </c>
      <c r="K300" t="s">
        <v>2158</v>
      </c>
      <c r="L300" t="s">
        <v>1901</v>
      </c>
      <c r="M300">
        <v>60</v>
      </c>
      <c r="N300">
        <v>1200</v>
      </c>
      <c r="O300" t="s">
        <v>3434</v>
      </c>
      <c r="P300" s="31" t="str">
        <f>HYPERLINK("https://b2b.kobi.pl/pl/product/10006,naswietlacz-z-czujnikiem-ruchu-led-mhc-20w-4000k-ip65-czarny-led2b?currency=PLN")</f>
        <v>https://b2b.kobi.pl/pl/product/10006,naswietlacz-z-czujnikiem-ruchu-led-mhc-20w-4000k-ip65-czarny-led2b?currency=PLN</v>
      </c>
      <c r="Q300" s="31" t="str">
        <f>HYPERLINK("https://eprel.ec.europa.eu/qr/760438")</f>
        <v>https://eprel.ec.europa.eu/qr/760438</v>
      </c>
      <c r="R300"/>
      <c r="S300" t="s">
        <v>2677</v>
      </c>
      <c r="T300"/>
      <c r="U300">
        <v>0.22</v>
      </c>
      <c r="V300">
        <v>0.27</v>
      </c>
      <c r="W300">
        <v>11.5</v>
      </c>
      <c r="X300">
        <v>16</v>
      </c>
      <c r="Y300">
        <v>5</v>
      </c>
    </row>
    <row r="301" spans="1:25" ht="60" customHeight="1" x14ac:dyDescent="0.25">
      <c r="A301"/>
      <c r="B301" t="s">
        <v>4</v>
      </c>
      <c r="C301" t="s">
        <v>18</v>
      </c>
      <c r="D301" t="s">
        <v>17</v>
      </c>
      <c r="E301" t="s">
        <v>2129</v>
      </c>
      <c r="F301" t="s">
        <v>2130</v>
      </c>
      <c r="G301" t="s">
        <v>1048</v>
      </c>
      <c r="H301" s="30">
        <v>54.44</v>
      </c>
      <c r="I301" s="29">
        <f>H301*(1-IFERROR(VLOOKUP(G301,Rabat!$D$10:$E$41,2,FALSE),0))</f>
        <v>54.44</v>
      </c>
      <c r="J301" t="s">
        <v>1903</v>
      </c>
      <c r="K301" t="s">
        <v>2159</v>
      </c>
      <c r="L301" t="s">
        <v>1901</v>
      </c>
      <c r="M301">
        <v>60</v>
      </c>
      <c r="N301">
        <v>1200</v>
      </c>
      <c r="O301" t="s">
        <v>3434</v>
      </c>
      <c r="P301" s="31" t="str">
        <f>HYPERLINK("https://b2b.kobi.pl/pl/product/10008,naswietlacz-z-czujnikiem-ruchu-led-mhc-20w-6500k-ip65-czarny-led2b?currency=PLN")</f>
        <v>https://b2b.kobi.pl/pl/product/10008,naswietlacz-z-czujnikiem-ruchu-led-mhc-20w-6500k-ip65-czarny-led2b?currency=PLN</v>
      </c>
      <c r="Q301" s="31" t="str">
        <f>HYPERLINK("https://eprel.ec.europa.eu/qr/760441")</f>
        <v>https://eprel.ec.europa.eu/qr/760441</v>
      </c>
      <c r="R301"/>
      <c r="S301" t="s">
        <v>2677</v>
      </c>
      <c r="T301"/>
      <c r="U301">
        <v>0.22</v>
      </c>
      <c r="V301">
        <v>0.27</v>
      </c>
      <c r="W301">
        <v>11.5</v>
      </c>
      <c r="X301">
        <v>16</v>
      </c>
      <c r="Y301">
        <v>5</v>
      </c>
    </row>
    <row r="302" spans="1:25" ht="60" customHeight="1" x14ac:dyDescent="0.25">
      <c r="A302"/>
      <c r="B302" t="s">
        <v>4</v>
      </c>
      <c r="C302" t="s">
        <v>18</v>
      </c>
      <c r="D302" t="s">
        <v>17</v>
      </c>
      <c r="E302" t="s">
        <v>2131</v>
      </c>
      <c r="F302" t="s">
        <v>2132</v>
      </c>
      <c r="G302" t="s">
        <v>1048</v>
      </c>
      <c r="H302" s="30">
        <v>64.22</v>
      </c>
      <c r="I302" s="29">
        <f>H302*(1-IFERROR(VLOOKUP(G302,Rabat!$D$10:$E$41,2,FALSE),0))</f>
        <v>64.22</v>
      </c>
      <c r="J302" t="s">
        <v>1903</v>
      </c>
      <c r="K302" t="s">
        <v>2160</v>
      </c>
      <c r="L302" t="s">
        <v>1901</v>
      </c>
      <c r="M302">
        <v>20</v>
      </c>
      <c r="N302">
        <v>800</v>
      </c>
      <c r="O302" t="s">
        <v>3434</v>
      </c>
      <c r="P302" s="31" t="str">
        <f>HYPERLINK("https://b2b.kobi.pl/pl/product/10011,naswietlacz-z-czujnikiem-ruchu-led-mhc-30w-4000k-ip65-czarny-led2b?currency=PLN")</f>
        <v>https://b2b.kobi.pl/pl/product/10011,naswietlacz-z-czujnikiem-ruchu-led-mhc-30w-4000k-ip65-czarny-led2b?currency=PLN</v>
      </c>
      <c r="Q302" s="31" t="str">
        <f>HYPERLINK("https://eprel.ec.europa.eu/qr/760443")</f>
        <v>https://eprel.ec.europa.eu/qr/760443</v>
      </c>
      <c r="R302"/>
      <c r="S302" t="s">
        <v>2677</v>
      </c>
      <c r="T302"/>
      <c r="U302">
        <v>0.32</v>
      </c>
      <c r="V302">
        <v>0.37</v>
      </c>
      <c r="W302">
        <v>15</v>
      </c>
      <c r="X302">
        <v>18</v>
      </c>
      <c r="Y302">
        <v>5</v>
      </c>
    </row>
    <row r="303" spans="1:25" ht="60" customHeight="1" x14ac:dyDescent="0.25">
      <c r="A303"/>
      <c r="B303" t="s">
        <v>4</v>
      </c>
      <c r="C303" t="s">
        <v>18</v>
      </c>
      <c r="D303" t="s">
        <v>17</v>
      </c>
      <c r="E303" t="s">
        <v>2056</v>
      </c>
      <c r="F303" t="s">
        <v>1095</v>
      </c>
      <c r="G303" t="s">
        <v>1048</v>
      </c>
      <c r="H303" s="30">
        <v>64.22</v>
      </c>
      <c r="I303" s="29">
        <f>H303*(1-IFERROR(VLOOKUP(G303,Rabat!$D$10:$E$41,2,FALSE),0))</f>
        <v>64.22</v>
      </c>
      <c r="J303" t="s">
        <v>1903</v>
      </c>
      <c r="K303" t="s">
        <v>232</v>
      </c>
      <c r="L303" t="s">
        <v>1901</v>
      </c>
      <c r="M303">
        <v>20</v>
      </c>
      <c r="N303">
        <v>800</v>
      </c>
      <c r="O303" t="s">
        <v>3434</v>
      </c>
      <c r="P303" s="31" t="str">
        <f>HYPERLINK("https://b2b.kobi.pl/pl/product/10013,naswietlacz-z-czujnikiem-ruchu-led-mhc-30w-6500k-ip44-czarny-led2b?currency=PLN")</f>
        <v>https://b2b.kobi.pl/pl/product/10013,naswietlacz-z-czujnikiem-ruchu-led-mhc-30w-6500k-ip44-czarny-led2b?currency=PLN</v>
      </c>
      <c r="Q303" s="31" t="str">
        <f>HYPERLINK("https://eprel.ec.europa.eu/qr/760445")</f>
        <v>https://eprel.ec.europa.eu/qr/760445</v>
      </c>
      <c r="R303"/>
      <c r="S303" t="s">
        <v>2677</v>
      </c>
      <c r="T303"/>
      <c r="U303">
        <v>0.32</v>
      </c>
      <c r="V303">
        <v>0.37</v>
      </c>
      <c r="W303">
        <v>15</v>
      </c>
      <c r="X303">
        <v>18</v>
      </c>
      <c r="Y303">
        <v>5</v>
      </c>
    </row>
    <row r="304" spans="1:25" ht="60" customHeight="1" x14ac:dyDescent="0.25">
      <c r="A304"/>
      <c r="B304" t="s">
        <v>4</v>
      </c>
      <c r="C304" t="s">
        <v>18</v>
      </c>
      <c r="D304" t="s">
        <v>17</v>
      </c>
      <c r="E304" t="s">
        <v>1097</v>
      </c>
      <c r="F304" t="s">
        <v>1098</v>
      </c>
      <c r="G304" t="s">
        <v>1048</v>
      </c>
      <c r="H304" s="30">
        <v>76.67</v>
      </c>
      <c r="I304" s="29">
        <f>H304*(1-IFERROR(VLOOKUP(G304,Rabat!$D$10:$E$41,2,FALSE),0))</f>
        <v>76.67</v>
      </c>
      <c r="J304" t="s">
        <v>1903</v>
      </c>
      <c r="K304" t="s">
        <v>233</v>
      </c>
      <c r="L304" t="s">
        <v>1901</v>
      </c>
      <c r="M304">
        <v>20</v>
      </c>
      <c r="N304">
        <v>400</v>
      </c>
      <c r="O304" t="s">
        <v>3434</v>
      </c>
      <c r="P304" s="31" t="str">
        <f>HYPERLINK("https://b2b.kobi.pl/pl/product/10015,naswietlacz-z-czujnikiem-ruchu-led-mhc-50w-3000k-ip44-czarny-led2b?currency=PLN")</f>
        <v>https://b2b.kobi.pl/pl/product/10015,naswietlacz-z-czujnikiem-ruchu-led-mhc-50w-3000k-ip44-czarny-led2b?currency=PLN</v>
      </c>
      <c r="Q304" s="31" t="str">
        <f>HYPERLINK("https://eprel.ec.europa.eu/qr/943719")</f>
        <v>https://eprel.ec.europa.eu/qr/943719</v>
      </c>
      <c r="R304" t="s">
        <v>2035</v>
      </c>
      <c r="S304" t="s">
        <v>2677</v>
      </c>
      <c r="T304"/>
      <c r="U304">
        <v>0.63200000000000001</v>
      </c>
      <c r="V304">
        <v>0.752</v>
      </c>
      <c r="W304">
        <v>22.2</v>
      </c>
      <c r="X304">
        <v>4.7</v>
      </c>
      <c r="Y304">
        <v>23.4</v>
      </c>
    </row>
    <row r="305" spans="1:25" ht="60" customHeight="1" x14ac:dyDescent="0.25">
      <c r="A305"/>
      <c r="B305" t="s">
        <v>4</v>
      </c>
      <c r="C305" t="s">
        <v>18</v>
      </c>
      <c r="D305" t="s">
        <v>17</v>
      </c>
      <c r="E305" t="s">
        <v>2133</v>
      </c>
      <c r="F305" t="s">
        <v>2134</v>
      </c>
      <c r="G305" t="s">
        <v>1048</v>
      </c>
      <c r="H305" s="30">
        <v>76.67</v>
      </c>
      <c r="I305" s="29">
        <f>H305*(1-IFERROR(VLOOKUP(G305,Rabat!$D$10:$E$41,2,FALSE),0))</f>
        <v>76.67</v>
      </c>
      <c r="J305" t="s">
        <v>1903</v>
      </c>
      <c r="K305" t="s">
        <v>2161</v>
      </c>
      <c r="L305" t="s">
        <v>1901</v>
      </c>
      <c r="M305">
        <v>20</v>
      </c>
      <c r="N305">
        <v>600</v>
      </c>
      <c r="O305" t="s">
        <v>3434</v>
      </c>
      <c r="P305" s="31" t="str">
        <f>HYPERLINK("https://b2b.kobi.pl/pl/product/10016,naswietlacz-z-czujnikiem-ruchu-led-mhc-50w-4000k-ip65-czarny-led2b?currency=PLN")</f>
        <v>https://b2b.kobi.pl/pl/product/10016,naswietlacz-z-czujnikiem-ruchu-led-mhc-50w-4000k-ip65-czarny-led2b?currency=PLN</v>
      </c>
      <c r="Q305" s="31" t="str">
        <f>HYPERLINK("https://eprel.ec.europa.eu/qr/760446")</f>
        <v>https://eprel.ec.europa.eu/qr/760446</v>
      </c>
      <c r="R305"/>
      <c r="S305" t="s">
        <v>2677</v>
      </c>
      <c r="T305"/>
      <c r="U305">
        <v>0.47</v>
      </c>
      <c r="V305">
        <v>0.54</v>
      </c>
      <c r="W305">
        <v>19.5</v>
      </c>
      <c r="X305">
        <v>21.5</v>
      </c>
      <c r="Y305">
        <v>5</v>
      </c>
    </row>
    <row r="306" spans="1:25" ht="60" customHeight="1" x14ac:dyDescent="0.25">
      <c r="A306"/>
      <c r="B306" t="s">
        <v>4</v>
      </c>
      <c r="C306" t="s">
        <v>18</v>
      </c>
      <c r="D306" t="s">
        <v>17</v>
      </c>
      <c r="E306" t="s">
        <v>2135</v>
      </c>
      <c r="F306" t="s">
        <v>2136</v>
      </c>
      <c r="G306" t="s">
        <v>1048</v>
      </c>
      <c r="H306" s="30">
        <v>76.67</v>
      </c>
      <c r="I306" s="29">
        <f>H306*(1-IFERROR(VLOOKUP(G306,Rabat!$D$10:$E$41,2,FALSE),0))</f>
        <v>76.67</v>
      </c>
      <c r="J306" t="s">
        <v>1903</v>
      </c>
      <c r="K306" t="s">
        <v>2162</v>
      </c>
      <c r="L306" t="s">
        <v>1901</v>
      </c>
      <c r="M306">
        <v>20</v>
      </c>
      <c r="N306">
        <v>480</v>
      </c>
      <c r="O306" t="s">
        <v>3434</v>
      </c>
      <c r="P306" s="31" t="str">
        <f>HYPERLINK("https://b2b.kobi.pl/pl/product/10018,naswietlacz-z-czujnikiem-ruchu-led-mhc-50w-6500k-ip65-czarny-led2b?currency=PLN")</f>
        <v>https://b2b.kobi.pl/pl/product/10018,naswietlacz-z-czujnikiem-ruchu-led-mhc-50w-6500k-ip65-czarny-led2b?currency=PLN</v>
      </c>
      <c r="Q306" s="31" t="str">
        <f>HYPERLINK("https://eprel.ec.europa.eu/qr/760449")</f>
        <v>https://eprel.ec.europa.eu/qr/760449</v>
      </c>
      <c r="R306"/>
      <c r="S306" t="s">
        <v>2677</v>
      </c>
      <c r="T306"/>
      <c r="U306">
        <v>0.47</v>
      </c>
      <c r="V306">
        <v>0.54</v>
      </c>
      <c r="W306">
        <v>19.5</v>
      </c>
      <c r="X306">
        <v>21.5</v>
      </c>
      <c r="Y306">
        <v>5</v>
      </c>
    </row>
    <row r="307" spans="1:25" ht="60" customHeight="1" x14ac:dyDescent="0.25">
      <c r="A307"/>
      <c r="B307" t="s">
        <v>4</v>
      </c>
      <c r="C307" t="s">
        <v>18</v>
      </c>
      <c r="D307" t="s">
        <v>1047</v>
      </c>
      <c r="E307" t="s">
        <v>1061</v>
      </c>
      <c r="F307" t="s">
        <v>1062</v>
      </c>
      <c r="G307" t="s">
        <v>1048</v>
      </c>
      <c r="H307" s="30">
        <v>15.11</v>
      </c>
      <c r="I307" s="29">
        <f>H307*(1-IFERROR(VLOOKUP(G307,Rabat!$D$10:$E$41,2,FALSE),0))</f>
        <v>15.11</v>
      </c>
      <c r="J307" t="s">
        <v>1903</v>
      </c>
      <c r="K307" t="s">
        <v>545</v>
      </c>
      <c r="L307" t="s">
        <v>1901</v>
      </c>
      <c r="M307">
        <v>90</v>
      </c>
      <c r="N307">
        <v>3360</v>
      </c>
      <c r="O307" t="s">
        <v>3434</v>
      </c>
      <c r="P307" s="31" t="str">
        <f>HYPERLINK("https://b2b.kobi.pl/pl/product/9981,naswietlacz-led-mh-10w-4000k-ip65-czarny-led2b-red?currency=PLN")</f>
        <v>https://b2b.kobi.pl/pl/product/9981,naswietlacz-led-mh-10w-4000k-ip65-czarny-led2b-red?currency=PLN</v>
      </c>
      <c r="Q307" s="31" t="str">
        <f>HYPERLINK("https://eprel.ec.europa.eu/qr/1984162")</f>
        <v>https://eprel.ec.europa.eu/qr/1984162</v>
      </c>
      <c r="R307"/>
      <c r="S307" t="s">
        <v>2677</v>
      </c>
      <c r="T307"/>
      <c r="U307">
        <v>0.13500000000000001</v>
      </c>
      <c r="V307">
        <v>0.16</v>
      </c>
      <c r="W307">
        <v>10.5</v>
      </c>
      <c r="X307">
        <v>3</v>
      </c>
      <c r="Y307">
        <v>8.5</v>
      </c>
    </row>
    <row r="308" spans="1:25" ht="60" customHeight="1" x14ac:dyDescent="0.25">
      <c r="A308"/>
      <c r="B308" t="s">
        <v>4</v>
      </c>
      <c r="C308" t="s">
        <v>18</v>
      </c>
      <c r="D308" t="s">
        <v>1047</v>
      </c>
      <c r="E308" t="s">
        <v>1069</v>
      </c>
      <c r="F308" t="s">
        <v>1070</v>
      </c>
      <c r="G308" t="s">
        <v>1048</v>
      </c>
      <c r="H308" s="30">
        <v>15.11</v>
      </c>
      <c r="I308" s="29">
        <f>H308*(1-IFERROR(VLOOKUP(G308,Rabat!$D$10:$E$41,2,FALSE),0))</f>
        <v>15.11</v>
      </c>
      <c r="J308" t="s">
        <v>1903</v>
      </c>
      <c r="K308" t="s">
        <v>546</v>
      </c>
      <c r="L308" t="s">
        <v>1901</v>
      </c>
      <c r="M308">
        <v>40</v>
      </c>
      <c r="N308">
        <v>3360</v>
      </c>
      <c r="O308" t="s">
        <v>3434</v>
      </c>
      <c r="P308" s="31" t="str">
        <f>HYPERLINK("https://b2b.kobi.pl/pl/product/9983,naswietlacz-led-mh-10w-6500k-ip65-czarny-led2b-red?currency=PLN")</f>
        <v>https://b2b.kobi.pl/pl/product/9983,naswietlacz-led-mh-10w-6500k-ip65-czarny-led2b-red?currency=PLN</v>
      </c>
      <c r="Q308" s="31" t="str">
        <f>HYPERLINK("https://eprel.ec.europa.eu/qr/1984170")</f>
        <v>https://eprel.ec.europa.eu/qr/1984170</v>
      </c>
      <c r="R308"/>
      <c r="S308" t="s">
        <v>2677</v>
      </c>
      <c r="T308"/>
      <c r="U308">
        <v>0.14000000000000001</v>
      </c>
      <c r="V308">
        <v>0.156</v>
      </c>
      <c r="W308">
        <v>10.9</v>
      </c>
      <c r="X308">
        <v>2.6</v>
      </c>
      <c r="Y308">
        <v>9.6999999999999993</v>
      </c>
    </row>
    <row r="309" spans="1:25" ht="60" customHeight="1" x14ac:dyDescent="0.25">
      <c r="A309"/>
      <c r="B309" t="s">
        <v>4</v>
      </c>
      <c r="C309" t="s">
        <v>18</v>
      </c>
      <c r="D309" t="s">
        <v>1047</v>
      </c>
      <c r="E309" t="s">
        <v>1075</v>
      </c>
      <c r="F309" t="s">
        <v>1076</v>
      </c>
      <c r="G309" t="s">
        <v>1048</v>
      </c>
      <c r="H309" s="30">
        <v>20.64</v>
      </c>
      <c r="I309" s="29">
        <f>H309*(1-IFERROR(VLOOKUP(G309,Rabat!$D$10:$E$41,2,FALSE),0))</f>
        <v>20.64</v>
      </c>
      <c r="J309" t="s">
        <v>1903</v>
      </c>
      <c r="K309" t="s">
        <v>547</v>
      </c>
      <c r="L309" t="s">
        <v>1901</v>
      </c>
      <c r="M309">
        <v>80</v>
      </c>
      <c r="N309">
        <v>1920</v>
      </c>
      <c r="O309" t="s">
        <v>3434</v>
      </c>
      <c r="P309" s="31" t="str">
        <f>HYPERLINK("https://b2b.kobi.pl/pl/product/9986,naswietlacz-led-mh-20w-4000k-ip65-czarny-led2b-red?currency=PLN")</f>
        <v>https://b2b.kobi.pl/pl/product/9986,naswietlacz-led-mh-20w-4000k-ip65-czarny-led2b-red?currency=PLN</v>
      </c>
      <c r="Q309" s="31" t="str">
        <f>HYPERLINK("https://eprel.ec.europa.eu/qr/1984182")</f>
        <v>https://eprel.ec.europa.eu/qr/1984182</v>
      </c>
      <c r="R309"/>
      <c r="S309" t="s">
        <v>2677</v>
      </c>
      <c r="T309"/>
      <c r="U309">
        <v>0.16500000000000001</v>
      </c>
      <c r="V309">
        <v>0.2</v>
      </c>
      <c r="W309">
        <v>11.5</v>
      </c>
      <c r="X309">
        <v>3</v>
      </c>
      <c r="Y309">
        <v>9.5</v>
      </c>
    </row>
    <row r="310" spans="1:25" ht="60" customHeight="1" x14ac:dyDescent="0.25">
      <c r="A310"/>
      <c r="B310" t="s">
        <v>4</v>
      </c>
      <c r="C310" t="s">
        <v>18</v>
      </c>
      <c r="D310" t="s">
        <v>1047</v>
      </c>
      <c r="E310" t="s">
        <v>1079</v>
      </c>
      <c r="F310" t="s">
        <v>1080</v>
      </c>
      <c r="G310" t="s">
        <v>1048</v>
      </c>
      <c r="H310" s="30">
        <v>20.64</v>
      </c>
      <c r="I310" s="29">
        <f>H310*(1-IFERROR(VLOOKUP(G310,Rabat!$D$10:$E$41,2,FALSE),0))</f>
        <v>20.64</v>
      </c>
      <c r="J310" t="s">
        <v>1903</v>
      </c>
      <c r="K310" t="s">
        <v>548</v>
      </c>
      <c r="L310" t="s">
        <v>1901</v>
      </c>
      <c r="M310">
        <v>80</v>
      </c>
      <c r="N310">
        <v>1920</v>
      </c>
      <c r="O310" t="s">
        <v>3434</v>
      </c>
      <c r="P310" s="31" t="str">
        <f>HYPERLINK("https://b2b.kobi.pl/pl/product/9988,naswietlacz-led-mh-20w-6500k-ip65-czarny-led2b-red?currency=PLN")</f>
        <v>https://b2b.kobi.pl/pl/product/9988,naswietlacz-led-mh-20w-6500k-ip65-czarny-led2b-red?currency=PLN</v>
      </c>
      <c r="Q310" s="31" t="str">
        <f>HYPERLINK("https://eprel.ec.europa.eu/qr/1984224")</f>
        <v>https://eprel.ec.europa.eu/qr/1984224</v>
      </c>
      <c r="R310"/>
      <c r="S310" t="s">
        <v>2677</v>
      </c>
      <c r="T310"/>
      <c r="U310">
        <v>0.16500000000000001</v>
      </c>
      <c r="V310">
        <v>0.2</v>
      </c>
      <c r="W310">
        <v>11.5</v>
      </c>
      <c r="X310">
        <v>3</v>
      </c>
      <c r="Y310">
        <v>9.5</v>
      </c>
    </row>
    <row r="311" spans="1:25" ht="60" customHeight="1" x14ac:dyDescent="0.25">
      <c r="A311"/>
      <c r="B311" t="s">
        <v>4</v>
      </c>
      <c r="C311" t="s">
        <v>18</v>
      </c>
      <c r="D311" t="s">
        <v>1047</v>
      </c>
      <c r="E311" t="s">
        <v>1081</v>
      </c>
      <c r="F311" t="s">
        <v>1082</v>
      </c>
      <c r="G311" t="s">
        <v>1048</v>
      </c>
      <c r="H311" s="30">
        <v>25.56</v>
      </c>
      <c r="I311" s="29">
        <f>H311*(1-IFERROR(VLOOKUP(G311,Rabat!$D$10:$E$41,2,FALSE),0))</f>
        <v>25.56</v>
      </c>
      <c r="J311" t="s">
        <v>1903</v>
      </c>
      <c r="K311" t="s">
        <v>549</v>
      </c>
      <c r="L311" t="s">
        <v>1901</v>
      </c>
      <c r="M311">
        <v>60</v>
      </c>
      <c r="N311">
        <v>1800</v>
      </c>
      <c r="O311" t="s">
        <v>3434</v>
      </c>
      <c r="P311" s="31" t="str">
        <f>HYPERLINK("https://b2b.kobi.pl/pl/product/9991,naswietlacz-led-mh-30w-4000k-ip65-czarny-led2b-red?currency=PLN")</f>
        <v>https://b2b.kobi.pl/pl/product/9991,naswietlacz-led-mh-30w-4000k-ip65-czarny-led2b-red?currency=PLN</v>
      </c>
      <c r="Q311" s="31" t="str">
        <f>HYPERLINK("https://eprel.ec.europa.eu/qr/1984250")</f>
        <v>https://eprel.ec.europa.eu/qr/1984250</v>
      </c>
      <c r="R311"/>
      <c r="S311" t="s">
        <v>2677</v>
      </c>
      <c r="T311"/>
      <c r="U311">
        <v>0.23899999999999999</v>
      </c>
      <c r="V311">
        <v>0.34399999999999997</v>
      </c>
      <c r="W311">
        <v>14.5</v>
      </c>
      <c r="X311">
        <v>3</v>
      </c>
      <c r="Y311">
        <v>11</v>
      </c>
    </row>
    <row r="312" spans="1:25" ht="60" customHeight="1" x14ac:dyDescent="0.25">
      <c r="A312"/>
      <c r="B312" t="s">
        <v>4</v>
      </c>
      <c r="C312" t="s">
        <v>18</v>
      </c>
      <c r="D312" t="s">
        <v>1047</v>
      </c>
      <c r="E312" t="s">
        <v>1083</v>
      </c>
      <c r="F312" t="s">
        <v>1084</v>
      </c>
      <c r="G312" t="s">
        <v>1048</v>
      </c>
      <c r="H312" s="30">
        <v>25.56</v>
      </c>
      <c r="I312" s="29">
        <f>H312*(1-IFERROR(VLOOKUP(G312,Rabat!$D$10:$E$41,2,FALSE),0))</f>
        <v>25.56</v>
      </c>
      <c r="J312" t="s">
        <v>1903</v>
      </c>
      <c r="K312" t="s">
        <v>550</v>
      </c>
      <c r="L312" t="s">
        <v>1901</v>
      </c>
      <c r="M312">
        <v>60</v>
      </c>
      <c r="N312">
        <v>1800</v>
      </c>
      <c r="O312" t="s">
        <v>3434</v>
      </c>
      <c r="P312" s="31" t="str">
        <f>HYPERLINK("https://b2b.kobi.pl/pl/product/9993,naswietlacz-led-mh-30w-6500k-ip65-czarny-led2b-red?currency=PLN")</f>
        <v>https://b2b.kobi.pl/pl/product/9993,naswietlacz-led-mh-30w-6500k-ip65-czarny-led2b-red?currency=PLN</v>
      </c>
      <c r="Q312" s="31" t="str">
        <f>HYPERLINK("https://eprel.ec.europa.eu/qr/1984257")</f>
        <v>https://eprel.ec.europa.eu/qr/1984257</v>
      </c>
      <c r="R312"/>
      <c r="S312" t="s">
        <v>2677</v>
      </c>
      <c r="T312"/>
      <c r="U312">
        <v>0.23899999999999999</v>
      </c>
      <c r="V312">
        <v>0.34399999999999997</v>
      </c>
      <c r="W312">
        <v>14.5</v>
      </c>
      <c r="X312">
        <v>3</v>
      </c>
      <c r="Y312">
        <v>11</v>
      </c>
    </row>
    <row r="313" spans="1:25" ht="60" customHeight="1" x14ac:dyDescent="0.25">
      <c r="A313"/>
      <c r="B313" t="s">
        <v>4</v>
      </c>
      <c r="C313" t="s">
        <v>18</v>
      </c>
      <c r="D313" t="s">
        <v>1047</v>
      </c>
      <c r="E313" t="s">
        <v>2566</v>
      </c>
      <c r="F313" t="s">
        <v>2567</v>
      </c>
      <c r="G313" t="s">
        <v>1048</v>
      </c>
      <c r="H313" s="30">
        <v>38.22</v>
      </c>
      <c r="I313" s="29">
        <f>H313*(1-IFERROR(VLOOKUP(G313,Rabat!$D$10:$E$41,2,FALSE),0))</f>
        <v>38.22</v>
      </c>
      <c r="J313" t="s">
        <v>1903</v>
      </c>
      <c r="K313" t="s">
        <v>2571</v>
      </c>
      <c r="L313" t="s">
        <v>1901</v>
      </c>
      <c r="M313">
        <v>40</v>
      </c>
      <c r="N313">
        <v>1200</v>
      </c>
      <c r="O313" t="s">
        <v>3434</v>
      </c>
      <c r="P313" s="31" t="str">
        <f>HYPERLINK("https://b2b.kobi.pl/pl/product/9996,naswietlacz-led-mh-50w-4000k-ip65-czarny-led2b-red?currency=PLN")</f>
        <v>https://b2b.kobi.pl/pl/product/9996,naswietlacz-led-mh-50w-4000k-ip65-czarny-led2b-red?currency=PLN</v>
      </c>
      <c r="Q313" s="31" t="str">
        <f>HYPERLINK("https://eprel.ec.europa.eu/qr/1984267")</f>
        <v>https://eprel.ec.europa.eu/qr/1984267</v>
      </c>
      <c r="R313"/>
      <c r="S313" t="s">
        <v>2677</v>
      </c>
      <c r="T313"/>
      <c r="U313">
        <v>0.376</v>
      </c>
      <c r="V313">
        <v>0.42699999999999999</v>
      </c>
      <c r="W313">
        <v>18.5</v>
      </c>
      <c r="X313">
        <v>3</v>
      </c>
      <c r="Y313">
        <v>13.5</v>
      </c>
    </row>
    <row r="314" spans="1:25" ht="60" customHeight="1" x14ac:dyDescent="0.25">
      <c r="A314"/>
      <c r="B314" t="s">
        <v>4</v>
      </c>
      <c r="C314" t="s">
        <v>18</v>
      </c>
      <c r="D314" t="s">
        <v>1047</v>
      </c>
      <c r="E314" t="s">
        <v>1085</v>
      </c>
      <c r="F314" t="s">
        <v>1086</v>
      </c>
      <c r="G314" t="s">
        <v>1048</v>
      </c>
      <c r="H314" s="30">
        <v>38.22</v>
      </c>
      <c r="I314" s="29">
        <f>H314*(1-IFERROR(VLOOKUP(G314,Rabat!$D$10:$E$41,2,FALSE),0))</f>
        <v>38.22</v>
      </c>
      <c r="J314" t="s">
        <v>1903</v>
      </c>
      <c r="K314" t="s">
        <v>505</v>
      </c>
      <c r="L314" t="s">
        <v>1901</v>
      </c>
      <c r="M314">
        <v>40</v>
      </c>
      <c r="N314">
        <v>1200</v>
      </c>
      <c r="O314" t="s">
        <v>3434</v>
      </c>
      <c r="P314" s="31" t="str">
        <f>HYPERLINK("https://b2b.kobi.pl/pl/product/9998,naswietlacz-led-mh-50w-6500k-ip65-czarny-led2b-red?currency=PLN")</f>
        <v>https://b2b.kobi.pl/pl/product/9998,naswietlacz-led-mh-50w-6500k-ip65-czarny-led2b-red?currency=PLN</v>
      </c>
      <c r="Q314" s="31" t="str">
        <f>HYPERLINK("https://eprel.ec.europa.eu/qr/1984365")</f>
        <v>https://eprel.ec.europa.eu/qr/1984365</v>
      </c>
      <c r="R314"/>
      <c r="S314" t="s">
        <v>2677</v>
      </c>
      <c r="T314"/>
      <c r="U314">
        <v>0.376</v>
      </c>
      <c r="V314">
        <v>0.42699999999999999</v>
      </c>
      <c r="W314">
        <v>18.5</v>
      </c>
      <c r="X314">
        <v>3</v>
      </c>
      <c r="Y314">
        <v>13.5</v>
      </c>
    </row>
    <row r="315" spans="1:25" ht="60" customHeight="1" x14ac:dyDescent="0.25">
      <c r="A315"/>
      <c r="B315" t="s">
        <v>4</v>
      </c>
      <c r="C315" t="s">
        <v>18</v>
      </c>
      <c r="D315" t="s">
        <v>1047</v>
      </c>
      <c r="E315" t="s">
        <v>2740</v>
      </c>
      <c r="F315" t="s">
        <v>2741</v>
      </c>
      <c r="G315" t="s">
        <v>1048</v>
      </c>
      <c r="H315" s="30">
        <v>73.11</v>
      </c>
      <c r="I315" s="29">
        <f>H315*(1-IFERROR(VLOOKUP(G315,Rabat!$D$10:$E$41,2,FALSE),0))</f>
        <v>73.11</v>
      </c>
      <c r="J315" t="s">
        <v>1903</v>
      </c>
      <c r="K315" t="s">
        <v>2770</v>
      </c>
      <c r="L315" t="s">
        <v>1901</v>
      </c>
      <c r="M315">
        <v>10</v>
      </c>
      <c r="N315">
        <v>520</v>
      </c>
      <c r="O315" t="s">
        <v>3434</v>
      </c>
      <c r="P315" s="31" t="str">
        <f>HYPERLINK("https://b2b.kobi.pl/pl/product/9976,naswietlacz-led-mh-100w-4000k-ip65-czarny-led2b-red?currency=PLN")</f>
        <v>https://b2b.kobi.pl/pl/product/9976,naswietlacz-led-mh-100w-4000k-ip65-czarny-led2b-red?currency=PLN</v>
      </c>
      <c r="Q315" s="31" t="str">
        <f>HYPERLINK("https://eprel.ec.europa.eu/qr/1984540")</f>
        <v>https://eprel.ec.europa.eu/qr/1984540</v>
      </c>
      <c r="R315"/>
      <c r="S315" t="s">
        <v>2677</v>
      </c>
      <c r="T315"/>
      <c r="U315">
        <v>0.93300000000000005</v>
      </c>
      <c r="V315">
        <v>1</v>
      </c>
      <c r="W315">
        <v>29.5</v>
      </c>
      <c r="X315">
        <v>3.1</v>
      </c>
      <c r="Y315">
        <v>19</v>
      </c>
    </row>
    <row r="316" spans="1:25" ht="60" customHeight="1" x14ac:dyDescent="0.25">
      <c r="A316"/>
      <c r="B316" t="s">
        <v>4</v>
      </c>
      <c r="C316" t="s">
        <v>18</v>
      </c>
      <c r="D316" t="s">
        <v>1047</v>
      </c>
      <c r="E316" t="s">
        <v>2568</v>
      </c>
      <c r="F316" t="s">
        <v>2569</v>
      </c>
      <c r="G316" t="s">
        <v>1048</v>
      </c>
      <c r="H316" s="30">
        <v>73.11</v>
      </c>
      <c r="I316" s="29">
        <f>H316*(1-IFERROR(VLOOKUP(G316,Rabat!$D$10:$E$41,2,FALSE),0))</f>
        <v>73.11</v>
      </c>
      <c r="J316" t="s">
        <v>1903</v>
      </c>
      <c r="K316" t="s">
        <v>2572</v>
      </c>
      <c r="L316" t="s">
        <v>1901</v>
      </c>
      <c r="M316">
        <v>10</v>
      </c>
      <c r="N316">
        <v>520</v>
      </c>
      <c r="O316" t="s">
        <v>3434</v>
      </c>
      <c r="P316" s="31" t="str">
        <f>HYPERLINK("https://b2b.kobi.pl/pl/product/9978,naswietlacz-led-mh-100w-6500k-ip65-czarny-led2b-red?currency=PLN")</f>
        <v>https://b2b.kobi.pl/pl/product/9978,naswietlacz-led-mh-100w-6500k-ip65-czarny-led2b-red?currency=PLN</v>
      </c>
      <c r="Q316" s="31" t="str">
        <f>HYPERLINK("https://eprel.ec.europa.eu/qr/1984570")</f>
        <v>https://eprel.ec.europa.eu/qr/1984570</v>
      </c>
      <c r="R316"/>
      <c r="S316" t="s">
        <v>2677</v>
      </c>
      <c r="T316"/>
      <c r="U316">
        <v>0.93300000000000005</v>
      </c>
      <c r="V316">
        <v>1</v>
      </c>
      <c r="W316">
        <v>29.5</v>
      </c>
      <c r="X316">
        <v>3.1</v>
      </c>
      <c r="Y316">
        <v>19</v>
      </c>
    </row>
    <row r="317" spans="1:25" ht="60" customHeight="1" x14ac:dyDescent="0.25">
      <c r="A317"/>
      <c r="B317" t="s">
        <v>4</v>
      </c>
      <c r="C317" t="s">
        <v>18</v>
      </c>
      <c r="D317" t="s">
        <v>1047</v>
      </c>
      <c r="E317" t="s">
        <v>2886</v>
      </c>
      <c r="F317" t="s">
        <v>1090</v>
      </c>
      <c r="G317" t="s">
        <v>1048</v>
      </c>
      <c r="H317" s="30">
        <v>41.11</v>
      </c>
      <c r="I317" s="29">
        <f>H317*(1-IFERROR(VLOOKUP(G317,Rabat!$D$10:$E$41,2,FALSE),0))</f>
        <v>41.11</v>
      </c>
      <c r="J317" t="s">
        <v>1903</v>
      </c>
      <c r="K317" t="s">
        <v>551</v>
      </c>
      <c r="L317" t="s">
        <v>1901</v>
      </c>
      <c r="M317">
        <v>30</v>
      </c>
      <c r="N317">
        <v>1140</v>
      </c>
      <c r="O317" t="s">
        <v>3434</v>
      </c>
      <c r="P317" s="31" t="str">
        <f>HYPERLINK("https://b2b.kobi.pl/pl/product/10002,naswietlacz-z-czujnikiem-ruchu-led-mhc-10w-4000k-ip44-czarny-led2b-red?currency=PLN")</f>
        <v>https://b2b.kobi.pl/pl/product/10002,naswietlacz-z-czujnikiem-ruchu-led-mhc-10w-4000k-ip44-czarny-led2b-red?currency=PLN</v>
      </c>
      <c r="Q317" s="31" t="str">
        <f>HYPERLINK("https://eprel.ec.europa.eu/qr/1988260")</f>
        <v>https://eprel.ec.europa.eu/qr/1988260</v>
      </c>
      <c r="R317"/>
      <c r="S317" t="s">
        <v>2677</v>
      </c>
      <c r="T317"/>
      <c r="U317">
        <v>0.183</v>
      </c>
      <c r="V317">
        <v>0.223</v>
      </c>
      <c r="W317">
        <v>10.5</v>
      </c>
      <c r="X317">
        <v>4.5999999999999996</v>
      </c>
      <c r="Y317">
        <v>15</v>
      </c>
    </row>
    <row r="318" spans="1:25" ht="60" customHeight="1" x14ac:dyDescent="0.25">
      <c r="A318"/>
      <c r="B318" t="s">
        <v>4</v>
      </c>
      <c r="C318" t="s">
        <v>18</v>
      </c>
      <c r="D318" t="s">
        <v>1047</v>
      </c>
      <c r="E318" t="s">
        <v>3258</v>
      </c>
      <c r="F318" t="s">
        <v>1092</v>
      </c>
      <c r="G318" t="s">
        <v>1048</v>
      </c>
      <c r="H318" s="30">
        <v>41.11</v>
      </c>
      <c r="I318" s="29">
        <f>H318*(1-IFERROR(VLOOKUP(G318,Rabat!$D$10:$E$41,2,FALSE),0))</f>
        <v>41.11</v>
      </c>
      <c r="J318" t="s">
        <v>1903</v>
      </c>
      <c r="K318" t="s">
        <v>552</v>
      </c>
      <c r="L318" t="s">
        <v>1901</v>
      </c>
      <c r="M318">
        <v>30</v>
      </c>
      <c r="N318">
        <v>1140</v>
      </c>
      <c r="O318" t="s">
        <v>3434</v>
      </c>
      <c r="P318" s="31" t="str">
        <f>HYPERLINK("https://b2b.kobi.pl/pl/product/10004,naswietlacz-z-czujnikiem-ruchu-led-mhc-10w-6500k-ip44-czarny-led2b-red?currency=PLN")</f>
        <v>https://b2b.kobi.pl/pl/product/10004,naswietlacz-z-czujnikiem-ruchu-led-mhc-10w-6500k-ip44-czarny-led2b-red?currency=PLN</v>
      </c>
      <c r="Q318" s="31" t="str">
        <f>HYPERLINK("https://eprel.ec.europa.eu/qr/1988276")</f>
        <v>https://eprel.ec.europa.eu/qr/1988276</v>
      </c>
      <c r="R318"/>
      <c r="S318" t="s">
        <v>2677</v>
      </c>
      <c r="T318"/>
      <c r="U318">
        <v>0.183</v>
      </c>
      <c r="V318">
        <v>0.223</v>
      </c>
      <c r="W318">
        <v>10.5</v>
      </c>
      <c r="X318">
        <v>4.5999999999999996</v>
      </c>
      <c r="Y318">
        <v>15</v>
      </c>
    </row>
    <row r="319" spans="1:25" ht="60" customHeight="1" x14ac:dyDescent="0.25">
      <c r="A319"/>
      <c r="B319" t="s">
        <v>4</v>
      </c>
      <c r="C319" t="s">
        <v>18</v>
      </c>
      <c r="D319" t="s">
        <v>1047</v>
      </c>
      <c r="E319" t="s">
        <v>2827</v>
      </c>
      <c r="F319" t="s">
        <v>1093</v>
      </c>
      <c r="G319" t="s">
        <v>1048</v>
      </c>
      <c r="H319" s="30">
        <v>47.78</v>
      </c>
      <c r="I319" s="29">
        <f>H319*(1-IFERROR(VLOOKUP(G319,Rabat!$D$10:$E$41,2,FALSE),0))</f>
        <v>47.78</v>
      </c>
      <c r="J319" t="s">
        <v>1903</v>
      </c>
      <c r="K319" t="s">
        <v>553</v>
      </c>
      <c r="L319" t="s">
        <v>1901</v>
      </c>
      <c r="M319">
        <v>30</v>
      </c>
      <c r="N319">
        <v>1140</v>
      </c>
      <c r="O319" t="s">
        <v>3434</v>
      </c>
      <c r="P319" s="31" t="str">
        <f>HYPERLINK("https://b2b.kobi.pl/pl/product/10007,naswietlacz-z-czujnikiem-ruchu-led-mhc-20w-4000k-ip44-czarny-led2b-red?currency=PLN")</f>
        <v>https://b2b.kobi.pl/pl/product/10007,naswietlacz-z-czujnikiem-ruchu-led-mhc-20w-4000k-ip44-czarny-led2b-red?currency=PLN</v>
      </c>
      <c r="Q319" s="31" t="str">
        <f>HYPERLINK("https://eprel.ec.europa.eu/qr/1988366")</f>
        <v>https://eprel.ec.europa.eu/qr/1988366</v>
      </c>
      <c r="R319"/>
      <c r="S319" t="s">
        <v>2677</v>
      </c>
      <c r="T319"/>
      <c r="U319">
        <v>0.217</v>
      </c>
      <c r="V319">
        <v>0.26500000000000001</v>
      </c>
      <c r="W319">
        <v>11.5</v>
      </c>
      <c r="X319">
        <v>4.5999999999999996</v>
      </c>
      <c r="Y319">
        <v>17</v>
      </c>
    </row>
    <row r="320" spans="1:25" ht="60" customHeight="1" x14ac:dyDescent="0.25">
      <c r="A320"/>
      <c r="B320" t="s">
        <v>4</v>
      </c>
      <c r="C320" t="s">
        <v>18</v>
      </c>
      <c r="D320" t="s">
        <v>1047</v>
      </c>
      <c r="E320" t="s">
        <v>2967</v>
      </c>
      <c r="F320" t="s">
        <v>1094</v>
      </c>
      <c r="G320" t="s">
        <v>1048</v>
      </c>
      <c r="H320" s="30">
        <v>47.78</v>
      </c>
      <c r="I320" s="29">
        <f>H320*(1-IFERROR(VLOOKUP(G320,Rabat!$D$10:$E$41,2,FALSE),0))</f>
        <v>47.78</v>
      </c>
      <c r="J320" t="s">
        <v>1903</v>
      </c>
      <c r="K320" t="s">
        <v>554</v>
      </c>
      <c r="L320" t="s">
        <v>1901</v>
      </c>
      <c r="M320">
        <v>30</v>
      </c>
      <c r="N320">
        <v>1140</v>
      </c>
      <c r="O320" t="s">
        <v>3434</v>
      </c>
      <c r="P320" s="31" t="str">
        <f>HYPERLINK("https://b2b.kobi.pl/pl/product/10009,naswietlaczz-czujnikiem-ruchu-led-mhc-20w-6500k-ip44-czarny-led2b-red?currency=PLN")</f>
        <v>https://b2b.kobi.pl/pl/product/10009,naswietlaczz-czujnikiem-ruchu-led-mhc-20w-6500k-ip44-czarny-led2b-red?currency=PLN</v>
      </c>
      <c r="Q320" s="31" t="str">
        <f>HYPERLINK("https://eprel.ec.europa.eu/qr/1988379")</f>
        <v>https://eprel.ec.europa.eu/qr/1988379</v>
      </c>
      <c r="R320"/>
      <c r="S320" t="s">
        <v>2677</v>
      </c>
      <c r="T320"/>
      <c r="U320">
        <v>0.217</v>
      </c>
      <c r="V320">
        <v>0.26500000000000001</v>
      </c>
      <c r="W320">
        <v>11.5</v>
      </c>
      <c r="X320">
        <v>4.5999999999999996</v>
      </c>
      <c r="Y320">
        <v>17</v>
      </c>
    </row>
    <row r="321" spans="1:25" ht="60" customHeight="1" x14ac:dyDescent="0.25">
      <c r="A321"/>
      <c r="B321" t="s">
        <v>4</v>
      </c>
      <c r="C321" t="s">
        <v>18</v>
      </c>
      <c r="D321" t="s">
        <v>1047</v>
      </c>
      <c r="E321" t="s">
        <v>2790</v>
      </c>
      <c r="F321" t="s">
        <v>2791</v>
      </c>
      <c r="G321" t="s">
        <v>1048</v>
      </c>
      <c r="H321" s="30">
        <v>54.44</v>
      </c>
      <c r="I321" s="29">
        <f>H321*(1-IFERROR(VLOOKUP(G321,Rabat!$D$10:$E$41,2,FALSE),0))</f>
        <v>54.44</v>
      </c>
      <c r="J321" t="s">
        <v>1903</v>
      </c>
      <c r="K321" t="s">
        <v>2820</v>
      </c>
      <c r="L321" t="s">
        <v>1901</v>
      </c>
      <c r="M321">
        <v>30</v>
      </c>
      <c r="N321">
        <v>690</v>
      </c>
      <c r="O321" t="s">
        <v>3434</v>
      </c>
      <c r="P321" s="31" t="str">
        <f>HYPERLINK("https://b2b.kobi.pl/pl/product/10012,naswietlacz-z-czujnikiem-ruchu-led-mhc-30w-4000k-ip44-czarny-led2b-red?currency=PLN")</f>
        <v>https://b2b.kobi.pl/pl/product/10012,naswietlacz-z-czujnikiem-ruchu-led-mhc-30w-4000k-ip44-czarny-led2b-red?currency=PLN</v>
      </c>
      <c r="Q321" s="31" t="str">
        <f>HYPERLINK("https://eprel.ec.europa.eu/qr/1988394")</f>
        <v>https://eprel.ec.europa.eu/qr/1988394</v>
      </c>
      <c r="R321"/>
      <c r="S321" t="s">
        <v>2677</v>
      </c>
      <c r="T321"/>
      <c r="U321">
        <v>0.218</v>
      </c>
      <c r="V321">
        <v>0.35399999999999998</v>
      </c>
      <c r="W321">
        <v>14.5</v>
      </c>
      <c r="X321">
        <v>4.5999999999999996</v>
      </c>
      <c r="Y321">
        <v>19</v>
      </c>
    </row>
    <row r="322" spans="1:25" ht="60" customHeight="1" x14ac:dyDescent="0.25">
      <c r="A322"/>
      <c r="B322" t="s">
        <v>4</v>
      </c>
      <c r="C322" t="s">
        <v>18</v>
      </c>
      <c r="D322" t="s">
        <v>1047</v>
      </c>
      <c r="E322" t="s">
        <v>3259</v>
      </c>
      <c r="F322" t="s">
        <v>1096</v>
      </c>
      <c r="G322" t="s">
        <v>1048</v>
      </c>
      <c r="H322" s="30">
        <v>54.44</v>
      </c>
      <c r="I322" s="29">
        <f>H322*(1-IFERROR(VLOOKUP(G322,Rabat!$D$10:$E$41,2,FALSE),0))</f>
        <v>54.44</v>
      </c>
      <c r="J322" t="s">
        <v>1903</v>
      </c>
      <c r="K322" t="s">
        <v>555</v>
      </c>
      <c r="L322" t="s">
        <v>1901</v>
      </c>
      <c r="M322">
        <v>30</v>
      </c>
      <c r="N322">
        <v>690</v>
      </c>
      <c r="O322" t="s">
        <v>3434</v>
      </c>
      <c r="P322" s="31" t="str">
        <f>HYPERLINK("https://b2b.kobi.pl/pl/product/10014,naswietlacz-z-czujnikiem-ruchu-led-mhc-30w-6500k-ip44-czarny-led2b-red?currency=PLN")</f>
        <v>https://b2b.kobi.pl/pl/product/10014,naswietlacz-z-czujnikiem-ruchu-led-mhc-30w-6500k-ip44-czarny-led2b-red?currency=PLN</v>
      </c>
      <c r="Q322" s="31" t="str">
        <f>HYPERLINK("https://eprel.ec.europa.eu/qr/1988404")</f>
        <v>https://eprel.ec.europa.eu/qr/1988404</v>
      </c>
      <c r="R322"/>
      <c r="S322" t="s">
        <v>2677</v>
      </c>
      <c r="T322"/>
      <c r="U322">
        <v>0.218</v>
      </c>
      <c r="V322">
        <v>0.35399999999999998</v>
      </c>
      <c r="W322">
        <v>14.5</v>
      </c>
      <c r="X322">
        <v>4.5999999999999996</v>
      </c>
      <c r="Y322">
        <v>19</v>
      </c>
    </row>
    <row r="323" spans="1:25" ht="60" customHeight="1" x14ac:dyDescent="0.25">
      <c r="A323"/>
      <c r="B323" t="s">
        <v>4</v>
      </c>
      <c r="C323" t="s">
        <v>18</v>
      </c>
      <c r="D323" t="s">
        <v>1047</v>
      </c>
      <c r="E323" t="s">
        <v>2792</v>
      </c>
      <c r="F323" t="s">
        <v>2570</v>
      </c>
      <c r="G323" t="s">
        <v>1048</v>
      </c>
      <c r="H323" s="30">
        <v>67.78</v>
      </c>
      <c r="I323" s="29">
        <f>H323*(1-IFERROR(VLOOKUP(G323,Rabat!$D$10:$E$41,2,FALSE),0))</f>
        <v>67.78</v>
      </c>
      <c r="J323" t="s">
        <v>1903</v>
      </c>
      <c r="K323" t="s">
        <v>2573</v>
      </c>
      <c r="L323" t="s">
        <v>1901</v>
      </c>
      <c r="M323">
        <v>20</v>
      </c>
      <c r="N323">
        <v>680</v>
      </c>
      <c r="O323" t="s">
        <v>3434</v>
      </c>
      <c r="P323" s="31" t="str">
        <f>HYPERLINK("https://b2b.kobi.pl/pl/product/10017,naswietlaczz-czujnikiem-ruchu-led-mhc-50w-4000k-ip44-czarny-led2b-red?currency=PLN")</f>
        <v>https://b2b.kobi.pl/pl/product/10017,naswietlaczz-czujnikiem-ruchu-led-mhc-50w-4000k-ip44-czarny-led2b-red?currency=PLN</v>
      </c>
      <c r="Q323" s="31" t="str">
        <f>HYPERLINK("https://eprel.ec.europa.eu/qr/1988420")</f>
        <v>https://eprel.ec.europa.eu/qr/1988420</v>
      </c>
      <c r="R323"/>
      <c r="S323" t="s">
        <v>2677</v>
      </c>
      <c r="T323"/>
      <c r="U323">
        <v>0.42499999999999999</v>
      </c>
      <c r="V323">
        <v>0.435</v>
      </c>
      <c r="W323">
        <v>18.5</v>
      </c>
      <c r="X323">
        <v>4.5999999999999996</v>
      </c>
      <c r="Y323">
        <v>21.5</v>
      </c>
    </row>
    <row r="324" spans="1:25" ht="60" customHeight="1" x14ac:dyDescent="0.25">
      <c r="A324"/>
      <c r="B324" t="s">
        <v>4</v>
      </c>
      <c r="C324" t="s">
        <v>18</v>
      </c>
      <c r="D324" t="s">
        <v>1047</v>
      </c>
      <c r="E324" t="s">
        <v>2793</v>
      </c>
      <c r="F324" t="s">
        <v>2794</v>
      </c>
      <c r="G324" t="s">
        <v>1048</v>
      </c>
      <c r="H324" s="30">
        <v>67.78</v>
      </c>
      <c r="I324" s="29">
        <f>H324*(1-IFERROR(VLOOKUP(G324,Rabat!$D$10:$E$41,2,FALSE),0))</f>
        <v>67.78</v>
      </c>
      <c r="J324" t="s">
        <v>1903</v>
      </c>
      <c r="K324" t="s">
        <v>2821</v>
      </c>
      <c r="L324" t="s">
        <v>1901</v>
      </c>
      <c r="M324">
        <v>20</v>
      </c>
      <c r="N324">
        <v>680</v>
      </c>
      <c r="O324" t="s">
        <v>3434</v>
      </c>
      <c r="P324" s="31" t="str">
        <f>HYPERLINK("https://b2b.kobi.pl/pl/product/10019,naswietlacz-z-czujnikiem-ruchu-led-mhc-50w-6500k-ip44-czarny-led2b-red?currency=PLN")</f>
        <v>https://b2b.kobi.pl/pl/product/10019,naswietlacz-z-czujnikiem-ruchu-led-mhc-50w-6500k-ip44-czarny-led2b-red?currency=PLN</v>
      </c>
      <c r="Q324" s="31" t="str">
        <f>HYPERLINK("https://eprel.ec.europa.eu/qr/1988430")</f>
        <v>https://eprel.ec.europa.eu/qr/1988430</v>
      </c>
      <c r="R324"/>
      <c r="S324" t="s">
        <v>2677</v>
      </c>
      <c r="T324"/>
      <c r="U324">
        <v>0.42499999999999999</v>
      </c>
      <c r="V324">
        <v>0.435</v>
      </c>
      <c r="W324">
        <v>18.5</v>
      </c>
      <c r="X324">
        <v>4.5999999999999996</v>
      </c>
      <c r="Y324">
        <v>21.5</v>
      </c>
    </row>
    <row r="325" spans="1:25" ht="60" customHeight="1" x14ac:dyDescent="0.25">
      <c r="A325"/>
      <c r="B325" t="s">
        <v>4</v>
      </c>
      <c r="C325" t="s">
        <v>18</v>
      </c>
      <c r="D325" t="s">
        <v>599</v>
      </c>
      <c r="E325" t="s">
        <v>1063</v>
      </c>
      <c r="F325" t="s">
        <v>1064</v>
      </c>
      <c r="G325" t="s">
        <v>1048</v>
      </c>
      <c r="H325" s="30">
        <v>184.43</v>
      </c>
      <c r="I325" s="29">
        <f>H325*(1-IFERROR(VLOOKUP(G325,Rabat!$D$10:$E$41,2,FALSE),0))</f>
        <v>184.43</v>
      </c>
      <c r="J325" t="s">
        <v>1902</v>
      </c>
      <c r="K325" t="s">
        <v>214</v>
      </c>
      <c r="L325" t="s">
        <v>1901</v>
      </c>
      <c r="M325">
        <v>10</v>
      </c>
      <c r="N325">
        <v>320</v>
      </c>
      <c r="O325" t="s">
        <v>3436</v>
      </c>
      <c r="P325" s="31" t="str">
        <f>HYPERLINK("https://b2b.kobi.pl/pl/product/10193,naswietlacz-led-kobi-seul-50w-4000k-ip65-kobi-pro?currency=PLN")</f>
        <v>https://b2b.kobi.pl/pl/product/10193,naswietlacz-led-kobi-seul-50w-4000k-ip65-kobi-pro?currency=PLN</v>
      </c>
      <c r="Q325" s="31" t="str">
        <f>HYPERLINK("https://eprel.ec.europa.eu/qr/1988674")</f>
        <v>https://eprel.ec.europa.eu/qr/1988674</v>
      </c>
      <c r="R325"/>
      <c r="S325" t="s">
        <v>2677</v>
      </c>
      <c r="T325"/>
      <c r="U325">
        <v>1.2</v>
      </c>
      <c r="V325">
        <v>2.3199999999999998</v>
      </c>
      <c r="W325">
        <v>18.8</v>
      </c>
      <c r="X325">
        <v>4.7</v>
      </c>
      <c r="Y325">
        <v>27.3</v>
      </c>
    </row>
    <row r="326" spans="1:25" ht="60" customHeight="1" x14ac:dyDescent="0.25">
      <c r="A326"/>
      <c r="B326" t="s">
        <v>4</v>
      </c>
      <c r="C326" t="s">
        <v>18</v>
      </c>
      <c r="D326" t="s">
        <v>599</v>
      </c>
      <c r="E326" t="s">
        <v>1067</v>
      </c>
      <c r="F326" t="s">
        <v>1068</v>
      </c>
      <c r="G326" t="s">
        <v>1048</v>
      </c>
      <c r="H326" s="30">
        <v>297.77999999999997</v>
      </c>
      <c r="I326" s="29">
        <f>H326*(1-IFERROR(VLOOKUP(G326,Rabat!$D$10:$E$41,2,FALSE),0))</f>
        <v>297.77999999999997</v>
      </c>
      <c r="J326" t="s">
        <v>1902</v>
      </c>
      <c r="K326" t="s">
        <v>211</v>
      </c>
      <c r="L326" t="s">
        <v>1901</v>
      </c>
      <c r="M326">
        <v>5</v>
      </c>
      <c r="N326">
        <v>240</v>
      </c>
      <c r="O326" t="s">
        <v>3436</v>
      </c>
      <c r="P326" s="31" t="str">
        <f>HYPERLINK("https://b2b.kobi.pl/pl/product/10190,naswietlacz-led-kobi-seul-100w-4000k-ip65-kobi-pro?currency=PLN")</f>
        <v>https://b2b.kobi.pl/pl/product/10190,naswietlacz-led-kobi-seul-100w-4000k-ip65-kobi-pro?currency=PLN</v>
      </c>
      <c r="Q326" s="31" t="str">
        <f>HYPERLINK("https://eprel.ec.europa.eu/qr/1988700")</f>
        <v>https://eprel.ec.europa.eu/qr/1988700</v>
      </c>
      <c r="R326"/>
      <c r="S326" t="s">
        <v>2677</v>
      </c>
      <c r="T326"/>
      <c r="U326">
        <v>1.9</v>
      </c>
      <c r="V326">
        <v>3.64</v>
      </c>
      <c r="W326">
        <v>24</v>
      </c>
      <c r="X326">
        <v>4.7</v>
      </c>
      <c r="Y326">
        <v>33.1</v>
      </c>
    </row>
    <row r="327" spans="1:25" ht="60" customHeight="1" x14ac:dyDescent="0.25">
      <c r="A327"/>
      <c r="B327" t="s">
        <v>4</v>
      </c>
      <c r="C327" t="s">
        <v>18</v>
      </c>
      <c r="D327" t="s">
        <v>599</v>
      </c>
      <c r="E327" t="s">
        <v>1071</v>
      </c>
      <c r="F327" t="s">
        <v>1072</v>
      </c>
      <c r="G327" t="s">
        <v>1048</v>
      </c>
      <c r="H327" s="30">
        <v>375.56</v>
      </c>
      <c r="I327" s="29">
        <f>H327*(1-IFERROR(VLOOKUP(G327,Rabat!$D$10:$E$41,2,FALSE),0))</f>
        <v>375.56</v>
      </c>
      <c r="J327" t="s">
        <v>1902</v>
      </c>
      <c r="K327" t="s">
        <v>212</v>
      </c>
      <c r="L327" t="s">
        <v>1901</v>
      </c>
      <c r="M327">
        <v>4</v>
      </c>
      <c r="N327">
        <v>128</v>
      </c>
      <c r="O327" t="s">
        <v>3436</v>
      </c>
      <c r="P327" s="31" t="str">
        <f>HYPERLINK("https://b2b.kobi.pl/pl/product/10191,naswietlacz-led-kobi-seul-150w-4000k-ip65-kobi-pro?currency=PLN")</f>
        <v>https://b2b.kobi.pl/pl/product/10191,naswietlacz-led-kobi-seul-150w-4000k-ip65-kobi-pro?currency=PLN</v>
      </c>
      <c r="Q327" s="31" t="str">
        <f>HYPERLINK("https://eprel.ec.europa.eu/qr/1988707")</f>
        <v>https://eprel.ec.europa.eu/qr/1988707</v>
      </c>
      <c r="R327"/>
      <c r="S327" t="s">
        <v>2677</v>
      </c>
      <c r="T327"/>
      <c r="U327">
        <v>2.9</v>
      </c>
      <c r="V327">
        <v>3.4</v>
      </c>
      <c r="W327">
        <v>30</v>
      </c>
      <c r="X327">
        <v>6.2</v>
      </c>
      <c r="Y327">
        <v>41.2</v>
      </c>
    </row>
    <row r="328" spans="1:25" ht="60" customHeight="1" x14ac:dyDescent="0.25">
      <c r="A328"/>
      <c r="B328" t="s">
        <v>4</v>
      </c>
      <c r="C328" t="s">
        <v>18</v>
      </c>
      <c r="D328" t="s">
        <v>599</v>
      </c>
      <c r="E328" t="s">
        <v>1073</v>
      </c>
      <c r="F328" t="s">
        <v>1074</v>
      </c>
      <c r="G328" t="s">
        <v>1048</v>
      </c>
      <c r="H328" s="30">
        <v>442.22</v>
      </c>
      <c r="I328" s="29">
        <f>H328*(1-IFERROR(VLOOKUP(G328,Rabat!$D$10:$E$41,2,FALSE),0))</f>
        <v>442.22</v>
      </c>
      <c r="J328" t="s">
        <v>1902</v>
      </c>
      <c r="K328" t="s">
        <v>213</v>
      </c>
      <c r="L328" t="s">
        <v>1901</v>
      </c>
      <c r="M328">
        <v>4</v>
      </c>
      <c r="N328">
        <v>144</v>
      </c>
      <c r="O328" t="s">
        <v>3436</v>
      </c>
      <c r="P328" s="31" t="str">
        <f>HYPERLINK("https://b2b.kobi.pl/pl/product/10192,naswietlacz-led-kobi-seul-200w-4000k-ip65-kobi-pro?currency=PLN")</f>
        <v>https://b2b.kobi.pl/pl/product/10192,naswietlacz-led-kobi-seul-200w-4000k-ip65-kobi-pro?currency=PLN</v>
      </c>
      <c r="Q328" s="31" t="str">
        <f>HYPERLINK("https://eprel.ec.europa.eu/qr/1989009")</f>
        <v>https://eprel.ec.europa.eu/qr/1989009</v>
      </c>
      <c r="R328"/>
      <c r="S328" t="s">
        <v>2677</v>
      </c>
      <c r="T328"/>
      <c r="U328">
        <v>2.9</v>
      </c>
      <c r="V328">
        <v>3.4</v>
      </c>
      <c r="W328">
        <v>30</v>
      </c>
      <c r="X328">
        <v>6.2</v>
      </c>
      <c r="Y328">
        <v>41.2</v>
      </c>
    </row>
    <row r="329" spans="1:25" ht="60" customHeight="1" x14ac:dyDescent="0.25">
      <c r="A329"/>
      <c r="B329" t="s">
        <v>4</v>
      </c>
      <c r="C329" t="s">
        <v>18</v>
      </c>
      <c r="D329" t="s">
        <v>599</v>
      </c>
      <c r="E329" t="s">
        <v>1131</v>
      </c>
      <c r="F329" t="s">
        <v>1132</v>
      </c>
      <c r="G329" t="s">
        <v>1048</v>
      </c>
      <c r="H329" s="30">
        <v>1042.22</v>
      </c>
      <c r="I329" s="29">
        <f>H329*(1-IFERROR(VLOOKUP(G329,Rabat!$D$10:$E$41,2,FALSE),0))</f>
        <v>1042.22</v>
      </c>
      <c r="J329" t="s">
        <v>1902</v>
      </c>
      <c r="K329" t="s">
        <v>1940</v>
      </c>
      <c r="L329" t="s">
        <v>1901</v>
      </c>
      <c r="M329">
        <v>3</v>
      </c>
      <c r="N329">
        <v>84</v>
      </c>
      <c r="O329" t="s">
        <v>3436</v>
      </c>
      <c r="P329" s="31" t="str">
        <f>HYPERLINK("https://b2b.kobi.pl/pl/product/10203,naswietlacz-led-us-300w-5000k-ip65-60-dim-kobi-pro?currency=PLN")</f>
        <v>https://b2b.kobi.pl/pl/product/10203,naswietlacz-led-us-300w-5000k-ip65-60-dim-kobi-pro?currency=PLN</v>
      </c>
      <c r="Q329" s="31" t="str">
        <f>HYPERLINK("https://eprel.ec.europa.eu/qr/1989035")</f>
        <v>https://eprel.ec.europa.eu/qr/1989035</v>
      </c>
      <c r="R329"/>
      <c r="S329" t="s">
        <v>2677</v>
      </c>
      <c r="T329"/>
      <c r="U329">
        <v>4.2</v>
      </c>
      <c r="V329">
        <v>5.0999999999999996</v>
      </c>
      <c r="W329">
        <v>35.5</v>
      </c>
      <c r="X329">
        <v>6.5</v>
      </c>
      <c r="Y329">
        <v>48.2</v>
      </c>
    </row>
    <row r="330" spans="1:25" ht="60" customHeight="1" x14ac:dyDescent="0.25">
      <c r="A330"/>
      <c r="B330" t="s">
        <v>4</v>
      </c>
      <c r="C330" t="s">
        <v>18</v>
      </c>
      <c r="D330" t="s">
        <v>599</v>
      </c>
      <c r="E330" t="s">
        <v>1133</v>
      </c>
      <c r="F330" t="s">
        <v>1134</v>
      </c>
      <c r="G330" t="s">
        <v>1048</v>
      </c>
      <c r="H330" s="30">
        <v>1042.22</v>
      </c>
      <c r="I330" s="29">
        <f>H330*(1-IFERROR(VLOOKUP(G330,Rabat!$D$10:$E$41,2,FALSE),0))</f>
        <v>1042.22</v>
      </c>
      <c r="J330" t="s">
        <v>1902</v>
      </c>
      <c r="K330" t="s">
        <v>163</v>
      </c>
      <c r="L330" t="s">
        <v>1901</v>
      </c>
      <c r="M330">
        <v>3</v>
      </c>
      <c r="N330">
        <v>99</v>
      </c>
      <c r="O330" t="s">
        <v>3436</v>
      </c>
      <c r="P330" s="31" t="str">
        <f>HYPERLINK("https://b2b.kobi.pl/pl/product/10204,naswietlacz-led-us-300w-5000k-ip65-90-dim-kobi-pro?currency=PLN")</f>
        <v>https://b2b.kobi.pl/pl/product/10204,naswietlacz-led-us-300w-5000k-ip65-90-dim-kobi-pro?currency=PLN</v>
      </c>
      <c r="Q330" s="31" t="str">
        <f>HYPERLINK("https://eprel.ec.europa.eu/qr/1989035")</f>
        <v>https://eprel.ec.europa.eu/qr/1989035</v>
      </c>
      <c r="R330"/>
      <c r="S330" t="s">
        <v>2677</v>
      </c>
      <c r="T330"/>
      <c r="U330">
        <v>4.2</v>
      </c>
      <c r="V330">
        <v>5.0999999999999996</v>
      </c>
      <c r="W330">
        <v>35.5</v>
      </c>
      <c r="X330">
        <v>6.5</v>
      </c>
      <c r="Y330">
        <v>48.2</v>
      </c>
    </row>
    <row r="331" spans="1:25" ht="60" customHeight="1" x14ac:dyDescent="0.25">
      <c r="A331"/>
      <c r="B331" t="s">
        <v>4</v>
      </c>
      <c r="C331" t="s">
        <v>18</v>
      </c>
      <c r="D331" t="s">
        <v>599</v>
      </c>
      <c r="E331" t="s">
        <v>1135</v>
      </c>
      <c r="F331" t="s">
        <v>1136</v>
      </c>
      <c r="G331" t="s">
        <v>1048</v>
      </c>
      <c r="H331" s="30">
        <v>3088.89</v>
      </c>
      <c r="I331" s="29">
        <f>H331*(1-IFERROR(VLOOKUP(G331,Rabat!$D$10:$E$41,2,FALSE),0))</f>
        <v>3088.89</v>
      </c>
      <c r="J331" t="s">
        <v>1902</v>
      </c>
      <c r="K331" t="s">
        <v>164</v>
      </c>
      <c r="L331" t="s">
        <v>1901</v>
      </c>
      <c r="M331">
        <v>1</v>
      </c>
      <c r="N331">
        <v>21</v>
      </c>
      <c r="O331" t="s">
        <v>3436</v>
      </c>
      <c r="P331" s="31" t="str">
        <f>HYPERLINK("https://b2b.kobi.pl/pl/product/10206,naswietlacz-led-us-500w-5000k-ip66-60-dim-kobi-pro?currency=PLN")</f>
        <v>https://b2b.kobi.pl/pl/product/10206,naswietlacz-led-us-500w-5000k-ip66-60-dim-kobi-pro?currency=PLN</v>
      </c>
      <c r="Q331" s="31" t="str">
        <f>HYPERLINK("https://eprel.ec.europa.eu/qr/1742631")</f>
        <v>https://eprel.ec.europa.eu/qr/1742631</v>
      </c>
      <c r="R331"/>
      <c r="S331" t="s">
        <v>2677</v>
      </c>
      <c r="T331"/>
      <c r="U331">
        <v>12.5</v>
      </c>
      <c r="V331">
        <v>14.1</v>
      </c>
      <c r="W331">
        <v>15.5</v>
      </c>
      <c r="X331">
        <v>47.5</v>
      </c>
      <c r="Y331">
        <v>73.5</v>
      </c>
    </row>
    <row r="332" spans="1:25" ht="60" customHeight="1" x14ac:dyDescent="0.25">
      <c r="A332"/>
      <c r="B332" t="s">
        <v>4</v>
      </c>
      <c r="C332" t="s">
        <v>18</v>
      </c>
      <c r="D332" t="s">
        <v>643</v>
      </c>
      <c r="E332" t="s">
        <v>2194</v>
      </c>
      <c r="F332" t="s">
        <v>2195</v>
      </c>
      <c r="G332" t="s">
        <v>1048</v>
      </c>
      <c r="H332" s="30">
        <v>86.67</v>
      </c>
      <c r="I332" s="29">
        <f>H332*(1-IFERROR(VLOOKUP(G332,Rabat!$D$10:$E$41,2,FALSE),0))</f>
        <v>86.67</v>
      </c>
      <c r="J332" t="s">
        <v>1902</v>
      </c>
      <c r="K332" t="s">
        <v>2252</v>
      </c>
      <c r="L332" t="s">
        <v>1901</v>
      </c>
      <c r="M332">
        <v>10</v>
      </c>
      <c r="N332">
        <v>360</v>
      </c>
      <c r="O332" t="s">
        <v>3434</v>
      </c>
      <c r="P332" s="31" t="str">
        <f>HYPERLINK("https://b2b.kobi.pl/pl/product/12380,naswietlacz-led-tigra-portable-50w-4000k-ip54-kobi?currency=PLN")</f>
        <v>https://b2b.kobi.pl/pl/product/12380,naswietlacz-led-tigra-portable-50w-4000k-ip54-kobi?currency=PLN</v>
      </c>
      <c r="Q332" s="31" t="str">
        <f>HYPERLINK("https://eprel.ec.europa.eu/qr/2247735")</f>
        <v>https://eprel.ec.europa.eu/qr/2247735</v>
      </c>
      <c r="R332"/>
      <c r="S332" t="s">
        <v>2677</v>
      </c>
      <c r="T332"/>
      <c r="U332">
        <v>0.84</v>
      </c>
      <c r="V332">
        <v>0.93</v>
      </c>
      <c r="W332">
        <v>23.6</v>
      </c>
      <c r="X332">
        <v>6</v>
      </c>
      <c r="Y332">
        <v>25</v>
      </c>
    </row>
    <row r="333" spans="1:25" ht="60" customHeight="1" x14ac:dyDescent="0.25">
      <c r="A333"/>
      <c r="B333" t="s">
        <v>4</v>
      </c>
      <c r="C333" t="s">
        <v>18</v>
      </c>
      <c r="D333" t="s">
        <v>643</v>
      </c>
      <c r="E333" t="s">
        <v>2196</v>
      </c>
      <c r="F333" t="s">
        <v>2197</v>
      </c>
      <c r="G333" t="s">
        <v>1048</v>
      </c>
      <c r="H333" s="30">
        <v>128.88999999999999</v>
      </c>
      <c r="I333" s="29">
        <f>H333*(1-IFERROR(VLOOKUP(G333,Rabat!$D$10:$E$41,2,FALSE),0))</f>
        <v>128.88999999999999</v>
      </c>
      <c r="J333" t="s">
        <v>1902</v>
      </c>
      <c r="K333" t="s">
        <v>2253</v>
      </c>
      <c r="L333" t="s">
        <v>1901</v>
      </c>
      <c r="M333">
        <v>5</v>
      </c>
      <c r="N333">
        <v>200</v>
      </c>
      <c r="O333" t="s">
        <v>3434</v>
      </c>
      <c r="P333" s="31" t="str">
        <f>HYPERLINK("https://b2b.kobi.pl/pl/product/12381,naswietlacz-led-tigra-portable-100w-4000k-ip54-kobi?currency=PLN")</f>
        <v>https://b2b.kobi.pl/pl/product/12381,naswietlacz-led-tigra-portable-100w-4000k-ip54-kobi?currency=PLN</v>
      </c>
      <c r="Q333" s="31" t="str">
        <f>HYPERLINK("https://eprel.ec.europa.eu/qr/2247834")</f>
        <v>https://eprel.ec.europa.eu/qr/2247834</v>
      </c>
      <c r="R333"/>
      <c r="S333" t="s">
        <v>2677</v>
      </c>
      <c r="T333"/>
      <c r="U333">
        <v>1.22</v>
      </c>
      <c r="V333">
        <v>1.36</v>
      </c>
      <c r="W333">
        <v>30.8</v>
      </c>
      <c r="X333">
        <v>5.5</v>
      </c>
      <c r="Y333">
        <v>32</v>
      </c>
    </row>
    <row r="334" spans="1:25" ht="60" customHeight="1" x14ac:dyDescent="0.25">
      <c r="A334"/>
      <c r="B334" t="s">
        <v>4</v>
      </c>
      <c r="C334" t="s">
        <v>18</v>
      </c>
      <c r="D334" t="s">
        <v>643</v>
      </c>
      <c r="E334" t="s">
        <v>2198</v>
      </c>
      <c r="F334" t="s">
        <v>2199</v>
      </c>
      <c r="G334" t="s">
        <v>1048</v>
      </c>
      <c r="H334" s="30">
        <v>188.89</v>
      </c>
      <c r="I334" s="29">
        <f>H334*(1-IFERROR(VLOOKUP(G334,Rabat!$D$10:$E$41,2,FALSE),0))</f>
        <v>188.89</v>
      </c>
      <c r="J334" t="s">
        <v>1902</v>
      </c>
      <c r="K334" t="s">
        <v>2254</v>
      </c>
      <c r="L334" t="s">
        <v>1901</v>
      </c>
      <c r="M334">
        <v>4</v>
      </c>
      <c r="N334">
        <v>96</v>
      </c>
      <c r="O334" t="s">
        <v>3434</v>
      </c>
      <c r="P334" s="31" t="str">
        <f>HYPERLINK("https://b2b.kobi.pl/pl/product/12382,naswietlacz-led-tigra-tripod-2x50w-4000k-ip54-kobi?currency=PLN")</f>
        <v>https://b2b.kobi.pl/pl/product/12382,naswietlacz-led-tigra-tripod-2x50w-4000k-ip54-kobi?currency=PLN</v>
      </c>
      <c r="Q334" s="31" t="str">
        <f>HYPERLINK("https://eprel.ec.europa.eu/qr/2247735")</f>
        <v>https://eprel.ec.europa.eu/qr/2247735</v>
      </c>
      <c r="R334"/>
      <c r="S334" t="s">
        <v>2677</v>
      </c>
      <c r="T334"/>
      <c r="U334">
        <v>3.17</v>
      </c>
      <c r="V334">
        <v>3.47</v>
      </c>
      <c r="W334">
        <v>17</v>
      </c>
      <c r="X334">
        <v>12.5</v>
      </c>
      <c r="Y334">
        <v>62</v>
      </c>
    </row>
    <row r="335" spans="1:25" ht="60" customHeight="1" x14ac:dyDescent="0.25">
      <c r="A335"/>
      <c r="B335" t="s">
        <v>4</v>
      </c>
      <c r="C335" t="s">
        <v>18</v>
      </c>
      <c r="D335" t="s">
        <v>643</v>
      </c>
      <c r="E335" t="s">
        <v>2200</v>
      </c>
      <c r="F335" t="s">
        <v>2201</v>
      </c>
      <c r="G335" t="s">
        <v>1048</v>
      </c>
      <c r="H335" s="30">
        <v>253.33</v>
      </c>
      <c r="I335" s="29">
        <f>H335*(1-IFERROR(VLOOKUP(G335,Rabat!$D$10:$E$41,2,FALSE),0))</f>
        <v>253.33</v>
      </c>
      <c r="J335" t="s">
        <v>1902</v>
      </c>
      <c r="K335" t="s">
        <v>2255</v>
      </c>
      <c r="L335" t="s">
        <v>1901</v>
      </c>
      <c r="M335">
        <v>4</v>
      </c>
      <c r="N335">
        <v>72</v>
      </c>
      <c r="O335" t="s">
        <v>3434</v>
      </c>
      <c r="P335" s="31" t="str">
        <f>HYPERLINK("https://b2b.kobi.pl/pl/product/12383,naswietlacz-led-tigra-tripod-2x100w-4000k-ip54-kobi?currency=PLN")</f>
        <v>https://b2b.kobi.pl/pl/product/12383,naswietlacz-led-tigra-tripod-2x100w-4000k-ip54-kobi?currency=PLN</v>
      </c>
      <c r="Q335" s="31" t="str">
        <f>HYPERLINK("https://eprel.ec.europa.eu/qr/2247834")</f>
        <v>https://eprel.ec.europa.eu/qr/2247834</v>
      </c>
      <c r="R335"/>
      <c r="S335" t="s">
        <v>2677</v>
      </c>
      <c r="T335"/>
      <c r="U335">
        <v>3.83</v>
      </c>
      <c r="V335">
        <v>4.1900000000000004</v>
      </c>
      <c r="W335">
        <v>24.5</v>
      </c>
      <c r="X335">
        <v>12.5</v>
      </c>
      <c r="Y335">
        <v>62</v>
      </c>
    </row>
    <row r="336" spans="1:25" ht="60" customHeight="1" x14ac:dyDescent="0.25">
      <c r="A336"/>
      <c r="B336" t="s">
        <v>4</v>
      </c>
      <c r="C336" t="s">
        <v>18</v>
      </c>
      <c r="D336" t="s">
        <v>643</v>
      </c>
      <c r="E336" t="s">
        <v>2903</v>
      </c>
      <c r="F336" t="s">
        <v>2895</v>
      </c>
      <c r="G336" t="s">
        <v>1048</v>
      </c>
      <c r="H336" s="30">
        <v>104.25</v>
      </c>
      <c r="I336" s="29">
        <f>H336*(1-IFERROR(VLOOKUP(G336,Rabat!$D$10:$E$41,2,FALSE),0))</f>
        <v>104.25</v>
      </c>
      <c r="J336" t="s">
        <v>1902</v>
      </c>
      <c r="K336" t="s">
        <v>2899</v>
      </c>
      <c r="L336" t="s">
        <v>1901</v>
      </c>
      <c r="M336">
        <v>20</v>
      </c>
      <c r="N336">
        <v>600</v>
      </c>
      <c r="O336" t="s">
        <v>3434</v>
      </c>
      <c r="P336" s="31" t="str">
        <f>HYPERLINK("https://b2b.kobi.pl/pl/product/12931,naswietlacz-akumulatorowy-led-tigra-b-20w-4000k-ip54-kobi?currency=PLN")</f>
        <v>https://b2b.kobi.pl/pl/product/12931,naswietlacz-akumulatorowy-led-tigra-b-20w-4000k-ip54-kobi?currency=PLN</v>
      </c>
      <c r="Q336" t="s">
        <v>15</v>
      </c>
      <c r="R336"/>
      <c r="S336" t="s">
        <v>2677</v>
      </c>
      <c r="T336"/>
      <c r="U336">
        <v>0.36199999999999999</v>
      </c>
      <c r="V336">
        <v>0.64</v>
      </c>
      <c r="W336">
        <v>13.2</v>
      </c>
      <c r="X336">
        <v>9.5</v>
      </c>
      <c r="Y336">
        <v>16</v>
      </c>
    </row>
    <row r="337" spans="1:25" ht="60" customHeight="1" x14ac:dyDescent="0.25">
      <c r="A337"/>
      <c r="B337" t="s">
        <v>4</v>
      </c>
      <c r="C337" t="s">
        <v>18</v>
      </c>
      <c r="D337" t="s">
        <v>631</v>
      </c>
      <c r="E337" t="s">
        <v>2609</v>
      </c>
      <c r="F337" t="s">
        <v>2610</v>
      </c>
      <c r="G337" t="s">
        <v>1048</v>
      </c>
      <c r="H337" s="30">
        <v>18.87</v>
      </c>
      <c r="I337" s="29">
        <f>H337*(1-IFERROR(VLOOKUP(G337,Rabat!$D$10:$E$41,2,FALSE),0))</f>
        <v>18.87</v>
      </c>
      <c r="J337" t="s">
        <v>1902</v>
      </c>
      <c r="K337" t="s">
        <v>2682</v>
      </c>
      <c r="L337" t="s">
        <v>1901</v>
      </c>
      <c r="M337">
        <v>60</v>
      </c>
      <c r="N337">
        <v>1680</v>
      </c>
      <c r="O337" t="s">
        <v>3435</v>
      </c>
      <c r="P337" s="31" t="str">
        <f>HYPERLINK("https://b2b.kobi.pl/pl/product/12668,naswietlacz-led-delyo-mhn-10w-4000k-ip65-kobi-premium?currency=PLN")</f>
        <v>https://b2b.kobi.pl/pl/product/12668,naswietlacz-led-delyo-mhn-10w-4000k-ip65-kobi-premium?currency=PLN</v>
      </c>
      <c r="Q337" s="31" t="str">
        <f>HYPERLINK("https://eprel.ec.europa.eu/qr/2365025")</f>
        <v>https://eprel.ec.europa.eu/qr/2365025</v>
      </c>
      <c r="R337"/>
      <c r="S337" t="s">
        <v>2677</v>
      </c>
      <c r="T337"/>
      <c r="U337">
        <v>0.12</v>
      </c>
      <c r="V337">
        <v>0.15</v>
      </c>
      <c r="W337">
        <v>10.6</v>
      </c>
      <c r="X337">
        <v>5</v>
      </c>
      <c r="Y337">
        <v>9.5</v>
      </c>
    </row>
    <row r="338" spans="1:25" ht="60" customHeight="1" x14ac:dyDescent="0.25">
      <c r="A338"/>
      <c r="B338" t="s">
        <v>4</v>
      </c>
      <c r="C338" t="s">
        <v>18</v>
      </c>
      <c r="D338" t="s">
        <v>631</v>
      </c>
      <c r="E338" t="s">
        <v>2611</v>
      </c>
      <c r="F338" t="s">
        <v>2612</v>
      </c>
      <c r="G338" t="s">
        <v>1048</v>
      </c>
      <c r="H338" s="30">
        <v>18.87</v>
      </c>
      <c r="I338" s="29">
        <f>H338*(1-IFERROR(VLOOKUP(G338,Rabat!$D$10:$E$41,2,FALSE),0))</f>
        <v>18.87</v>
      </c>
      <c r="J338" t="s">
        <v>1902</v>
      </c>
      <c r="K338" t="s">
        <v>2683</v>
      </c>
      <c r="L338" t="s">
        <v>1901</v>
      </c>
      <c r="M338">
        <v>60</v>
      </c>
      <c r="N338">
        <v>1680</v>
      </c>
      <c r="O338" t="s">
        <v>3435</v>
      </c>
      <c r="P338" s="31" t="str">
        <f>HYPERLINK("https://b2b.kobi.pl/pl/product/12669,naswietlacz-led-delyo-mhn-10w-6000k-ip65-kobi-premium?currency=PLN")</f>
        <v>https://b2b.kobi.pl/pl/product/12669,naswietlacz-led-delyo-mhn-10w-6000k-ip65-kobi-premium?currency=PLN</v>
      </c>
      <c r="Q338" s="31" t="str">
        <f>HYPERLINK("https://eprel.ec.europa.eu/qr/2365044")</f>
        <v>https://eprel.ec.europa.eu/qr/2365044</v>
      </c>
      <c r="R338"/>
      <c r="S338" t="s">
        <v>2677</v>
      </c>
      <c r="T338"/>
      <c r="U338">
        <v>0.12</v>
      </c>
      <c r="V338">
        <v>0.15</v>
      </c>
      <c r="W338">
        <v>10.6</v>
      </c>
      <c r="X338">
        <v>5</v>
      </c>
      <c r="Y338">
        <v>9.5</v>
      </c>
    </row>
    <row r="339" spans="1:25" ht="60" customHeight="1" x14ac:dyDescent="0.25">
      <c r="A339"/>
      <c r="B339" t="s">
        <v>4</v>
      </c>
      <c r="C339" t="s">
        <v>18</v>
      </c>
      <c r="D339" t="s">
        <v>631</v>
      </c>
      <c r="E339" t="s">
        <v>2613</v>
      </c>
      <c r="F339" t="s">
        <v>2614</v>
      </c>
      <c r="G339" t="s">
        <v>1048</v>
      </c>
      <c r="H339" s="30">
        <v>29.98</v>
      </c>
      <c r="I339" s="29">
        <f>H339*(1-IFERROR(VLOOKUP(G339,Rabat!$D$10:$E$41,2,FALSE),0))</f>
        <v>29.98</v>
      </c>
      <c r="J339" t="s">
        <v>1902</v>
      </c>
      <c r="K339" t="s">
        <v>2684</v>
      </c>
      <c r="L339" t="s">
        <v>1901</v>
      </c>
      <c r="M339">
        <v>40</v>
      </c>
      <c r="N339">
        <v>1800</v>
      </c>
      <c r="O339" t="s">
        <v>3435</v>
      </c>
      <c r="P339" s="31" t="str">
        <f>HYPERLINK("https://b2b.kobi.pl/pl/product/12670,naswietlacz-led-delyo-mhn-20w-4000k-ip65-kobi-premium?currency=PLN")</f>
        <v>https://b2b.kobi.pl/pl/product/12670,naswietlacz-led-delyo-mhn-20w-4000k-ip65-kobi-premium?currency=PLN</v>
      </c>
      <c r="Q339" s="31" t="str">
        <f>HYPERLINK("https://eprel.ec.europa.eu/qr/2365088")</f>
        <v>https://eprel.ec.europa.eu/qr/2365088</v>
      </c>
      <c r="R339"/>
      <c r="S339" t="s">
        <v>2677</v>
      </c>
      <c r="T339"/>
      <c r="U339">
        <v>0.16</v>
      </c>
      <c r="V339">
        <v>0.2</v>
      </c>
      <c r="W339">
        <v>13</v>
      </c>
      <c r="X339">
        <v>4.5</v>
      </c>
      <c r="Y339">
        <v>11</v>
      </c>
    </row>
    <row r="340" spans="1:25" ht="60" customHeight="1" x14ac:dyDescent="0.25">
      <c r="A340"/>
      <c r="B340" t="s">
        <v>4</v>
      </c>
      <c r="C340" t="s">
        <v>18</v>
      </c>
      <c r="D340" t="s">
        <v>631</v>
      </c>
      <c r="E340" t="s">
        <v>2615</v>
      </c>
      <c r="F340" t="s">
        <v>2616</v>
      </c>
      <c r="G340" t="s">
        <v>1048</v>
      </c>
      <c r="H340" s="30">
        <v>29.98</v>
      </c>
      <c r="I340" s="29">
        <f>H340*(1-IFERROR(VLOOKUP(G340,Rabat!$D$10:$E$41,2,FALSE),0))</f>
        <v>29.98</v>
      </c>
      <c r="J340" t="s">
        <v>1902</v>
      </c>
      <c r="K340" t="s">
        <v>2685</v>
      </c>
      <c r="L340" t="s">
        <v>1901</v>
      </c>
      <c r="M340">
        <v>40</v>
      </c>
      <c r="N340">
        <v>1800</v>
      </c>
      <c r="O340" t="s">
        <v>3435</v>
      </c>
      <c r="P340" s="31" t="str">
        <f>HYPERLINK("https://b2b.kobi.pl/pl/product/12671,naswietlacz-led-delyo-mhn-20w-6000k-ip65-kobi-premium?currency=PLN")</f>
        <v>https://b2b.kobi.pl/pl/product/12671,naswietlacz-led-delyo-mhn-20w-6000k-ip65-kobi-premium?currency=PLN</v>
      </c>
      <c r="Q340" s="31" t="str">
        <f>HYPERLINK("https://eprel.ec.europa.eu/qr/2365095")</f>
        <v>https://eprel.ec.europa.eu/qr/2365095</v>
      </c>
      <c r="R340"/>
      <c r="S340" t="s">
        <v>2677</v>
      </c>
      <c r="T340"/>
      <c r="U340">
        <v>0.16</v>
      </c>
      <c r="V340">
        <v>0.2</v>
      </c>
      <c r="W340">
        <v>13</v>
      </c>
      <c r="X340">
        <v>4.5</v>
      </c>
      <c r="Y340">
        <v>11</v>
      </c>
    </row>
    <row r="341" spans="1:25" ht="60" customHeight="1" x14ac:dyDescent="0.25">
      <c r="A341"/>
      <c r="B341" t="s">
        <v>4</v>
      </c>
      <c r="C341" t="s">
        <v>18</v>
      </c>
      <c r="D341" t="s">
        <v>631</v>
      </c>
      <c r="E341" t="s">
        <v>2617</v>
      </c>
      <c r="F341" t="s">
        <v>2618</v>
      </c>
      <c r="G341" t="s">
        <v>1048</v>
      </c>
      <c r="H341" s="30">
        <v>38.67</v>
      </c>
      <c r="I341" s="29">
        <f>H341*(1-IFERROR(VLOOKUP(G341,Rabat!$D$10:$E$41,2,FALSE),0))</f>
        <v>38.67</v>
      </c>
      <c r="J341" t="s">
        <v>1902</v>
      </c>
      <c r="K341" t="s">
        <v>2686</v>
      </c>
      <c r="L341" t="s">
        <v>1901</v>
      </c>
      <c r="M341">
        <v>40</v>
      </c>
      <c r="N341">
        <v>1000</v>
      </c>
      <c r="O341" t="s">
        <v>3435</v>
      </c>
      <c r="P341" s="31" t="str">
        <f>HYPERLINK("https://b2b.kobi.pl/pl/product/12672,naswietlacz-led-delyo-mhn-30w-4000k-ip65-kobi-premium?currency=PLN")</f>
        <v>https://b2b.kobi.pl/pl/product/12672,naswietlacz-led-delyo-mhn-30w-4000k-ip65-kobi-premium?currency=PLN</v>
      </c>
      <c r="Q341" s="31" t="str">
        <f>HYPERLINK("https://eprel.ec.europa.eu/qr/2365102")</f>
        <v>https://eprel.ec.europa.eu/qr/2365102</v>
      </c>
      <c r="R341"/>
      <c r="S341" t="s">
        <v>2677</v>
      </c>
      <c r="T341"/>
      <c r="U341">
        <v>0.24</v>
      </c>
      <c r="V341">
        <v>0.3</v>
      </c>
      <c r="W341">
        <v>16.5</v>
      </c>
      <c r="X341">
        <v>4.5</v>
      </c>
      <c r="Y341">
        <v>14.5</v>
      </c>
    </row>
    <row r="342" spans="1:25" ht="60" customHeight="1" x14ac:dyDescent="0.25">
      <c r="A342"/>
      <c r="B342" t="s">
        <v>4</v>
      </c>
      <c r="C342" t="s">
        <v>18</v>
      </c>
      <c r="D342" t="s">
        <v>631</v>
      </c>
      <c r="E342" t="s">
        <v>2619</v>
      </c>
      <c r="F342" t="s">
        <v>2620</v>
      </c>
      <c r="G342" t="s">
        <v>1048</v>
      </c>
      <c r="H342" s="30">
        <v>38.67</v>
      </c>
      <c r="I342" s="29">
        <f>H342*(1-IFERROR(VLOOKUP(G342,Rabat!$D$10:$E$41,2,FALSE),0))</f>
        <v>38.67</v>
      </c>
      <c r="J342" t="s">
        <v>1902</v>
      </c>
      <c r="K342" t="s">
        <v>2687</v>
      </c>
      <c r="L342" t="s">
        <v>1901</v>
      </c>
      <c r="M342">
        <v>40</v>
      </c>
      <c r="N342">
        <v>1000</v>
      </c>
      <c r="O342" t="s">
        <v>3435</v>
      </c>
      <c r="P342" s="31" t="str">
        <f>HYPERLINK("https://b2b.kobi.pl/pl/product/12673,naswietlacz-led-delyo-mhn-30w-6000k-ip65-kobi-premium?currency=PLN")</f>
        <v>https://b2b.kobi.pl/pl/product/12673,naswietlacz-led-delyo-mhn-30w-6000k-ip65-kobi-premium?currency=PLN</v>
      </c>
      <c r="Q342" s="31" t="str">
        <f>HYPERLINK("https://eprel.ec.europa.eu/qr/2365116")</f>
        <v>https://eprel.ec.europa.eu/qr/2365116</v>
      </c>
      <c r="R342"/>
      <c r="S342" t="s">
        <v>2677</v>
      </c>
      <c r="T342"/>
      <c r="U342">
        <v>0.24</v>
      </c>
      <c r="V342">
        <v>0.3</v>
      </c>
      <c r="W342">
        <v>16.5</v>
      </c>
      <c r="X342">
        <v>4.5</v>
      </c>
      <c r="Y342">
        <v>14.5</v>
      </c>
    </row>
    <row r="343" spans="1:25" ht="60" customHeight="1" x14ac:dyDescent="0.25">
      <c r="A343"/>
      <c r="B343" t="s">
        <v>4</v>
      </c>
      <c r="C343" t="s">
        <v>18</v>
      </c>
      <c r="D343" t="s">
        <v>631</v>
      </c>
      <c r="E343" t="s">
        <v>2621</v>
      </c>
      <c r="F343" t="s">
        <v>2622</v>
      </c>
      <c r="G343" t="s">
        <v>1048</v>
      </c>
      <c r="H343" s="30">
        <v>56.67</v>
      </c>
      <c r="I343" s="29">
        <f>H343*(1-IFERROR(VLOOKUP(G343,Rabat!$D$10:$E$41,2,FALSE),0))</f>
        <v>56.67</v>
      </c>
      <c r="J343" t="s">
        <v>1902</v>
      </c>
      <c r="K343" t="s">
        <v>2688</v>
      </c>
      <c r="L343" t="s">
        <v>1901</v>
      </c>
      <c r="M343">
        <v>20</v>
      </c>
      <c r="N343">
        <v>700</v>
      </c>
      <c r="O343" t="s">
        <v>3435</v>
      </c>
      <c r="P343" s="31" t="str">
        <f>HYPERLINK("https://b2b.kobi.pl/pl/product/12674,naswietlacz-led-delyo-mhn-50w-4000k-ip65-kobi-premium?currency=PLN")</f>
        <v>https://b2b.kobi.pl/pl/product/12674,naswietlacz-led-delyo-mhn-50w-4000k-ip65-kobi-premium?currency=PLN</v>
      </c>
      <c r="Q343" s="31" t="str">
        <f>HYPERLINK("https://eprel.ec.europa.eu/qr/2365126")</f>
        <v>https://eprel.ec.europa.eu/qr/2365126</v>
      </c>
      <c r="R343"/>
      <c r="S343" t="s">
        <v>2677</v>
      </c>
      <c r="T343"/>
      <c r="U343">
        <v>0.35</v>
      </c>
      <c r="V343">
        <v>0.42</v>
      </c>
      <c r="W343">
        <v>20</v>
      </c>
      <c r="X343">
        <v>4.3</v>
      </c>
      <c r="Y343">
        <v>16</v>
      </c>
    </row>
    <row r="344" spans="1:25" ht="60" customHeight="1" x14ac:dyDescent="0.25">
      <c r="A344"/>
      <c r="B344" t="s">
        <v>4</v>
      </c>
      <c r="C344" t="s">
        <v>18</v>
      </c>
      <c r="D344" t="s">
        <v>631</v>
      </c>
      <c r="E344" t="s">
        <v>2623</v>
      </c>
      <c r="F344" t="s">
        <v>2624</v>
      </c>
      <c r="G344" t="s">
        <v>1048</v>
      </c>
      <c r="H344" s="30">
        <v>56.67</v>
      </c>
      <c r="I344" s="29">
        <f>H344*(1-IFERROR(VLOOKUP(G344,Rabat!$D$10:$E$41,2,FALSE),0))</f>
        <v>56.67</v>
      </c>
      <c r="J344" t="s">
        <v>1902</v>
      </c>
      <c r="K344" t="s">
        <v>2689</v>
      </c>
      <c r="L344" t="s">
        <v>1901</v>
      </c>
      <c r="M344">
        <v>20</v>
      </c>
      <c r="N344">
        <v>700</v>
      </c>
      <c r="O344" t="s">
        <v>3435</v>
      </c>
      <c r="P344" s="31" t="str">
        <f>HYPERLINK("https://b2b.kobi.pl/pl/product/12675,naswietlacz-led-delyo-mhn-50w-6000k-ip65-kobi-premium?currency=PLN")</f>
        <v>https://b2b.kobi.pl/pl/product/12675,naswietlacz-led-delyo-mhn-50w-6000k-ip65-kobi-premium?currency=PLN</v>
      </c>
      <c r="Q344" s="31" t="str">
        <f>HYPERLINK("https://eprel.ec.europa.eu/qr/2365535")</f>
        <v>https://eprel.ec.europa.eu/qr/2365535</v>
      </c>
      <c r="R344"/>
      <c r="S344" t="s">
        <v>2677</v>
      </c>
      <c r="T344"/>
      <c r="U344">
        <v>0.35</v>
      </c>
      <c r="V344">
        <v>0.42</v>
      </c>
      <c r="W344">
        <v>20</v>
      </c>
      <c r="X344">
        <v>4.3</v>
      </c>
      <c r="Y344">
        <v>16</v>
      </c>
    </row>
    <row r="345" spans="1:25" ht="60" customHeight="1" x14ac:dyDescent="0.25">
      <c r="A345"/>
      <c r="B345" t="s">
        <v>4</v>
      </c>
      <c r="C345" t="s">
        <v>18</v>
      </c>
      <c r="D345" t="s">
        <v>631</v>
      </c>
      <c r="E345" t="s">
        <v>2625</v>
      </c>
      <c r="F345" t="s">
        <v>2626</v>
      </c>
      <c r="G345" t="s">
        <v>1048</v>
      </c>
      <c r="H345" s="30">
        <v>106.67</v>
      </c>
      <c r="I345" s="29">
        <f>H345*(1-IFERROR(VLOOKUP(G345,Rabat!$D$10:$E$41,2,FALSE),0))</f>
        <v>106.67</v>
      </c>
      <c r="J345" t="s">
        <v>1902</v>
      </c>
      <c r="K345" t="s">
        <v>2690</v>
      </c>
      <c r="L345" t="s">
        <v>1901</v>
      </c>
      <c r="M345">
        <v>10</v>
      </c>
      <c r="N345">
        <v>360</v>
      </c>
      <c r="O345" t="s">
        <v>3435</v>
      </c>
      <c r="P345" s="31" t="str">
        <f>HYPERLINK("https://b2b.kobi.pl/pl/product/12676,naswietlacz-led-delyo-mhn-100w-4000k-ip65-kobi-premium?currency=PLN")</f>
        <v>https://b2b.kobi.pl/pl/product/12676,naswietlacz-led-delyo-mhn-100w-4000k-ip65-kobi-premium?currency=PLN</v>
      </c>
      <c r="Q345" s="31" t="str">
        <f>HYPERLINK("https://eprel.ec.europa.eu/qr/2365552")</f>
        <v>https://eprel.ec.europa.eu/qr/2365552</v>
      </c>
      <c r="R345"/>
      <c r="S345" t="s">
        <v>2677</v>
      </c>
      <c r="T345"/>
      <c r="U345">
        <v>0.77900000000000003</v>
      </c>
      <c r="V345">
        <v>0.88200000000000001</v>
      </c>
      <c r="W345">
        <v>28</v>
      </c>
      <c r="X345">
        <v>4.3</v>
      </c>
      <c r="Y345">
        <v>23.5</v>
      </c>
    </row>
    <row r="346" spans="1:25" ht="60" customHeight="1" x14ac:dyDescent="0.25">
      <c r="A346"/>
      <c r="B346" t="s">
        <v>4</v>
      </c>
      <c r="C346" t="s">
        <v>18</v>
      </c>
      <c r="D346" t="s">
        <v>631</v>
      </c>
      <c r="E346" t="s">
        <v>2627</v>
      </c>
      <c r="F346" t="s">
        <v>2628</v>
      </c>
      <c r="G346" t="s">
        <v>1048</v>
      </c>
      <c r="H346" s="30">
        <v>106.67</v>
      </c>
      <c r="I346" s="29">
        <f>H346*(1-IFERROR(VLOOKUP(G346,Rabat!$D$10:$E$41,2,FALSE),0))</f>
        <v>106.67</v>
      </c>
      <c r="J346" t="s">
        <v>1902</v>
      </c>
      <c r="K346" t="s">
        <v>2691</v>
      </c>
      <c r="L346" t="s">
        <v>1901</v>
      </c>
      <c r="M346">
        <v>10</v>
      </c>
      <c r="N346">
        <v>360</v>
      </c>
      <c r="O346" t="s">
        <v>3435</v>
      </c>
      <c r="P346" s="31" t="str">
        <f>HYPERLINK("https://b2b.kobi.pl/pl/product/12677,naswietlacz-led-delyo-mhn-100w-6000k-ip65-kobi-premium?currency=PLN")</f>
        <v>https://b2b.kobi.pl/pl/product/12677,naswietlacz-led-delyo-mhn-100w-6000k-ip65-kobi-premium?currency=PLN</v>
      </c>
      <c r="Q346" s="31" t="str">
        <f>HYPERLINK("https://eprel.ec.europa.eu/qr/2365630")</f>
        <v>https://eprel.ec.europa.eu/qr/2365630</v>
      </c>
      <c r="R346"/>
      <c r="S346" t="s">
        <v>2677</v>
      </c>
      <c r="T346"/>
      <c r="U346">
        <v>0.77900000000000003</v>
      </c>
      <c r="V346">
        <v>0.88200000000000001</v>
      </c>
      <c r="W346">
        <v>28</v>
      </c>
      <c r="X346">
        <v>4.3</v>
      </c>
      <c r="Y346">
        <v>23.5</v>
      </c>
    </row>
    <row r="347" spans="1:25" ht="60" customHeight="1" x14ac:dyDescent="0.25">
      <c r="A347"/>
      <c r="B347" t="s">
        <v>4</v>
      </c>
      <c r="C347" t="s">
        <v>18</v>
      </c>
      <c r="D347" t="s">
        <v>631</v>
      </c>
      <c r="E347" t="s">
        <v>2629</v>
      </c>
      <c r="F347" t="s">
        <v>2630</v>
      </c>
      <c r="G347" t="s">
        <v>1048</v>
      </c>
      <c r="H347" s="30">
        <v>52.67</v>
      </c>
      <c r="I347" s="29">
        <f>H347*(1-IFERROR(VLOOKUP(G347,Rabat!$D$10:$E$41,2,FALSE),0))</f>
        <v>52.67</v>
      </c>
      <c r="J347" t="s">
        <v>1902</v>
      </c>
      <c r="K347" t="s">
        <v>2692</v>
      </c>
      <c r="L347" t="s">
        <v>1901</v>
      </c>
      <c r="M347">
        <v>24</v>
      </c>
      <c r="N347">
        <v>1200</v>
      </c>
      <c r="O347" t="s">
        <v>3435</v>
      </c>
      <c r="P347" s="31" t="str">
        <f>HYPERLINK("https://b2b.kobi.pl/pl/product/12678,naswietlacz-led-delyo-mhnc-10w-4000k-ip54-kobi-premium?currency=PLN")</f>
        <v>https://b2b.kobi.pl/pl/product/12678,naswietlacz-led-delyo-mhnc-10w-4000k-ip54-kobi-premium?currency=PLN</v>
      </c>
      <c r="Q347" s="31" t="str">
        <f>HYPERLINK("https://eprel.ec.europa.eu/qr/2365025")</f>
        <v>https://eprel.ec.europa.eu/qr/2365025</v>
      </c>
      <c r="R347"/>
      <c r="S347" t="s">
        <v>2677</v>
      </c>
      <c r="T347"/>
      <c r="U347">
        <v>0.16</v>
      </c>
      <c r="V347">
        <v>0.21</v>
      </c>
      <c r="W347">
        <v>14.5</v>
      </c>
      <c r="X347">
        <v>5.3</v>
      </c>
      <c r="Y347">
        <v>11.5</v>
      </c>
    </row>
    <row r="348" spans="1:25" ht="60" customHeight="1" x14ac:dyDescent="0.25">
      <c r="A348"/>
      <c r="B348" t="s">
        <v>4</v>
      </c>
      <c r="C348" t="s">
        <v>18</v>
      </c>
      <c r="D348" t="s">
        <v>631</v>
      </c>
      <c r="E348" t="s">
        <v>2631</v>
      </c>
      <c r="F348" t="s">
        <v>2632</v>
      </c>
      <c r="G348" t="s">
        <v>1048</v>
      </c>
      <c r="H348" s="30">
        <v>52.67</v>
      </c>
      <c r="I348" s="29">
        <f>H348*(1-IFERROR(VLOOKUP(G348,Rabat!$D$10:$E$41,2,FALSE),0))</f>
        <v>52.67</v>
      </c>
      <c r="J348" t="s">
        <v>1902</v>
      </c>
      <c r="K348" t="s">
        <v>2693</v>
      </c>
      <c r="L348" t="s">
        <v>1901</v>
      </c>
      <c r="M348">
        <v>24</v>
      </c>
      <c r="N348">
        <v>1200</v>
      </c>
      <c r="O348" t="s">
        <v>3435</v>
      </c>
      <c r="P348" s="31" t="str">
        <f>HYPERLINK("https://b2b.kobi.pl/pl/product/12679,naswietlacz-led-delyo-mhnc-10w-6000k-ip54-kobi-premium?currency=PLN")</f>
        <v>https://b2b.kobi.pl/pl/product/12679,naswietlacz-led-delyo-mhnc-10w-6000k-ip54-kobi-premium?currency=PLN</v>
      </c>
      <c r="Q348" s="31" t="str">
        <f>HYPERLINK("https://eprel.ec.europa.eu/qr/2365044")</f>
        <v>https://eprel.ec.europa.eu/qr/2365044</v>
      </c>
      <c r="R348"/>
      <c r="S348" t="s">
        <v>2677</v>
      </c>
      <c r="T348"/>
      <c r="U348">
        <v>0.16</v>
      </c>
      <c r="V348">
        <v>0.21</v>
      </c>
      <c r="W348">
        <v>14.5</v>
      </c>
      <c r="X348">
        <v>5.3</v>
      </c>
      <c r="Y348">
        <v>11.5</v>
      </c>
    </row>
    <row r="349" spans="1:25" ht="60" customHeight="1" x14ac:dyDescent="0.25">
      <c r="A349"/>
      <c r="B349" t="s">
        <v>4</v>
      </c>
      <c r="C349" t="s">
        <v>18</v>
      </c>
      <c r="D349" t="s">
        <v>631</v>
      </c>
      <c r="E349" t="s">
        <v>2633</v>
      </c>
      <c r="F349" t="s">
        <v>2634</v>
      </c>
      <c r="G349" t="s">
        <v>1048</v>
      </c>
      <c r="H349" s="30">
        <v>66.44</v>
      </c>
      <c r="I349" s="29">
        <f>H349*(1-IFERROR(VLOOKUP(G349,Rabat!$D$10:$E$41,2,FALSE),0))</f>
        <v>66.44</v>
      </c>
      <c r="J349" t="s">
        <v>1902</v>
      </c>
      <c r="K349" t="s">
        <v>2694</v>
      </c>
      <c r="L349" t="s">
        <v>1901</v>
      </c>
      <c r="M349">
        <v>24</v>
      </c>
      <c r="N349">
        <v>864</v>
      </c>
      <c r="O349" t="s">
        <v>3435</v>
      </c>
      <c r="P349" s="31" t="str">
        <f>HYPERLINK("https://b2b.kobi.pl/pl/product/12680,naswietlacz-led-delyo-mhnc-20w-4000k-ip54-kobi-premium?currency=PLN")</f>
        <v>https://b2b.kobi.pl/pl/product/12680,naswietlacz-led-delyo-mhnc-20w-4000k-ip54-kobi-premium?currency=PLN</v>
      </c>
      <c r="Q349" s="31" t="str">
        <f>HYPERLINK("https://eprel.ec.europa.eu/qr/2365088")</f>
        <v>https://eprel.ec.europa.eu/qr/2365088</v>
      </c>
      <c r="R349"/>
      <c r="S349" t="s">
        <v>2677</v>
      </c>
      <c r="T349"/>
      <c r="U349">
        <v>0.21</v>
      </c>
      <c r="V349">
        <v>0.26</v>
      </c>
      <c r="W349">
        <v>16.5</v>
      </c>
      <c r="X349">
        <v>5.3</v>
      </c>
      <c r="Y349">
        <v>13.2</v>
      </c>
    </row>
    <row r="350" spans="1:25" ht="60" customHeight="1" x14ac:dyDescent="0.25">
      <c r="A350"/>
      <c r="B350" t="s">
        <v>4</v>
      </c>
      <c r="C350" t="s">
        <v>18</v>
      </c>
      <c r="D350" t="s">
        <v>631</v>
      </c>
      <c r="E350" t="s">
        <v>2635</v>
      </c>
      <c r="F350" t="s">
        <v>2636</v>
      </c>
      <c r="G350" t="s">
        <v>1048</v>
      </c>
      <c r="H350" s="30">
        <v>66.44</v>
      </c>
      <c r="I350" s="29">
        <f>H350*(1-IFERROR(VLOOKUP(G350,Rabat!$D$10:$E$41,2,FALSE),0))</f>
        <v>66.44</v>
      </c>
      <c r="J350" t="s">
        <v>1902</v>
      </c>
      <c r="K350" t="s">
        <v>2695</v>
      </c>
      <c r="L350" t="s">
        <v>1901</v>
      </c>
      <c r="M350">
        <v>24</v>
      </c>
      <c r="N350">
        <v>864</v>
      </c>
      <c r="O350" t="s">
        <v>3435</v>
      </c>
      <c r="P350" s="31" t="str">
        <f>HYPERLINK("https://b2b.kobi.pl/pl/product/12681,naswietlacz-led-delyo-mhnc-20w-6000k-ip54-kobi-premium?currency=PLN")</f>
        <v>https://b2b.kobi.pl/pl/product/12681,naswietlacz-led-delyo-mhnc-20w-6000k-ip54-kobi-premium?currency=PLN</v>
      </c>
      <c r="Q350" s="31" t="str">
        <f>HYPERLINK("https://eprel.ec.europa.eu/qr/2365095")</f>
        <v>https://eprel.ec.europa.eu/qr/2365095</v>
      </c>
      <c r="R350"/>
      <c r="S350" t="s">
        <v>2677</v>
      </c>
      <c r="T350"/>
      <c r="U350">
        <v>0.21</v>
      </c>
      <c r="V350">
        <v>0.26</v>
      </c>
      <c r="W350">
        <v>16.5</v>
      </c>
      <c r="X350">
        <v>5.3</v>
      </c>
      <c r="Y350">
        <v>13.2</v>
      </c>
    </row>
    <row r="351" spans="1:25" ht="60" customHeight="1" x14ac:dyDescent="0.25">
      <c r="A351"/>
      <c r="B351" t="s">
        <v>4</v>
      </c>
      <c r="C351" t="s">
        <v>18</v>
      </c>
      <c r="D351" t="s">
        <v>631</v>
      </c>
      <c r="E351" t="s">
        <v>2637</v>
      </c>
      <c r="F351" t="s">
        <v>2638</v>
      </c>
      <c r="G351" t="s">
        <v>1048</v>
      </c>
      <c r="H351" s="30">
        <v>75.56</v>
      </c>
      <c r="I351" s="29">
        <f>H351*(1-IFERROR(VLOOKUP(G351,Rabat!$D$10:$E$41,2,FALSE),0))</f>
        <v>75.56</v>
      </c>
      <c r="J351" t="s">
        <v>1902</v>
      </c>
      <c r="K351" t="s">
        <v>2696</v>
      </c>
      <c r="L351" t="s">
        <v>1901</v>
      </c>
      <c r="M351">
        <v>24</v>
      </c>
      <c r="N351">
        <v>600</v>
      </c>
      <c r="O351" t="s">
        <v>3435</v>
      </c>
      <c r="P351" s="31" t="str">
        <f>HYPERLINK("https://b2b.kobi.pl/pl/product/12682,naswietlacz-led-delyo-mhnc-30w-4000k-ip54-kobi-premium?currency=PLN")</f>
        <v>https://b2b.kobi.pl/pl/product/12682,naswietlacz-led-delyo-mhnc-30w-4000k-ip54-kobi-premium?currency=PLN</v>
      </c>
      <c r="Q351" s="31" t="str">
        <f>HYPERLINK("https://eprel.ec.europa.eu/qr/2365102")</f>
        <v>https://eprel.ec.europa.eu/qr/2365102</v>
      </c>
      <c r="R351"/>
      <c r="S351" t="s">
        <v>2677</v>
      </c>
      <c r="T351"/>
      <c r="U351">
        <v>0.28000000000000003</v>
      </c>
      <c r="V351">
        <v>0.35</v>
      </c>
      <c r="W351">
        <v>20</v>
      </c>
      <c r="X351">
        <v>5.3</v>
      </c>
      <c r="Y351">
        <v>16</v>
      </c>
    </row>
    <row r="352" spans="1:25" ht="60" customHeight="1" x14ac:dyDescent="0.25">
      <c r="A352"/>
      <c r="B352" t="s">
        <v>4</v>
      </c>
      <c r="C352" t="s">
        <v>18</v>
      </c>
      <c r="D352" t="s">
        <v>631</v>
      </c>
      <c r="E352" t="s">
        <v>2639</v>
      </c>
      <c r="F352" t="s">
        <v>2640</v>
      </c>
      <c r="G352" t="s">
        <v>1048</v>
      </c>
      <c r="H352" s="30">
        <v>75.56</v>
      </c>
      <c r="I352" s="29">
        <f>H352*(1-IFERROR(VLOOKUP(G352,Rabat!$D$10:$E$41,2,FALSE),0))</f>
        <v>75.56</v>
      </c>
      <c r="J352" t="s">
        <v>1902</v>
      </c>
      <c r="K352" t="s">
        <v>2697</v>
      </c>
      <c r="L352" t="s">
        <v>1901</v>
      </c>
      <c r="M352">
        <v>24</v>
      </c>
      <c r="N352">
        <v>600</v>
      </c>
      <c r="O352" t="s">
        <v>3435</v>
      </c>
      <c r="P352" s="31" t="str">
        <f>HYPERLINK("https://b2b.kobi.pl/pl/product/12683,naswietlacz-led-delyo-mhnc-30w-6000k-ip54-kobi-premium?currency=PLN")</f>
        <v>https://b2b.kobi.pl/pl/product/12683,naswietlacz-led-delyo-mhnc-30w-6000k-ip54-kobi-premium?currency=PLN</v>
      </c>
      <c r="Q352" s="31" t="str">
        <f>HYPERLINK("https://eprel.ec.europa.eu/qr/2365116")</f>
        <v>https://eprel.ec.europa.eu/qr/2365116</v>
      </c>
      <c r="R352"/>
      <c r="S352" t="s">
        <v>2677</v>
      </c>
      <c r="T352"/>
      <c r="U352">
        <v>0.28000000000000003</v>
      </c>
      <c r="V352">
        <v>0.35</v>
      </c>
      <c r="W352">
        <v>20</v>
      </c>
      <c r="X352">
        <v>5.3</v>
      </c>
      <c r="Y352">
        <v>16</v>
      </c>
    </row>
    <row r="353" spans="1:25" ht="60" customHeight="1" x14ac:dyDescent="0.25">
      <c r="A353"/>
      <c r="B353" t="s">
        <v>4</v>
      </c>
      <c r="C353" t="s">
        <v>18</v>
      </c>
      <c r="D353" t="s">
        <v>631</v>
      </c>
      <c r="E353" t="s">
        <v>2641</v>
      </c>
      <c r="F353" t="s">
        <v>2642</v>
      </c>
      <c r="G353" t="s">
        <v>1048</v>
      </c>
      <c r="H353" s="30">
        <v>88.22</v>
      </c>
      <c r="I353" s="29">
        <f>H353*(1-IFERROR(VLOOKUP(G353,Rabat!$D$10:$E$41,2,FALSE),0))</f>
        <v>88.22</v>
      </c>
      <c r="J353" t="s">
        <v>1902</v>
      </c>
      <c r="K353" t="s">
        <v>2698</v>
      </c>
      <c r="L353" t="s">
        <v>1901</v>
      </c>
      <c r="M353">
        <v>20</v>
      </c>
      <c r="N353">
        <v>480</v>
      </c>
      <c r="O353" t="s">
        <v>3435</v>
      </c>
      <c r="P353" s="31" t="str">
        <f>HYPERLINK("https://b2b.kobi.pl/pl/product/12684,naswietlacz-led-delyo-mhnc-50w-4000k-ip54-kobi-premium?currency=PLN")</f>
        <v>https://b2b.kobi.pl/pl/product/12684,naswietlacz-led-delyo-mhnc-50w-4000k-ip54-kobi-premium?currency=PLN</v>
      </c>
      <c r="Q353" s="31" t="str">
        <f>HYPERLINK("https://eprel.ec.europa.eu/qr/2365126")</f>
        <v>https://eprel.ec.europa.eu/qr/2365126</v>
      </c>
      <c r="R353"/>
      <c r="S353" t="s">
        <v>2677</v>
      </c>
      <c r="T353"/>
      <c r="U353">
        <v>0.39</v>
      </c>
      <c r="V353">
        <v>0.48</v>
      </c>
      <c r="W353">
        <v>22</v>
      </c>
      <c r="X353">
        <v>5.3</v>
      </c>
      <c r="Y353">
        <v>19.7</v>
      </c>
    </row>
    <row r="354" spans="1:25" ht="60" customHeight="1" x14ac:dyDescent="0.25">
      <c r="A354"/>
      <c r="B354" t="s">
        <v>4</v>
      </c>
      <c r="C354" t="s">
        <v>18</v>
      </c>
      <c r="D354" t="s">
        <v>631</v>
      </c>
      <c r="E354" t="s">
        <v>2643</v>
      </c>
      <c r="F354" t="s">
        <v>2644</v>
      </c>
      <c r="G354" t="s">
        <v>1048</v>
      </c>
      <c r="H354" s="30">
        <v>88.22</v>
      </c>
      <c r="I354" s="29">
        <f>H354*(1-IFERROR(VLOOKUP(G354,Rabat!$D$10:$E$41,2,FALSE),0))</f>
        <v>88.22</v>
      </c>
      <c r="J354" t="s">
        <v>1902</v>
      </c>
      <c r="K354" t="s">
        <v>2699</v>
      </c>
      <c r="L354" t="s">
        <v>1901</v>
      </c>
      <c r="M354">
        <v>20</v>
      </c>
      <c r="N354">
        <v>480</v>
      </c>
      <c r="O354" t="s">
        <v>3435</v>
      </c>
      <c r="P354" s="31" t="str">
        <f>HYPERLINK("https://b2b.kobi.pl/pl/product/12685,naswietlacz-led-delyo-mhnc-50w-6000k-ip54-kobi-premium?currency=PLN")</f>
        <v>https://b2b.kobi.pl/pl/product/12685,naswietlacz-led-delyo-mhnc-50w-6000k-ip54-kobi-premium?currency=PLN</v>
      </c>
      <c r="Q354" s="31" t="str">
        <f>HYPERLINK("https://eprel.ec.europa.eu/qr/2365535")</f>
        <v>https://eprel.ec.europa.eu/qr/2365535</v>
      </c>
      <c r="R354"/>
      <c r="S354" t="s">
        <v>2677</v>
      </c>
      <c r="T354"/>
      <c r="U354">
        <v>0.39</v>
      </c>
      <c r="V354">
        <v>0.48</v>
      </c>
      <c r="W354">
        <v>22</v>
      </c>
      <c r="X354">
        <v>5.3</v>
      </c>
      <c r="Y354">
        <v>19.7</v>
      </c>
    </row>
    <row r="355" spans="1:25" ht="60" customHeight="1" x14ac:dyDescent="0.25">
      <c r="A355"/>
      <c r="B355" t="s">
        <v>4</v>
      </c>
      <c r="C355" t="s">
        <v>18</v>
      </c>
      <c r="D355" t="s">
        <v>631</v>
      </c>
      <c r="E355" t="s">
        <v>2645</v>
      </c>
      <c r="F355" t="s">
        <v>2646</v>
      </c>
      <c r="G355" t="s">
        <v>1048</v>
      </c>
      <c r="H355" s="30">
        <v>138.88999999999999</v>
      </c>
      <c r="I355" s="29">
        <f>H355*(1-IFERROR(VLOOKUP(G355,Rabat!$D$10:$E$41,2,FALSE),0))</f>
        <v>138.88999999999999</v>
      </c>
      <c r="J355" t="s">
        <v>1902</v>
      </c>
      <c r="K355" t="s">
        <v>2700</v>
      </c>
      <c r="L355" t="s">
        <v>1901</v>
      </c>
      <c r="M355">
        <v>10</v>
      </c>
      <c r="N355">
        <v>200</v>
      </c>
      <c r="O355" t="s">
        <v>3435</v>
      </c>
      <c r="P355" s="31" t="str">
        <f>HYPERLINK("https://b2b.kobi.pl/pl/product/12686,naswietlacz-led-delyo-mhnc-100w-4000k-ip54-kobi-premium?currency=PLN")</f>
        <v>https://b2b.kobi.pl/pl/product/12686,naswietlacz-led-delyo-mhnc-100w-4000k-ip54-kobi-premium?currency=PLN</v>
      </c>
      <c r="Q355" s="31" t="str">
        <f>HYPERLINK("https://eprel.ec.europa.eu/qr/2365552")</f>
        <v>https://eprel.ec.europa.eu/qr/2365552</v>
      </c>
      <c r="R355"/>
      <c r="S355" t="s">
        <v>2677</v>
      </c>
      <c r="T355"/>
      <c r="U355">
        <v>0.82</v>
      </c>
      <c r="V355">
        <v>0.95</v>
      </c>
      <c r="W355">
        <v>29</v>
      </c>
      <c r="X355">
        <v>5.3</v>
      </c>
      <c r="Y355">
        <v>28.5</v>
      </c>
    </row>
    <row r="356" spans="1:25" ht="60" customHeight="1" x14ac:dyDescent="0.25">
      <c r="A356"/>
      <c r="B356" t="s">
        <v>4</v>
      </c>
      <c r="C356" t="s">
        <v>18</v>
      </c>
      <c r="D356" t="s">
        <v>631</v>
      </c>
      <c r="E356" t="s">
        <v>2647</v>
      </c>
      <c r="F356" t="s">
        <v>2648</v>
      </c>
      <c r="G356" t="s">
        <v>1048</v>
      </c>
      <c r="H356" s="30">
        <v>138.88999999999999</v>
      </c>
      <c r="I356" s="29">
        <f>H356*(1-IFERROR(VLOOKUP(G356,Rabat!$D$10:$E$41,2,FALSE),0))</f>
        <v>138.88999999999999</v>
      </c>
      <c r="J356" t="s">
        <v>1902</v>
      </c>
      <c r="K356" t="s">
        <v>2701</v>
      </c>
      <c r="L356" t="s">
        <v>1901</v>
      </c>
      <c r="M356">
        <v>10</v>
      </c>
      <c r="N356">
        <v>200</v>
      </c>
      <c r="O356" t="s">
        <v>3435</v>
      </c>
      <c r="P356" s="31" t="str">
        <f>HYPERLINK("https://b2b.kobi.pl/pl/product/12687,naswietlacz-led-delyo-mhnc-100w-6000k-ip54-kobi-premium?currency=PLN")</f>
        <v>https://b2b.kobi.pl/pl/product/12687,naswietlacz-led-delyo-mhnc-100w-6000k-ip54-kobi-premium?currency=PLN</v>
      </c>
      <c r="Q356" s="31" t="str">
        <f>HYPERLINK("https://eprel.ec.europa.eu/qr/2365630")</f>
        <v>https://eprel.ec.europa.eu/qr/2365630</v>
      </c>
      <c r="R356"/>
      <c r="S356" t="s">
        <v>2677</v>
      </c>
      <c r="T356"/>
      <c r="U356">
        <v>0.82</v>
      </c>
      <c r="V356">
        <v>0.95</v>
      </c>
      <c r="W356">
        <v>29</v>
      </c>
      <c r="X356">
        <v>5.3</v>
      </c>
      <c r="Y356">
        <v>28.5</v>
      </c>
    </row>
    <row r="357" spans="1:25" ht="60" customHeight="1" x14ac:dyDescent="0.25">
      <c r="A357"/>
      <c r="B357" t="s">
        <v>4</v>
      </c>
      <c r="C357" t="s">
        <v>3373</v>
      </c>
      <c r="D357" t="s">
        <v>631</v>
      </c>
      <c r="E357" t="s">
        <v>970</v>
      </c>
      <c r="F357" t="s">
        <v>971</v>
      </c>
      <c r="G357" t="s">
        <v>969</v>
      </c>
      <c r="H357" s="30">
        <v>110</v>
      </c>
      <c r="I357" s="29">
        <f>H357*(1-IFERROR(VLOOKUP(G357,Rabat!$D$10:$E$41,2,FALSE),0))</f>
        <v>110</v>
      </c>
      <c r="J357" t="s">
        <v>1902</v>
      </c>
      <c r="K357" t="s">
        <v>559</v>
      </c>
      <c r="L357" t="s">
        <v>1901</v>
      </c>
      <c r="M357">
        <v>10</v>
      </c>
      <c r="N357">
        <v>240</v>
      </c>
      <c r="O357" t="s">
        <v>3435</v>
      </c>
      <c r="P357" s="31" t="str">
        <f>HYPERLINK("https://b2b.kobi.pl/pl/product/9918,oprawa-drogowa-led-cyoto-50w-4000k-lx-kobi-premium?currency=PLN")</f>
        <v>https://b2b.kobi.pl/pl/product/9918,oprawa-drogowa-led-cyoto-50w-4000k-lx-kobi-premium?currency=PLN</v>
      </c>
      <c r="Q357" s="31" t="str">
        <f>HYPERLINK("https://eprel.ec.europa.eu/qr/2075978")</f>
        <v>https://eprel.ec.europa.eu/qr/2075978</v>
      </c>
      <c r="R357" t="s">
        <v>2035</v>
      </c>
      <c r="S357" t="s">
        <v>2677</v>
      </c>
      <c r="T357"/>
      <c r="U357">
        <v>0.85</v>
      </c>
      <c r="V357">
        <v>1.036</v>
      </c>
      <c r="W357">
        <v>12</v>
      </c>
      <c r="X357">
        <v>8</v>
      </c>
      <c r="Y357">
        <v>51.5</v>
      </c>
    </row>
    <row r="358" spans="1:25" ht="60" customHeight="1" x14ac:dyDescent="0.25">
      <c r="A358"/>
      <c r="B358" t="s">
        <v>4</v>
      </c>
      <c r="C358" t="s">
        <v>3373</v>
      </c>
      <c r="D358" t="s">
        <v>631</v>
      </c>
      <c r="E358" t="s">
        <v>967</v>
      </c>
      <c r="F358" t="s">
        <v>968</v>
      </c>
      <c r="G358" t="s">
        <v>969</v>
      </c>
      <c r="H358" s="30">
        <v>174.42</v>
      </c>
      <c r="I358" s="29">
        <f>H358*(1-IFERROR(VLOOKUP(G358,Rabat!$D$10:$E$41,2,FALSE),0))</f>
        <v>174.42</v>
      </c>
      <c r="J358" t="s">
        <v>1902</v>
      </c>
      <c r="K358" t="s">
        <v>560</v>
      </c>
      <c r="L358" t="s">
        <v>1901</v>
      </c>
      <c r="M358">
        <v>5</v>
      </c>
      <c r="N358">
        <v>140</v>
      </c>
      <c r="O358" t="s">
        <v>3435</v>
      </c>
      <c r="P358" s="31" t="str">
        <f>HYPERLINK("https://b2b.kobi.pl/pl/product/9917,oprawa-drogowa-led-cyoto-100w-4000k-lx-kobi-premium?currency=PLN")</f>
        <v>https://b2b.kobi.pl/pl/product/9917,oprawa-drogowa-led-cyoto-100w-4000k-lx-kobi-premium?currency=PLN</v>
      </c>
      <c r="Q358" s="31" t="str">
        <f>HYPERLINK("https://eprel.ec.europa.eu/qr/2075604")</f>
        <v>https://eprel.ec.europa.eu/qr/2075604</v>
      </c>
      <c r="R358" t="s">
        <v>2035</v>
      </c>
      <c r="S358" t="s">
        <v>2677</v>
      </c>
      <c r="T358"/>
      <c r="U358">
        <v>1.206</v>
      </c>
      <c r="V358">
        <v>1.407</v>
      </c>
      <c r="W358">
        <v>12</v>
      </c>
      <c r="X358">
        <v>8.3000000000000007</v>
      </c>
      <c r="Y358">
        <v>64</v>
      </c>
    </row>
    <row r="359" spans="1:25" ht="60" customHeight="1" x14ac:dyDescent="0.25">
      <c r="A359"/>
      <c r="B359" t="s">
        <v>4</v>
      </c>
      <c r="C359" t="s">
        <v>3373</v>
      </c>
      <c r="D359" t="s">
        <v>599</v>
      </c>
      <c r="E359" t="s">
        <v>1099</v>
      </c>
      <c r="F359" t="s">
        <v>1100</v>
      </c>
      <c r="G359" t="s">
        <v>969</v>
      </c>
      <c r="H359" s="30">
        <v>677.78</v>
      </c>
      <c r="I359" s="29">
        <f>H359*(1-IFERROR(VLOOKUP(G359,Rabat!$D$10:$E$41,2,FALSE),0))</f>
        <v>677.78</v>
      </c>
      <c r="J359" t="s">
        <v>1906</v>
      </c>
      <c r="K359" t="s">
        <v>238</v>
      </c>
      <c r="L359" t="s">
        <v>1901</v>
      </c>
      <c r="M359"/>
      <c r="N359"/>
      <c r="O359" t="s">
        <v>3436</v>
      </c>
      <c r="P359" s="31" t="str">
        <f>HYPERLINK("https://b2b.kobi.pl/pl/product/10027,oprawa-drogowa-led-master-street-35w-4000k-ip66-mb-kobi-pro?currency=PLN")</f>
        <v>https://b2b.kobi.pl/pl/product/10027,oprawa-drogowa-led-master-street-35w-4000k-ip66-mb-kobi-pro?currency=PLN</v>
      </c>
      <c r="Q359" s="31" t="str">
        <f>HYPERLINK("https://eprel.ec.europa.eu/qr/1852383")</f>
        <v>https://eprel.ec.europa.eu/qr/1852383</v>
      </c>
      <c r="R359" t="s">
        <v>2035</v>
      </c>
      <c r="S359" t="s">
        <v>2677</v>
      </c>
      <c r="T359"/>
      <c r="U359">
        <v>3.25</v>
      </c>
      <c r="V359">
        <v>3.72</v>
      </c>
      <c r="W359">
        <v>25</v>
      </c>
      <c r="X359">
        <v>29</v>
      </c>
      <c r="Y359">
        <v>16</v>
      </c>
    </row>
    <row r="360" spans="1:25" ht="60" customHeight="1" x14ac:dyDescent="0.25">
      <c r="A360"/>
      <c r="B360" t="s">
        <v>4</v>
      </c>
      <c r="C360" t="s">
        <v>3373</v>
      </c>
      <c r="D360" t="s">
        <v>599</v>
      </c>
      <c r="E360" t="s">
        <v>1101</v>
      </c>
      <c r="F360" t="s">
        <v>1102</v>
      </c>
      <c r="G360" t="s">
        <v>969</v>
      </c>
      <c r="H360" s="30">
        <v>677.78</v>
      </c>
      <c r="I360" s="29">
        <f>H360*(1-IFERROR(VLOOKUP(G360,Rabat!$D$10:$E$41,2,FALSE),0))</f>
        <v>677.78</v>
      </c>
      <c r="J360" t="s">
        <v>1906</v>
      </c>
      <c r="K360" t="s">
        <v>239</v>
      </c>
      <c r="L360" t="s">
        <v>1901</v>
      </c>
      <c r="M360"/>
      <c r="N360"/>
      <c r="O360" t="s">
        <v>3436</v>
      </c>
      <c r="P360" s="31" t="str">
        <f>HYPERLINK("https://b2b.kobi.pl/pl/product/10028,oprawa-drogowa-led-master-street-35w-4000k-ip66-wb-kobi-pro?currency=PLN")</f>
        <v>https://b2b.kobi.pl/pl/product/10028,oprawa-drogowa-led-master-street-35w-4000k-ip66-wb-kobi-pro?currency=PLN</v>
      </c>
      <c r="Q360" s="31" t="str">
        <f>HYPERLINK("https://eprel.ec.europa.eu/qr/1852383")</f>
        <v>https://eprel.ec.europa.eu/qr/1852383</v>
      </c>
      <c r="R360" t="s">
        <v>2035</v>
      </c>
      <c r="S360" t="s">
        <v>2677</v>
      </c>
      <c r="T360"/>
      <c r="U360">
        <v>3.25</v>
      </c>
      <c r="V360">
        <v>3.72</v>
      </c>
      <c r="W360">
        <v>25</v>
      </c>
      <c r="X360">
        <v>29</v>
      </c>
      <c r="Y360">
        <v>16</v>
      </c>
    </row>
    <row r="361" spans="1:25" ht="60" customHeight="1" x14ac:dyDescent="0.25">
      <c r="A361"/>
      <c r="B361" t="s">
        <v>4</v>
      </c>
      <c r="C361" t="s">
        <v>3373</v>
      </c>
      <c r="D361" t="s">
        <v>599</v>
      </c>
      <c r="E361" t="s">
        <v>1205</v>
      </c>
      <c r="F361" t="s">
        <v>1206</v>
      </c>
      <c r="G361" t="s">
        <v>969</v>
      </c>
      <c r="H361" s="30">
        <v>226.67</v>
      </c>
      <c r="I361" s="29">
        <f>H361*(1-IFERROR(VLOOKUP(G361,Rabat!$D$10:$E$41,2,FALSE),0))</f>
        <v>226.67</v>
      </c>
      <c r="J361" t="s">
        <v>1907</v>
      </c>
      <c r="K361" t="s">
        <v>240</v>
      </c>
      <c r="L361" t="s">
        <v>1901</v>
      </c>
      <c r="M361">
        <v>6</v>
      </c>
      <c r="N361">
        <v>96</v>
      </c>
      <c r="O361" t="s">
        <v>3436</v>
      </c>
      <c r="P361" s="31" t="str">
        <f>HYPERLINK("https://b2b.kobi.pl/pl/product/10218,oprawa-drogowa-led-vespa-pro-40w-4000k-ip66-kobi-pro?currency=PLN")</f>
        <v>https://b2b.kobi.pl/pl/product/10218,oprawa-drogowa-led-vespa-pro-40w-4000k-ip66-kobi-pro?currency=PLN</v>
      </c>
      <c r="Q361" s="31" t="str">
        <f>HYPERLINK("https://eprel.ec.europa.eu/qr/1410066")</f>
        <v>https://eprel.ec.europa.eu/qr/1410066</v>
      </c>
      <c r="R361"/>
      <c r="S361" t="s">
        <v>2677</v>
      </c>
      <c r="T361"/>
      <c r="U361">
        <v>1.6</v>
      </c>
      <c r="V361">
        <v>1.84</v>
      </c>
      <c r="W361">
        <v>16.7</v>
      </c>
      <c r="X361">
        <v>12</v>
      </c>
      <c r="Y361">
        <v>5.4</v>
      </c>
    </row>
    <row r="362" spans="1:25" ht="60" customHeight="1" x14ac:dyDescent="0.25">
      <c r="A362"/>
      <c r="B362" t="s">
        <v>4</v>
      </c>
      <c r="C362" t="s">
        <v>3373</v>
      </c>
      <c r="D362" t="s">
        <v>599</v>
      </c>
      <c r="E362" t="s">
        <v>1207</v>
      </c>
      <c r="F362" t="s">
        <v>1208</v>
      </c>
      <c r="G362" t="s">
        <v>969</v>
      </c>
      <c r="H362" s="30">
        <v>271.11</v>
      </c>
      <c r="I362" s="29">
        <f>H362*(1-IFERROR(VLOOKUP(G362,Rabat!$D$10:$E$41,2,FALSE),0))</f>
        <v>271.11</v>
      </c>
      <c r="J362" t="s">
        <v>1907</v>
      </c>
      <c r="K362" t="s">
        <v>241</v>
      </c>
      <c r="L362" t="s">
        <v>1901</v>
      </c>
      <c r="M362">
        <v>6</v>
      </c>
      <c r="N362">
        <v>96</v>
      </c>
      <c r="O362" t="s">
        <v>3436</v>
      </c>
      <c r="P362" s="31" t="str">
        <f>HYPERLINK("https://b2b.kobi.pl/pl/product/10219,oprawa-drogowa-led-vespa-pro-60w-4000k-ip66-kobi-pro?currency=PLN")</f>
        <v>https://b2b.kobi.pl/pl/product/10219,oprawa-drogowa-led-vespa-pro-60w-4000k-ip66-kobi-pro?currency=PLN</v>
      </c>
      <c r="Q362" s="31" t="str">
        <f>HYPERLINK("https://eprel.ec.europa.eu/qr/1410067")</f>
        <v>https://eprel.ec.europa.eu/qr/1410067</v>
      </c>
      <c r="R362"/>
      <c r="S362" t="s">
        <v>2677</v>
      </c>
      <c r="T362"/>
      <c r="U362">
        <v>1.9</v>
      </c>
      <c r="V362">
        <v>2.1869999999999998</v>
      </c>
      <c r="W362">
        <v>18.7</v>
      </c>
      <c r="X362">
        <v>12</v>
      </c>
      <c r="Y362">
        <v>5.85</v>
      </c>
    </row>
    <row r="363" spans="1:25" ht="60" customHeight="1" x14ac:dyDescent="0.25">
      <c r="A363"/>
      <c r="B363" t="s">
        <v>4</v>
      </c>
      <c r="C363" t="s">
        <v>3373</v>
      </c>
      <c r="D363" t="s">
        <v>599</v>
      </c>
      <c r="E363" t="s">
        <v>1199</v>
      </c>
      <c r="F363" t="s">
        <v>1200</v>
      </c>
      <c r="G363" t="s">
        <v>969</v>
      </c>
      <c r="H363" s="30">
        <v>404.44</v>
      </c>
      <c r="I363" s="29">
        <f>H363*(1-IFERROR(VLOOKUP(G363,Rabat!$D$10:$E$41,2,FALSE),0))</f>
        <v>404.44</v>
      </c>
      <c r="J363" t="s">
        <v>1907</v>
      </c>
      <c r="K363" t="s">
        <v>242</v>
      </c>
      <c r="L363" t="s">
        <v>1901</v>
      </c>
      <c r="M363">
        <v>6</v>
      </c>
      <c r="N363">
        <v>54</v>
      </c>
      <c r="O363" t="s">
        <v>3436</v>
      </c>
      <c r="P363" s="31" t="str">
        <f>HYPERLINK("https://b2b.kobi.pl/pl/product/10213,oprawa-drogowa-led-vespa-pro-100w-4000k-ip66-kobi-pro?currency=PLN")</f>
        <v>https://b2b.kobi.pl/pl/product/10213,oprawa-drogowa-led-vespa-pro-100w-4000k-ip66-kobi-pro?currency=PLN</v>
      </c>
      <c r="Q363" s="31" t="str">
        <f>HYPERLINK("https://eprel.ec.europa.eu/qr/1410068")</f>
        <v>https://eprel.ec.europa.eu/qr/1410068</v>
      </c>
      <c r="R363"/>
      <c r="S363" t="s">
        <v>2677</v>
      </c>
      <c r="T363"/>
      <c r="U363">
        <v>2.4500000000000002</v>
      </c>
      <c r="V363">
        <v>2.79</v>
      </c>
      <c r="W363">
        <v>22.8</v>
      </c>
      <c r="X363">
        <v>12</v>
      </c>
      <c r="Y363">
        <v>6.4</v>
      </c>
    </row>
    <row r="364" spans="1:25" ht="60" customHeight="1" x14ac:dyDescent="0.25">
      <c r="A364"/>
      <c r="B364" t="s">
        <v>4</v>
      </c>
      <c r="C364" t="s">
        <v>3373</v>
      </c>
      <c r="D364" t="s">
        <v>599</v>
      </c>
      <c r="E364" t="s">
        <v>1201</v>
      </c>
      <c r="F364" t="s">
        <v>1202</v>
      </c>
      <c r="G364" t="s">
        <v>969</v>
      </c>
      <c r="H364" s="30">
        <v>466.67</v>
      </c>
      <c r="I364" s="29">
        <f>H364*(1-IFERROR(VLOOKUP(G364,Rabat!$D$10:$E$41,2,FALSE),0))</f>
        <v>466.67</v>
      </c>
      <c r="J364" t="s">
        <v>1907</v>
      </c>
      <c r="K364" t="s">
        <v>243</v>
      </c>
      <c r="L364" t="s">
        <v>1901</v>
      </c>
      <c r="M364">
        <v>4</v>
      </c>
      <c r="N364">
        <v>48</v>
      </c>
      <c r="O364" t="s">
        <v>3436</v>
      </c>
      <c r="P364" s="31" t="str">
        <f>HYPERLINK("https://b2b.kobi.pl/pl/product/10214,oprawa-drogowa-led-vespa-pro-150w-4000k-ip66-kobi-pro?currency=PLN")</f>
        <v>https://b2b.kobi.pl/pl/product/10214,oprawa-drogowa-led-vespa-pro-150w-4000k-ip66-kobi-pro?currency=PLN</v>
      </c>
      <c r="Q364" s="31" t="str">
        <f>HYPERLINK("https://eprel.ec.europa.eu/qr/1410069")</f>
        <v>https://eprel.ec.europa.eu/qr/1410069</v>
      </c>
      <c r="R364"/>
      <c r="S364" t="s">
        <v>2677</v>
      </c>
      <c r="T364"/>
      <c r="U364">
        <v>2.8</v>
      </c>
      <c r="V364">
        <v>3.1920000000000002</v>
      </c>
      <c r="W364">
        <v>25.5</v>
      </c>
      <c r="X364">
        <v>12</v>
      </c>
      <c r="Y364">
        <v>6.9</v>
      </c>
    </row>
    <row r="365" spans="1:25" ht="60" customHeight="1" x14ac:dyDescent="0.25">
      <c r="A365"/>
      <c r="B365" t="s">
        <v>4</v>
      </c>
      <c r="C365" t="s">
        <v>3373</v>
      </c>
      <c r="D365" t="s">
        <v>599</v>
      </c>
      <c r="E365" t="s">
        <v>1203</v>
      </c>
      <c r="F365" t="s">
        <v>1204</v>
      </c>
      <c r="G365" t="s">
        <v>969</v>
      </c>
      <c r="H365" s="30">
        <v>597.78</v>
      </c>
      <c r="I365" s="29">
        <f>H365*(1-IFERROR(VLOOKUP(G365,Rabat!$D$10:$E$41,2,FALSE),0))</f>
        <v>597.78</v>
      </c>
      <c r="J365" t="s">
        <v>1907</v>
      </c>
      <c r="K365" t="s">
        <v>244</v>
      </c>
      <c r="L365" t="s">
        <v>1901</v>
      </c>
      <c r="M365">
        <v>4</v>
      </c>
      <c r="N365">
        <v>36</v>
      </c>
      <c r="O365" t="s">
        <v>3436</v>
      </c>
      <c r="P365" s="31" t="str">
        <f>HYPERLINK("https://b2b.kobi.pl/pl/product/10215,oprawa-drogowa-led-vespa-pro-200w-4000k-ip66-kobi-pro?currency=PLN")</f>
        <v>https://b2b.kobi.pl/pl/product/10215,oprawa-drogowa-led-vespa-pro-200w-4000k-ip66-kobi-pro?currency=PLN</v>
      </c>
      <c r="Q365" s="31" t="str">
        <f>HYPERLINK("https://eprel.ec.europa.eu/qr/1410070")</f>
        <v>https://eprel.ec.europa.eu/qr/1410070</v>
      </c>
      <c r="R365"/>
      <c r="S365" t="s">
        <v>2677</v>
      </c>
      <c r="T365"/>
      <c r="U365">
        <v>3.85</v>
      </c>
      <c r="V365">
        <v>4.3449999999999998</v>
      </c>
      <c r="W365">
        <v>30.7</v>
      </c>
      <c r="X365">
        <v>12</v>
      </c>
      <c r="Y365">
        <v>7.9</v>
      </c>
    </row>
    <row r="366" spans="1:25" ht="60" customHeight="1" x14ac:dyDescent="0.25">
      <c r="A366"/>
      <c r="B366" t="s">
        <v>4</v>
      </c>
      <c r="C366" t="s">
        <v>3373</v>
      </c>
      <c r="D366" t="s">
        <v>631</v>
      </c>
      <c r="E366" t="s">
        <v>2649</v>
      </c>
      <c r="F366" t="s">
        <v>2650</v>
      </c>
      <c r="G366" t="s">
        <v>969</v>
      </c>
      <c r="H366" s="30">
        <v>82.2</v>
      </c>
      <c r="I366" s="29">
        <f>H366*(1-IFERROR(VLOOKUP(G366,Rabat!$D$10:$E$41,2,FALSE),0))</f>
        <v>82.2</v>
      </c>
      <c r="J366"/>
      <c r="K366" t="s">
        <v>2702</v>
      </c>
      <c r="L366" t="s">
        <v>1901</v>
      </c>
      <c r="M366">
        <v>10</v>
      </c>
      <c r="N366"/>
      <c r="O366" t="s">
        <v>3435</v>
      </c>
      <c r="P366" s="31" t="str">
        <f>HYPERLINK("https://b2b.kobi.pl/pl/product/12767,oprawa-drogowa-led-breluxo-50w-4000k-ip65-kobi-premium?currency=PLN")</f>
        <v>https://b2b.kobi.pl/pl/product/12767,oprawa-drogowa-led-breluxo-50w-4000k-ip65-kobi-premium?currency=PLN</v>
      </c>
      <c r="Q366" t="s">
        <v>15</v>
      </c>
      <c r="R366"/>
      <c r="S366" t="s">
        <v>2677</v>
      </c>
      <c r="T366"/>
      <c r="U366">
        <v>0.85</v>
      </c>
      <c r="V366">
        <v>1.02</v>
      </c>
      <c r="W366">
        <v>11.5</v>
      </c>
      <c r="X366">
        <v>8</v>
      </c>
      <c r="Y366">
        <v>43.8</v>
      </c>
    </row>
    <row r="367" spans="1:25" ht="60" customHeight="1" x14ac:dyDescent="0.25">
      <c r="A367"/>
      <c r="B367" t="s">
        <v>4</v>
      </c>
      <c r="C367" t="s">
        <v>3373</v>
      </c>
      <c r="D367" t="s">
        <v>631</v>
      </c>
      <c r="E367" t="s">
        <v>2651</v>
      </c>
      <c r="F367" t="s">
        <v>2652</v>
      </c>
      <c r="G367" t="s">
        <v>969</v>
      </c>
      <c r="H367" s="30">
        <v>97.76</v>
      </c>
      <c r="I367" s="29">
        <f>H367*(1-IFERROR(VLOOKUP(G367,Rabat!$D$10:$E$41,2,FALSE),0))</f>
        <v>97.76</v>
      </c>
      <c r="J367"/>
      <c r="K367" t="s">
        <v>2703</v>
      </c>
      <c r="L367" t="s">
        <v>1901</v>
      </c>
      <c r="M367">
        <v>5</v>
      </c>
      <c r="N367"/>
      <c r="O367" t="s">
        <v>3435</v>
      </c>
      <c r="P367" s="31" t="str">
        <f>HYPERLINK("https://b2b.kobi.pl/pl/product/12768,oprawa-drogowa-led-breluxo-100w-4000k-ip65-kobi-premium?currency=PLN")</f>
        <v>https://b2b.kobi.pl/pl/product/12768,oprawa-drogowa-led-breluxo-100w-4000k-ip65-kobi-premium?currency=PLN</v>
      </c>
      <c r="Q367" t="s">
        <v>15</v>
      </c>
      <c r="R367"/>
      <c r="S367" t="s">
        <v>2677</v>
      </c>
      <c r="T367"/>
      <c r="U367">
        <v>1.01</v>
      </c>
      <c r="V367">
        <v>1.2</v>
      </c>
      <c r="W367">
        <v>16</v>
      </c>
      <c r="X367">
        <v>8</v>
      </c>
      <c r="Y367">
        <v>48.8</v>
      </c>
    </row>
    <row r="368" spans="1:25" ht="60" customHeight="1" x14ac:dyDescent="0.25">
      <c r="A368"/>
      <c r="B368" t="s">
        <v>4</v>
      </c>
      <c r="C368" t="s">
        <v>3373</v>
      </c>
      <c r="D368" t="s">
        <v>631</v>
      </c>
      <c r="E368" t="s">
        <v>2653</v>
      </c>
      <c r="F368" t="s">
        <v>2654</v>
      </c>
      <c r="G368" t="s">
        <v>969</v>
      </c>
      <c r="H368" s="30">
        <v>137.76</v>
      </c>
      <c r="I368" s="29">
        <f>H368*(1-IFERROR(VLOOKUP(G368,Rabat!$D$10:$E$41,2,FALSE),0))</f>
        <v>137.76</v>
      </c>
      <c r="J368"/>
      <c r="K368" t="s">
        <v>2704</v>
      </c>
      <c r="L368" t="s">
        <v>1901</v>
      </c>
      <c r="M368">
        <v>5</v>
      </c>
      <c r="N368"/>
      <c r="O368" t="s">
        <v>3435</v>
      </c>
      <c r="P368" s="31" t="str">
        <f>HYPERLINK("https://b2b.kobi.pl/pl/product/12769,oprawa-drogowa-led-breluxo-150w-4000k-ip65-kobi-premium?currency=PLN")</f>
        <v>https://b2b.kobi.pl/pl/product/12769,oprawa-drogowa-led-breluxo-150w-4000k-ip65-kobi-premium?currency=PLN</v>
      </c>
      <c r="Q368" t="s">
        <v>15</v>
      </c>
      <c r="R368"/>
      <c r="S368" t="s">
        <v>2677</v>
      </c>
      <c r="T368"/>
      <c r="U368">
        <v>1.1100000000000001</v>
      </c>
      <c r="V368">
        <v>1.32</v>
      </c>
      <c r="W368">
        <v>17</v>
      </c>
      <c r="X368">
        <v>8</v>
      </c>
      <c r="Y368">
        <v>54.3</v>
      </c>
    </row>
    <row r="369" spans="1:25" ht="60" customHeight="1" x14ac:dyDescent="0.25">
      <c r="A369"/>
      <c r="B369" t="s">
        <v>4</v>
      </c>
      <c r="C369" t="s">
        <v>3373</v>
      </c>
      <c r="D369" t="s">
        <v>631</v>
      </c>
      <c r="E369" t="s">
        <v>2655</v>
      </c>
      <c r="F369" t="s">
        <v>2656</v>
      </c>
      <c r="G369" t="s">
        <v>969</v>
      </c>
      <c r="H369" s="30">
        <v>184.42</v>
      </c>
      <c r="I369" s="29">
        <f>H369*(1-IFERROR(VLOOKUP(G369,Rabat!$D$10:$E$41,2,FALSE),0))</f>
        <v>184.42</v>
      </c>
      <c r="J369"/>
      <c r="K369" t="s">
        <v>2705</v>
      </c>
      <c r="L369" t="s">
        <v>1901</v>
      </c>
      <c r="M369">
        <v>5</v>
      </c>
      <c r="N369"/>
      <c r="O369" t="s">
        <v>3435</v>
      </c>
      <c r="P369" s="31" t="str">
        <f>HYPERLINK("https://b2b.kobi.pl/pl/product/12770,oprawa-drogowa-led-breluxo-200w-4000k-ip65-kobi-premium?currency=PLN")</f>
        <v>https://b2b.kobi.pl/pl/product/12770,oprawa-drogowa-led-breluxo-200w-4000k-ip65-kobi-premium?currency=PLN</v>
      </c>
      <c r="Q369" t="s">
        <v>15</v>
      </c>
      <c r="R369"/>
      <c r="S369" t="s">
        <v>2677</v>
      </c>
      <c r="T369"/>
      <c r="U369">
        <v>1.64</v>
      </c>
      <c r="V369">
        <v>1.9</v>
      </c>
      <c r="W369">
        <v>21</v>
      </c>
      <c r="X369">
        <v>8</v>
      </c>
      <c r="Y369">
        <v>60.3</v>
      </c>
    </row>
    <row r="370" spans="1:25" ht="60" customHeight="1" x14ac:dyDescent="0.25">
      <c r="A370"/>
      <c r="B370" t="s">
        <v>4</v>
      </c>
      <c r="C370" t="s">
        <v>3373</v>
      </c>
      <c r="D370" t="s">
        <v>599</v>
      </c>
      <c r="E370" t="s">
        <v>2852</v>
      </c>
      <c r="F370" t="s">
        <v>2853</v>
      </c>
      <c r="G370" t="s">
        <v>969</v>
      </c>
      <c r="H370" s="30">
        <v>622.22</v>
      </c>
      <c r="I370" s="29">
        <f>H370*(1-IFERROR(VLOOKUP(G370,Rabat!$D$10:$E$41,2,FALSE),0))</f>
        <v>622.22</v>
      </c>
      <c r="J370" t="s">
        <v>1902</v>
      </c>
      <c r="K370" t="s">
        <v>2875</v>
      </c>
      <c r="L370" t="s">
        <v>1901</v>
      </c>
      <c r="M370">
        <v>1</v>
      </c>
      <c r="N370">
        <v>70</v>
      </c>
      <c r="O370" t="s">
        <v>3436</v>
      </c>
      <c r="P370" s="31" t="str">
        <f>HYPERLINK("https://b2b.kobi.pl/pl/product/12852,oprawa-drogowa-led-ultimate-street-50w-4000k-ip66-kobi-pro?currency=PLN")</f>
        <v>https://b2b.kobi.pl/pl/product/12852,oprawa-drogowa-led-ultimate-street-50w-4000k-ip66-kobi-pro?currency=PLN</v>
      </c>
      <c r="Q370" s="31" t="str">
        <f>HYPERLINK("https://eprel.ec.europa.eu/qr/2480011")</f>
        <v>https://eprel.ec.europa.eu/qr/2480011</v>
      </c>
      <c r="R370"/>
      <c r="S370" t="s">
        <v>2677</v>
      </c>
      <c r="T370"/>
      <c r="U370">
        <v>2.2999999999999998</v>
      </c>
      <c r="V370">
        <v>2.6</v>
      </c>
      <c r="W370">
        <v>47.5</v>
      </c>
      <c r="X370">
        <v>16</v>
      </c>
      <c r="Y370">
        <v>20</v>
      </c>
    </row>
    <row r="371" spans="1:25" ht="60" customHeight="1" x14ac:dyDescent="0.25">
      <c r="A371"/>
      <c r="B371" t="s">
        <v>4</v>
      </c>
      <c r="C371" t="s">
        <v>3373</v>
      </c>
      <c r="D371" t="s">
        <v>599</v>
      </c>
      <c r="E371" t="s">
        <v>2854</v>
      </c>
      <c r="F371" t="s">
        <v>2855</v>
      </c>
      <c r="G371" t="s">
        <v>969</v>
      </c>
      <c r="H371" s="30">
        <v>711.11</v>
      </c>
      <c r="I371" s="29">
        <f>H371*(1-IFERROR(VLOOKUP(G371,Rabat!$D$10:$E$41,2,FALSE),0))</f>
        <v>711.11</v>
      </c>
      <c r="J371" t="s">
        <v>1902</v>
      </c>
      <c r="K371" t="s">
        <v>2876</v>
      </c>
      <c r="L371" t="s">
        <v>1901</v>
      </c>
      <c r="M371">
        <v>1</v>
      </c>
      <c r="N371">
        <v>63</v>
      </c>
      <c r="O371" t="s">
        <v>3436</v>
      </c>
      <c r="P371" s="31" t="str">
        <f>HYPERLINK("https://b2b.kobi.pl/pl/product/12853,oprawa-drogowa-led-ultimate-street-100w-4000k-ip66-kobi-pro?currency=PLN")</f>
        <v>https://b2b.kobi.pl/pl/product/12853,oprawa-drogowa-led-ultimate-street-100w-4000k-ip66-kobi-pro?currency=PLN</v>
      </c>
      <c r="Q371" s="31" t="str">
        <f>HYPERLINK("https://eprel.ec.europa.eu/qr/2480021")</f>
        <v>https://eprel.ec.europa.eu/qr/2480021</v>
      </c>
      <c r="R371"/>
      <c r="S371" t="s">
        <v>2677</v>
      </c>
      <c r="T371"/>
      <c r="U371">
        <v>3.15</v>
      </c>
      <c r="V371">
        <v>3.55</v>
      </c>
      <c r="W371">
        <v>56</v>
      </c>
      <c r="X371">
        <v>15</v>
      </c>
      <c r="Y371">
        <v>23</v>
      </c>
    </row>
    <row r="372" spans="1:25" ht="60" customHeight="1" x14ac:dyDescent="0.25">
      <c r="A372"/>
      <c r="B372" t="s">
        <v>4</v>
      </c>
      <c r="C372" t="s">
        <v>3373</v>
      </c>
      <c r="D372" t="s">
        <v>599</v>
      </c>
      <c r="E372" t="s">
        <v>2856</v>
      </c>
      <c r="F372" t="s">
        <v>2857</v>
      </c>
      <c r="G372" t="s">
        <v>969</v>
      </c>
      <c r="H372" s="30">
        <v>886.67</v>
      </c>
      <c r="I372" s="29">
        <f>H372*(1-IFERROR(VLOOKUP(G372,Rabat!$D$10:$E$41,2,FALSE),0))</f>
        <v>886.67</v>
      </c>
      <c r="J372" t="s">
        <v>1902</v>
      </c>
      <c r="K372" t="s">
        <v>2877</v>
      </c>
      <c r="L372" t="s">
        <v>1901</v>
      </c>
      <c r="M372">
        <v>1</v>
      </c>
      <c r="N372">
        <v>38</v>
      </c>
      <c r="O372" t="s">
        <v>3436</v>
      </c>
      <c r="P372" s="31" t="str">
        <f>HYPERLINK("https://b2b.kobi.pl/pl/product/12854,oprawa-drogowa-led-ultimate-street-150w-4000k-ip66-kobi-pro?currency=PLN")</f>
        <v>https://b2b.kobi.pl/pl/product/12854,oprawa-drogowa-led-ultimate-street-150w-4000k-ip66-kobi-pro?currency=PLN</v>
      </c>
      <c r="Q372" s="31" t="str">
        <f>HYPERLINK("https://eprel.ec.europa.eu/qr/2480083")</f>
        <v>https://eprel.ec.europa.eu/qr/2480083</v>
      </c>
      <c r="R372"/>
      <c r="S372" t="s">
        <v>2677</v>
      </c>
      <c r="T372"/>
      <c r="U372">
        <v>4.75</v>
      </c>
      <c r="V372">
        <v>5.25</v>
      </c>
      <c r="W372">
        <v>66</v>
      </c>
      <c r="X372">
        <v>16</v>
      </c>
      <c r="Y372">
        <v>30</v>
      </c>
    </row>
    <row r="373" spans="1:25" ht="60" customHeight="1" x14ac:dyDescent="0.25">
      <c r="A373"/>
      <c r="B373" t="s">
        <v>4</v>
      </c>
      <c r="C373" t="s">
        <v>3373</v>
      </c>
      <c r="D373" t="s">
        <v>599</v>
      </c>
      <c r="E373" t="s">
        <v>3087</v>
      </c>
      <c r="F373" t="s">
        <v>3088</v>
      </c>
      <c r="G373" t="s">
        <v>969</v>
      </c>
      <c r="H373" s="30">
        <v>388.89</v>
      </c>
      <c r="I373" s="29">
        <f>H373*(1-IFERROR(VLOOKUP(G373,Rabat!$D$10:$E$41,2,FALSE),0))</f>
        <v>388.89</v>
      </c>
      <c r="J373" t="s">
        <v>1902</v>
      </c>
      <c r="K373" t="s">
        <v>3089</v>
      </c>
      <c r="L373" t="s">
        <v>1901</v>
      </c>
      <c r="M373">
        <v>4</v>
      </c>
      <c r="N373">
        <v>64</v>
      </c>
      <c r="O373" t="s">
        <v>3436</v>
      </c>
      <c r="P373" s="31" t="str">
        <f>HYPERLINK("https://b2b.kobi.pl/pl/product/12987,oprawa-parkowa-led-nexpark-g2-30w-40w-60w-3cct-ip66-kobi-pro?currency=PLN")</f>
        <v>https://b2b.kobi.pl/pl/product/12987,oprawa-parkowa-led-nexpark-g2-30w-40w-60w-3cct-ip66-kobi-pro?currency=PLN</v>
      </c>
      <c r="Q373" s="31" t="str">
        <f>HYPERLINK("https://eprel.ec.europa.eu/qr/2444652")</f>
        <v>https://eprel.ec.europa.eu/qr/2444652</v>
      </c>
      <c r="R373"/>
      <c r="S373" t="s">
        <v>2677</v>
      </c>
      <c r="T373"/>
      <c r="U373">
        <v>2.4</v>
      </c>
      <c r="V373">
        <v>3.05</v>
      </c>
      <c r="W373">
        <v>41</v>
      </c>
      <c r="X373">
        <v>38.6</v>
      </c>
      <c r="Y373">
        <v>12</v>
      </c>
    </row>
    <row r="374" spans="1:25" ht="60" customHeight="1" x14ac:dyDescent="0.25">
      <c r="A374"/>
      <c r="B374" t="s">
        <v>4</v>
      </c>
      <c r="C374" t="s">
        <v>19</v>
      </c>
      <c r="D374" t="s">
        <v>599</v>
      </c>
      <c r="E374" t="s">
        <v>693</v>
      </c>
      <c r="F374" t="s">
        <v>694</v>
      </c>
      <c r="G374" t="s">
        <v>601</v>
      </c>
      <c r="H374" s="30">
        <v>531.11</v>
      </c>
      <c r="I374" s="29">
        <f>H374*(1-IFERROR(VLOOKUP(G374,Rabat!$D$10:$E$41,2,FALSE),0))</f>
        <v>531.11</v>
      </c>
      <c r="J374" t="s">
        <v>1902</v>
      </c>
      <c r="K374" t="s">
        <v>219</v>
      </c>
      <c r="L374" t="s">
        <v>1901</v>
      </c>
      <c r="M374">
        <v>1</v>
      </c>
      <c r="N374">
        <v>62</v>
      </c>
      <c r="O374" t="s">
        <v>3437</v>
      </c>
      <c r="P374" s="31" t="str">
        <f>HYPERLINK("https://b2b.kobi.pl/pl/product/9889,high-bay-led-anica-100w-4000k-ip65-120-kobi-pro?currency=PLN")</f>
        <v>https://b2b.kobi.pl/pl/product/9889,high-bay-led-anica-100w-4000k-ip65-120-kobi-pro?currency=PLN</v>
      </c>
      <c r="Q374" s="31" t="str">
        <f>HYPERLINK("https://eprel.ec.europa.eu/qr/1899009")</f>
        <v>https://eprel.ec.europa.eu/qr/1899009</v>
      </c>
      <c r="R374"/>
      <c r="S374" t="s">
        <v>2677</v>
      </c>
      <c r="T374"/>
      <c r="U374">
        <v>1.85</v>
      </c>
      <c r="V374">
        <v>2.9</v>
      </c>
      <c r="W374">
        <v>32.5</v>
      </c>
      <c r="X374">
        <v>32.5</v>
      </c>
      <c r="Y374">
        <v>16</v>
      </c>
    </row>
    <row r="375" spans="1:25" ht="60" customHeight="1" x14ac:dyDescent="0.25">
      <c r="A375"/>
      <c r="B375" t="s">
        <v>4</v>
      </c>
      <c r="C375" t="s">
        <v>19</v>
      </c>
      <c r="D375" t="s">
        <v>599</v>
      </c>
      <c r="E375" t="s">
        <v>691</v>
      </c>
      <c r="F375" t="s">
        <v>692</v>
      </c>
      <c r="G375" t="s">
        <v>601</v>
      </c>
      <c r="H375" s="30">
        <v>531.11</v>
      </c>
      <c r="I375" s="29">
        <f>H375*(1-IFERROR(VLOOKUP(G375,Rabat!$D$10:$E$41,2,FALSE),0))</f>
        <v>531.11</v>
      </c>
      <c r="J375" t="s">
        <v>1902</v>
      </c>
      <c r="K375" t="s">
        <v>220</v>
      </c>
      <c r="L375" t="s">
        <v>1901</v>
      </c>
      <c r="M375">
        <v>1</v>
      </c>
      <c r="N375">
        <v>62</v>
      </c>
      <c r="O375" t="s">
        <v>3437</v>
      </c>
      <c r="P375" s="31" t="str">
        <f>HYPERLINK("https://b2b.kobi.pl/pl/product/9890,high-bay-led-anica-100w-4000k-ip65-90-kobi-pro?currency=PLN")</f>
        <v>https://b2b.kobi.pl/pl/product/9890,high-bay-led-anica-100w-4000k-ip65-90-kobi-pro?currency=PLN</v>
      </c>
      <c r="Q375" s="31" t="str">
        <f>HYPERLINK("https://eprel.ec.europa.eu/qr/1899009")</f>
        <v>https://eprel.ec.europa.eu/qr/1899009</v>
      </c>
      <c r="R375"/>
      <c r="S375" t="s">
        <v>2677</v>
      </c>
      <c r="T375"/>
      <c r="U375">
        <v>1.85</v>
      </c>
      <c r="V375">
        <v>2.9</v>
      </c>
      <c r="W375">
        <v>32.5</v>
      </c>
      <c r="X375">
        <v>32.5</v>
      </c>
      <c r="Y375">
        <v>16</v>
      </c>
    </row>
    <row r="376" spans="1:25" ht="60" customHeight="1" x14ac:dyDescent="0.25">
      <c r="A376"/>
      <c r="B376" t="s">
        <v>4</v>
      </c>
      <c r="C376" t="s">
        <v>19</v>
      </c>
      <c r="D376" t="s">
        <v>599</v>
      </c>
      <c r="E376" t="s">
        <v>2575</v>
      </c>
      <c r="F376" t="s">
        <v>2576</v>
      </c>
      <c r="G376" t="s">
        <v>601</v>
      </c>
      <c r="H376" s="30">
        <v>711.11</v>
      </c>
      <c r="I376" s="29">
        <f>H376*(1-IFERROR(VLOOKUP(G376,Rabat!$D$10:$E$41,2,FALSE),0))</f>
        <v>711.11</v>
      </c>
      <c r="J376" t="s">
        <v>1902</v>
      </c>
      <c r="K376" t="s">
        <v>2587</v>
      </c>
      <c r="L376" t="s">
        <v>1901</v>
      </c>
      <c r="M376"/>
      <c r="N376">
        <v>62</v>
      </c>
      <c r="O376" t="s">
        <v>3437</v>
      </c>
      <c r="P376" s="31" t="str">
        <f>HYPERLINK("https://b2b.kobi.pl/pl/product/12694,high-bay-led-anica-100w-4000k-ip65-90-dali-kobi-pro?currency=PLN")</f>
        <v>https://b2b.kobi.pl/pl/product/12694,high-bay-led-anica-100w-4000k-ip65-90-dali-kobi-pro?currency=PLN</v>
      </c>
      <c r="Q376" s="31" t="str">
        <f>HYPERLINK("https://eprel.ec.europa.eu/qr/1899009")</f>
        <v>https://eprel.ec.europa.eu/qr/1899009</v>
      </c>
      <c r="R376"/>
      <c r="S376" t="s">
        <v>2677</v>
      </c>
      <c r="T376"/>
      <c r="U376">
        <v>1.95</v>
      </c>
      <c r="V376">
        <v>2.58</v>
      </c>
      <c r="W376">
        <v>32.5</v>
      </c>
      <c r="X376">
        <v>32.5</v>
      </c>
      <c r="Y376">
        <v>16</v>
      </c>
    </row>
    <row r="377" spans="1:25" ht="60" customHeight="1" x14ac:dyDescent="0.25">
      <c r="A377"/>
      <c r="B377" t="s">
        <v>4</v>
      </c>
      <c r="C377" t="s">
        <v>19</v>
      </c>
      <c r="D377" t="s">
        <v>599</v>
      </c>
      <c r="E377" t="s">
        <v>2043</v>
      </c>
      <c r="F377" t="s">
        <v>2044</v>
      </c>
      <c r="G377" t="s">
        <v>601</v>
      </c>
      <c r="H377" s="30">
        <v>688.89</v>
      </c>
      <c r="I377" s="29">
        <f>H377*(1-IFERROR(VLOOKUP(G377,Rabat!$D$10:$E$41,2,FALSE),0))</f>
        <v>688.89</v>
      </c>
      <c r="J377" t="s">
        <v>1902</v>
      </c>
      <c r="K377" t="s">
        <v>2050</v>
      </c>
      <c r="L377" t="s">
        <v>1901</v>
      </c>
      <c r="M377">
        <v>1</v>
      </c>
      <c r="N377">
        <v>54</v>
      </c>
      <c r="O377" t="s">
        <v>3437</v>
      </c>
      <c r="P377" s="31" t="str">
        <f>HYPERLINK("https://b2b.kobi.pl/pl/product/9892,high-bay-led-anica-150w-4000k-ip65-90-kobi-pro?currency=PLN")</f>
        <v>https://b2b.kobi.pl/pl/product/9892,high-bay-led-anica-150w-4000k-ip65-90-kobi-pro?currency=PLN</v>
      </c>
      <c r="Q377" s="31" t="str">
        <f>HYPERLINK("https://eprel.ec.europa.eu/qr/2132169")</f>
        <v>https://eprel.ec.europa.eu/qr/2132169</v>
      </c>
      <c r="R377"/>
      <c r="S377" t="s">
        <v>2677</v>
      </c>
      <c r="T377"/>
      <c r="U377">
        <v>2.35</v>
      </c>
      <c r="V377">
        <v>3.3</v>
      </c>
      <c r="W377">
        <v>36.5</v>
      </c>
      <c r="X377">
        <v>36.5</v>
      </c>
      <c r="Y377">
        <v>16</v>
      </c>
    </row>
    <row r="378" spans="1:25" ht="60" customHeight="1" x14ac:dyDescent="0.25">
      <c r="A378"/>
      <c r="B378" t="s">
        <v>4</v>
      </c>
      <c r="C378" t="s">
        <v>19</v>
      </c>
      <c r="D378" t="s">
        <v>599</v>
      </c>
      <c r="E378" t="s">
        <v>2045</v>
      </c>
      <c r="F378" t="s">
        <v>2046</v>
      </c>
      <c r="G378" t="s">
        <v>601</v>
      </c>
      <c r="H378" s="30">
        <v>688.89</v>
      </c>
      <c r="I378" s="29">
        <f>H378*(1-IFERROR(VLOOKUP(G378,Rabat!$D$10:$E$41,2,FALSE),0))</f>
        <v>688.89</v>
      </c>
      <c r="J378" t="s">
        <v>1902</v>
      </c>
      <c r="K378" t="s">
        <v>2051</v>
      </c>
      <c r="L378" t="s">
        <v>1901</v>
      </c>
      <c r="M378">
        <v>1</v>
      </c>
      <c r="N378">
        <v>54</v>
      </c>
      <c r="O378" t="s">
        <v>3437</v>
      </c>
      <c r="P378" s="31" t="str">
        <f>HYPERLINK("https://b2b.kobi.pl/pl/product/9891,high-bay-led-anica-150w-4000k-ip65-120-kobi-pro?currency=PLN")</f>
        <v>https://b2b.kobi.pl/pl/product/9891,high-bay-led-anica-150w-4000k-ip65-120-kobi-pro?currency=PLN</v>
      </c>
      <c r="Q378" s="31" t="str">
        <f>HYPERLINK("https://eprel.ec.europa.eu/qr/2132169")</f>
        <v>https://eprel.ec.europa.eu/qr/2132169</v>
      </c>
      <c r="R378"/>
      <c r="S378" t="s">
        <v>2677</v>
      </c>
      <c r="T378"/>
      <c r="U378">
        <v>2.35</v>
      </c>
      <c r="V378">
        <v>3.3</v>
      </c>
      <c r="W378">
        <v>36.5</v>
      </c>
      <c r="X378">
        <v>36.5</v>
      </c>
      <c r="Y378">
        <v>16</v>
      </c>
    </row>
    <row r="379" spans="1:25" ht="60" customHeight="1" x14ac:dyDescent="0.25">
      <c r="A379"/>
      <c r="B379" t="s">
        <v>4</v>
      </c>
      <c r="C379" t="s">
        <v>19</v>
      </c>
      <c r="D379" t="s">
        <v>599</v>
      </c>
      <c r="E379" t="s">
        <v>2577</v>
      </c>
      <c r="F379" t="s">
        <v>2578</v>
      </c>
      <c r="G379" t="s">
        <v>601</v>
      </c>
      <c r="H379" s="30">
        <v>822.22</v>
      </c>
      <c r="I379" s="29">
        <f>H379*(1-IFERROR(VLOOKUP(G379,Rabat!$D$10:$E$41,2,FALSE),0))</f>
        <v>822.22</v>
      </c>
      <c r="J379" t="s">
        <v>1902</v>
      </c>
      <c r="K379" t="s">
        <v>2588</v>
      </c>
      <c r="L379" t="s">
        <v>1901</v>
      </c>
      <c r="M379"/>
      <c r="N379">
        <v>60</v>
      </c>
      <c r="O379" t="s">
        <v>3437</v>
      </c>
      <c r="P379" s="31" t="str">
        <f>HYPERLINK("https://b2b.kobi.pl/pl/product/12695,high-bay-led-anica-150w-4000k-ip65-90-dali-kobi-pro?currency=PLN")</f>
        <v>https://b2b.kobi.pl/pl/product/12695,high-bay-led-anica-150w-4000k-ip65-90-dali-kobi-pro?currency=PLN</v>
      </c>
      <c r="Q379" s="31" t="str">
        <f>HYPERLINK("https://eprel.ec.europa.eu/qr/2132169")</f>
        <v>https://eprel.ec.europa.eu/qr/2132169</v>
      </c>
      <c r="R379"/>
      <c r="S379" t="s">
        <v>2677</v>
      </c>
      <c r="T379"/>
      <c r="U379">
        <v>2.38</v>
      </c>
      <c r="V379">
        <v>3.17</v>
      </c>
      <c r="W379">
        <v>36.5</v>
      </c>
      <c r="X379">
        <v>36.5</v>
      </c>
      <c r="Y379">
        <v>16</v>
      </c>
    </row>
    <row r="380" spans="1:25" ht="60" customHeight="1" x14ac:dyDescent="0.25">
      <c r="A380"/>
      <c r="B380" t="s">
        <v>4</v>
      </c>
      <c r="C380" t="s">
        <v>19</v>
      </c>
      <c r="D380" t="s">
        <v>599</v>
      </c>
      <c r="E380" t="s">
        <v>697</v>
      </c>
      <c r="F380" t="s">
        <v>698</v>
      </c>
      <c r="G380" t="s">
        <v>601</v>
      </c>
      <c r="H380" s="30">
        <v>797.78</v>
      </c>
      <c r="I380" s="29">
        <f>H380*(1-IFERROR(VLOOKUP(G380,Rabat!$D$10:$E$41,2,FALSE),0))</f>
        <v>797.78</v>
      </c>
      <c r="J380" t="s">
        <v>1902</v>
      </c>
      <c r="K380" t="s">
        <v>557</v>
      </c>
      <c r="L380" t="s">
        <v>1901</v>
      </c>
      <c r="M380">
        <v>1</v>
      </c>
      <c r="N380">
        <v>54</v>
      </c>
      <c r="O380" t="s">
        <v>3437</v>
      </c>
      <c r="P380" s="31" t="str">
        <f>HYPERLINK("https://b2b.kobi.pl/pl/product/9893,high-bay-led-anica-200w-4000k-ip65-120-kobi-pro?currency=PLN")</f>
        <v>https://b2b.kobi.pl/pl/product/9893,high-bay-led-anica-200w-4000k-ip65-120-kobi-pro?currency=PLN</v>
      </c>
      <c r="Q380" s="31" t="str">
        <f>HYPERLINK("https://eprel.ec.europa.eu/qr/2132245")</f>
        <v>https://eprel.ec.europa.eu/qr/2132245</v>
      </c>
      <c r="R380"/>
      <c r="S380" t="s">
        <v>2677</v>
      </c>
      <c r="T380"/>
      <c r="U380">
        <v>2.83</v>
      </c>
      <c r="V380">
        <v>3.75</v>
      </c>
      <c r="W380">
        <v>40.5</v>
      </c>
      <c r="X380">
        <v>40.5</v>
      </c>
      <c r="Y380">
        <v>16</v>
      </c>
    </row>
    <row r="381" spans="1:25" ht="60" customHeight="1" x14ac:dyDescent="0.25">
      <c r="A381"/>
      <c r="B381" t="s">
        <v>4</v>
      </c>
      <c r="C381" t="s">
        <v>19</v>
      </c>
      <c r="D381" t="s">
        <v>599</v>
      </c>
      <c r="E381" t="s">
        <v>695</v>
      </c>
      <c r="F381" t="s">
        <v>696</v>
      </c>
      <c r="G381" t="s">
        <v>601</v>
      </c>
      <c r="H381" s="30">
        <v>797.78</v>
      </c>
      <c r="I381" s="29">
        <f>H381*(1-IFERROR(VLOOKUP(G381,Rabat!$D$10:$E$41,2,FALSE),0))</f>
        <v>797.78</v>
      </c>
      <c r="J381" t="s">
        <v>1902</v>
      </c>
      <c r="K381" t="s">
        <v>558</v>
      </c>
      <c r="L381" t="s">
        <v>1901</v>
      </c>
      <c r="M381">
        <v>1</v>
      </c>
      <c r="N381"/>
      <c r="O381" t="s">
        <v>3437</v>
      </c>
      <c r="P381" s="31" t="str">
        <f>HYPERLINK("https://b2b.kobi.pl/pl/product/9894,high-bay-led-anica-200w-4000k-ip65-90-kobi-pro?currency=PLN")</f>
        <v>https://b2b.kobi.pl/pl/product/9894,high-bay-led-anica-200w-4000k-ip65-90-kobi-pro?currency=PLN</v>
      </c>
      <c r="Q381" s="31" t="str">
        <f>HYPERLINK("https://eprel.ec.europa.eu/qr/2132245")</f>
        <v>https://eprel.ec.europa.eu/qr/2132245</v>
      </c>
      <c r="R381"/>
      <c r="S381" t="s">
        <v>2677</v>
      </c>
      <c r="T381"/>
      <c r="U381">
        <v>2.83</v>
      </c>
      <c r="V381">
        <v>3.75</v>
      </c>
      <c r="W381">
        <v>40.5</v>
      </c>
      <c r="X381">
        <v>40.5</v>
      </c>
      <c r="Y381">
        <v>16</v>
      </c>
    </row>
    <row r="382" spans="1:25" ht="60" customHeight="1" x14ac:dyDescent="0.25">
      <c r="A382"/>
      <c r="B382" t="s">
        <v>4</v>
      </c>
      <c r="C382" t="s">
        <v>19</v>
      </c>
      <c r="D382" t="s">
        <v>599</v>
      </c>
      <c r="E382" t="s">
        <v>2579</v>
      </c>
      <c r="F382" t="s">
        <v>2580</v>
      </c>
      <c r="G382" t="s">
        <v>601</v>
      </c>
      <c r="H382" s="30">
        <v>977.78</v>
      </c>
      <c r="I382" s="29">
        <f>H382*(1-IFERROR(VLOOKUP(G382,Rabat!$D$10:$E$41,2,FALSE),0))</f>
        <v>977.78</v>
      </c>
      <c r="J382" t="s">
        <v>1902</v>
      </c>
      <c r="K382" t="s">
        <v>2589</v>
      </c>
      <c r="L382" t="s">
        <v>1901</v>
      </c>
      <c r="M382"/>
      <c r="N382">
        <v>60</v>
      </c>
      <c r="O382" t="s">
        <v>3437</v>
      </c>
      <c r="P382" s="31" t="str">
        <f>HYPERLINK("https://b2b.kobi.pl/pl/product/12696,high-bay-led-anica-200w-4000k-ip65-90-dali-kobi-pro?currency=PLN")</f>
        <v>https://b2b.kobi.pl/pl/product/12696,high-bay-led-anica-200w-4000k-ip65-90-dali-kobi-pro?currency=PLN</v>
      </c>
      <c r="Q382" s="31" t="str">
        <f>HYPERLINK("https://eprel.ec.europa.eu/qr/2132245")</f>
        <v>https://eprel.ec.europa.eu/qr/2132245</v>
      </c>
      <c r="R382"/>
      <c r="S382" t="s">
        <v>2677</v>
      </c>
      <c r="T382"/>
      <c r="U382">
        <v>2.89</v>
      </c>
      <c r="V382">
        <v>3.78</v>
      </c>
      <c r="W382">
        <v>40.5</v>
      </c>
      <c r="X382">
        <v>40.5</v>
      </c>
      <c r="Y382">
        <v>16</v>
      </c>
    </row>
    <row r="383" spans="1:25" ht="60" customHeight="1" x14ac:dyDescent="0.25">
      <c r="A383"/>
      <c r="B383" t="s">
        <v>4</v>
      </c>
      <c r="C383" t="s">
        <v>19</v>
      </c>
      <c r="D383" t="s">
        <v>599</v>
      </c>
      <c r="E383" t="s">
        <v>3234</v>
      </c>
      <c r="F383" t="s">
        <v>2828</v>
      </c>
      <c r="G383" t="s">
        <v>601</v>
      </c>
      <c r="H383" s="30">
        <v>577.78</v>
      </c>
      <c r="I383" s="29">
        <f>H383*(1-IFERROR(VLOOKUP(G383,Rabat!$D$10:$E$41,2,FALSE),0))</f>
        <v>577.78</v>
      </c>
      <c r="J383" t="s">
        <v>1902</v>
      </c>
      <c r="K383" t="s">
        <v>2830</v>
      </c>
      <c r="L383" t="s">
        <v>1901</v>
      </c>
      <c r="M383">
        <v>1</v>
      </c>
      <c r="N383">
        <v>72</v>
      </c>
      <c r="O383" t="s">
        <v>3436</v>
      </c>
      <c r="P383" s="31" t="str">
        <f>HYPERLINK("https://b2b.kobi.pl/pl/product/12863,high-bay-led-nico-72w-95w-120w-3cct-ip65-60-x90-kobi-pro?currency=PLN")</f>
        <v>https://b2b.kobi.pl/pl/product/12863,high-bay-led-nico-72w-95w-120w-3cct-ip65-60-x90-kobi-pro?currency=PLN</v>
      </c>
      <c r="Q383" s="31" t="str">
        <f>HYPERLINK("https://eprel.ec.europa.eu/qr/2390667")</f>
        <v>https://eprel.ec.europa.eu/qr/2390667</v>
      </c>
      <c r="R383"/>
      <c r="S383" t="s">
        <v>2677</v>
      </c>
      <c r="T383"/>
      <c r="U383">
        <v>2.4900000000000002</v>
      </c>
      <c r="V383">
        <v>2.89</v>
      </c>
      <c r="W383">
        <v>46</v>
      </c>
      <c r="X383">
        <v>19</v>
      </c>
      <c r="Y383">
        <v>17.5</v>
      </c>
    </row>
    <row r="384" spans="1:25" ht="60" customHeight="1" x14ac:dyDescent="0.25">
      <c r="A384"/>
      <c r="B384" t="s">
        <v>4</v>
      </c>
      <c r="C384" t="s">
        <v>19</v>
      </c>
      <c r="D384" t="s">
        <v>599</v>
      </c>
      <c r="E384" t="s">
        <v>699</v>
      </c>
      <c r="F384" t="s">
        <v>700</v>
      </c>
      <c r="G384" t="s">
        <v>601</v>
      </c>
      <c r="H384" s="30">
        <v>533.33000000000004</v>
      </c>
      <c r="I384" s="29">
        <f>H384*(1-IFERROR(VLOOKUP(G384,Rabat!$D$10:$E$41,2,FALSE),0))</f>
        <v>533.33000000000004</v>
      </c>
      <c r="J384" t="s">
        <v>1902</v>
      </c>
      <c r="K384" t="s">
        <v>221</v>
      </c>
      <c r="L384" t="s">
        <v>1901</v>
      </c>
      <c r="M384">
        <v>1</v>
      </c>
      <c r="N384">
        <v>72</v>
      </c>
      <c r="O384" t="s">
        <v>3436</v>
      </c>
      <c r="P384" s="31" t="str">
        <f>HYPERLINK("https://b2b.kobi.pl/pl/product/10107,high-bay-led-nico-120w-4000k-ip65-60x90-kobi-pro?currency=PLN")</f>
        <v>https://b2b.kobi.pl/pl/product/10107,high-bay-led-nico-120w-4000k-ip65-60x90-kobi-pro?currency=PLN</v>
      </c>
      <c r="Q384" s="31" t="str">
        <f>HYPERLINK("https://eprel.ec.europa.eu/qr/1960269")</f>
        <v>https://eprel.ec.europa.eu/qr/1960269</v>
      </c>
      <c r="R384" t="s">
        <v>2035</v>
      </c>
      <c r="S384" t="s">
        <v>2677</v>
      </c>
      <c r="T384"/>
      <c r="U384">
        <v>3.2450000000000001</v>
      </c>
      <c r="V384">
        <v>3.6749999999999998</v>
      </c>
      <c r="W384">
        <v>57.5</v>
      </c>
      <c r="X384">
        <v>19.5</v>
      </c>
      <c r="Y384">
        <v>16.5</v>
      </c>
    </row>
    <row r="385" spans="1:25" ht="60" customHeight="1" x14ac:dyDescent="0.25">
      <c r="A385"/>
      <c r="B385" t="s">
        <v>4</v>
      </c>
      <c r="C385" t="s">
        <v>19</v>
      </c>
      <c r="D385" t="s">
        <v>599</v>
      </c>
      <c r="E385" t="s">
        <v>3235</v>
      </c>
      <c r="F385" t="s">
        <v>2829</v>
      </c>
      <c r="G385" t="s">
        <v>601</v>
      </c>
      <c r="H385" s="30">
        <v>833.33</v>
      </c>
      <c r="I385" s="29">
        <f>H385*(1-IFERROR(VLOOKUP(G385,Rabat!$D$10:$E$41,2,FALSE),0))</f>
        <v>833.33</v>
      </c>
      <c r="J385" t="s">
        <v>1902</v>
      </c>
      <c r="K385" t="s">
        <v>2831</v>
      </c>
      <c r="L385" t="s">
        <v>1901</v>
      </c>
      <c r="M385">
        <v>1</v>
      </c>
      <c r="N385">
        <v>54</v>
      </c>
      <c r="O385" t="s">
        <v>3436</v>
      </c>
      <c r="P385" s="31" t="str">
        <f>HYPERLINK("https://b2b.kobi.pl/pl/product/12864,high-bay-led-nico-144w-192w-240w-3cct-ip65-60-x90-kobi-pro?currency=PLN")</f>
        <v>https://b2b.kobi.pl/pl/product/12864,high-bay-led-nico-144w-192w-240w-3cct-ip65-60-x90-kobi-pro?currency=PLN</v>
      </c>
      <c r="Q385" s="31" t="str">
        <f>HYPERLINK("https://eprel.ec.europa.eu/qr/2390668")</f>
        <v>https://eprel.ec.europa.eu/qr/2390668</v>
      </c>
      <c r="R385"/>
      <c r="S385" t="s">
        <v>2677</v>
      </c>
      <c r="T385"/>
      <c r="U385">
        <v>3.81</v>
      </c>
      <c r="V385">
        <v>4.3499999999999996</v>
      </c>
      <c r="W385">
        <v>81.5</v>
      </c>
      <c r="X385">
        <v>19</v>
      </c>
      <c r="Y385">
        <v>17.5</v>
      </c>
    </row>
    <row r="386" spans="1:25" ht="60" customHeight="1" x14ac:dyDescent="0.25">
      <c r="A386"/>
      <c r="B386" t="s">
        <v>4</v>
      </c>
      <c r="C386" t="s">
        <v>19</v>
      </c>
      <c r="D386" t="s">
        <v>599</v>
      </c>
      <c r="E386" t="s">
        <v>703</v>
      </c>
      <c r="F386" t="s">
        <v>704</v>
      </c>
      <c r="G386" t="s">
        <v>601</v>
      </c>
      <c r="H386" s="30">
        <v>310</v>
      </c>
      <c r="I386" s="29">
        <f>H386*(1-IFERROR(VLOOKUP(G386,Rabat!$D$10:$E$41,2,FALSE),0))</f>
        <v>310</v>
      </c>
      <c r="J386" t="s">
        <v>1902</v>
      </c>
      <c r="K386" t="s">
        <v>216</v>
      </c>
      <c r="L386" t="s">
        <v>1901</v>
      </c>
      <c r="M386">
        <v>1</v>
      </c>
      <c r="N386">
        <v>108</v>
      </c>
      <c r="O386" t="s">
        <v>3436</v>
      </c>
      <c r="P386" s="31" t="str">
        <f>HYPERLINK("https://b2b.kobi.pl/pl/product/10177,high-bay-led-rio-pro-100w-4000k-ip66-kobi-pro?currency=PLN")</f>
        <v>https://b2b.kobi.pl/pl/product/10177,high-bay-led-rio-pro-100w-4000k-ip66-kobi-pro?currency=PLN</v>
      </c>
      <c r="Q386" s="31" t="str">
        <f>HYPERLINK("https://eprel.ec.europa.eu/qr/2166588")</f>
        <v>https://eprel.ec.europa.eu/qr/2166588</v>
      </c>
      <c r="R386"/>
      <c r="S386" t="s">
        <v>2677</v>
      </c>
      <c r="T386"/>
      <c r="U386">
        <v>1.4</v>
      </c>
      <c r="V386">
        <v>1.925</v>
      </c>
      <c r="W386">
        <v>29</v>
      </c>
      <c r="X386">
        <v>29</v>
      </c>
      <c r="Y386">
        <v>16</v>
      </c>
    </row>
    <row r="387" spans="1:25" ht="60" customHeight="1" x14ac:dyDescent="0.25">
      <c r="A387"/>
      <c r="B387" t="s">
        <v>4</v>
      </c>
      <c r="C387" t="s">
        <v>19</v>
      </c>
      <c r="D387" t="s">
        <v>599</v>
      </c>
      <c r="E387" t="s">
        <v>705</v>
      </c>
      <c r="F387" t="s">
        <v>706</v>
      </c>
      <c r="G387" t="s">
        <v>601</v>
      </c>
      <c r="H387" s="30">
        <v>410</v>
      </c>
      <c r="I387" s="29">
        <f>H387*(1-IFERROR(VLOOKUP(G387,Rabat!$D$10:$E$41,2,FALSE),0))</f>
        <v>410</v>
      </c>
      <c r="J387" t="s">
        <v>1902</v>
      </c>
      <c r="K387" t="s">
        <v>217</v>
      </c>
      <c r="L387" t="s">
        <v>1901</v>
      </c>
      <c r="M387">
        <v>1</v>
      </c>
      <c r="N387">
        <v>60</v>
      </c>
      <c r="O387" t="s">
        <v>3436</v>
      </c>
      <c r="P387" s="31" t="str">
        <f>HYPERLINK("https://b2b.kobi.pl/pl/product/10178,high-bay-led-rio-pro-150w-4000k-ip66-kobi-pro?currency=PLN")</f>
        <v>https://b2b.kobi.pl/pl/product/10178,high-bay-led-rio-pro-150w-4000k-ip66-kobi-pro?currency=PLN</v>
      </c>
      <c r="Q387" s="31" t="str">
        <f>HYPERLINK("https://eprel.ec.europa.eu/qr/2639585")</f>
        <v>https://eprel.ec.europa.eu/qr/2639585</v>
      </c>
      <c r="R387" t="s">
        <v>2035</v>
      </c>
      <c r="S387" t="s">
        <v>2677</v>
      </c>
      <c r="T387"/>
      <c r="U387">
        <v>1.86</v>
      </c>
      <c r="V387">
        <v>2.5</v>
      </c>
      <c r="W387">
        <v>33</v>
      </c>
      <c r="X387">
        <v>33</v>
      </c>
      <c r="Y387">
        <v>16</v>
      </c>
    </row>
    <row r="388" spans="1:25" ht="60" customHeight="1" x14ac:dyDescent="0.25">
      <c r="A388"/>
      <c r="B388" t="s">
        <v>4</v>
      </c>
      <c r="C388" t="s">
        <v>19</v>
      </c>
      <c r="D388" t="s">
        <v>599</v>
      </c>
      <c r="E388" t="s">
        <v>709</v>
      </c>
      <c r="F388" t="s">
        <v>710</v>
      </c>
      <c r="G388" t="s">
        <v>601</v>
      </c>
      <c r="H388" s="30">
        <v>490</v>
      </c>
      <c r="I388" s="29">
        <f>H388*(1-IFERROR(VLOOKUP(G388,Rabat!$D$10:$E$41,2,FALSE),0))</f>
        <v>490</v>
      </c>
      <c r="J388" t="s">
        <v>1902</v>
      </c>
      <c r="K388" t="s">
        <v>218</v>
      </c>
      <c r="L388" t="s">
        <v>1901</v>
      </c>
      <c r="M388">
        <v>1</v>
      </c>
      <c r="N388">
        <v>60</v>
      </c>
      <c r="O388" t="s">
        <v>3436</v>
      </c>
      <c r="P388" s="31" t="str">
        <f>HYPERLINK("https://b2b.kobi.pl/pl/product/10180,high-bay-led-rio-pro-200w-4000k-ip66-kobi-pro?currency=PLN")</f>
        <v>https://b2b.kobi.pl/pl/product/10180,high-bay-led-rio-pro-200w-4000k-ip66-kobi-pro?currency=PLN</v>
      </c>
      <c r="Q388" s="31" t="str">
        <f>HYPERLINK("https://eprel.ec.europa.eu/qr/2166659")</f>
        <v>https://eprel.ec.europa.eu/qr/2166659</v>
      </c>
      <c r="R388" t="s">
        <v>2035</v>
      </c>
      <c r="S388" t="s">
        <v>2677</v>
      </c>
      <c r="T388"/>
      <c r="U388">
        <v>2.63</v>
      </c>
      <c r="V388">
        <v>3.4</v>
      </c>
      <c r="W388">
        <v>38</v>
      </c>
      <c r="X388">
        <v>38</v>
      </c>
      <c r="Y388">
        <v>16</v>
      </c>
    </row>
    <row r="389" spans="1:25" ht="60" customHeight="1" x14ac:dyDescent="0.25">
      <c r="A389"/>
      <c r="B389" t="s">
        <v>4</v>
      </c>
      <c r="C389" t="s">
        <v>19</v>
      </c>
      <c r="D389" t="s">
        <v>599</v>
      </c>
      <c r="E389" t="s">
        <v>707</v>
      </c>
      <c r="F389" t="s">
        <v>708</v>
      </c>
      <c r="G389" t="s">
        <v>601</v>
      </c>
      <c r="H389" s="30">
        <v>553.33000000000004</v>
      </c>
      <c r="I389" s="29">
        <f>H389*(1-IFERROR(VLOOKUP(G389,Rabat!$D$10:$E$41,2,FALSE),0))</f>
        <v>553.33000000000004</v>
      </c>
      <c r="J389" t="s">
        <v>1902</v>
      </c>
      <c r="K389" t="s">
        <v>570</v>
      </c>
      <c r="L389" t="s">
        <v>1901</v>
      </c>
      <c r="M389">
        <v>1</v>
      </c>
      <c r="N389">
        <v>60</v>
      </c>
      <c r="O389" t="s">
        <v>3436</v>
      </c>
      <c r="P389" s="31" t="str">
        <f>HYPERLINK("https://b2b.kobi.pl/pl/product/10179,high-bay-led-rio-pro-200w-2cct-kobi-pro?currency=PLN")</f>
        <v>https://b2b.kobi.pl/pl/product/10179,high-bay-led-rio-pro-200w-2cct-kobi-pro?currency=PLN</v>
      </c>
      <c r="Q389" s="31" t="str">
        <f>HYPERLINK("https://eprel.ec.europa.eu/qr/2166664")</f>
        <v>https://eprel.ec.europa.eu/qr/2166664</v>
      </c>
      <c r="R389" t="s">
        <v>2035</v>
      </c>
      <c r="S389" t="s">
        <v>2677</v>
      </c>
      <c r="T389"/>
      <c r="U389">
        <v>2.2000000000000002</v>
      </c>
      <c r="V389">
        <v>3.4</v>
      </c>
      <c r="W389">
        <v>38</v>
      </c>
      <c r="X389">
        <v>38</v>
      </c>
      <c r="Y389">
        <v>16</v>
      </c>
    </row>
    <row r="390" spans="1:25" ht="60" customHeight="1" x14ac:dyDescent="0.25">
      <c r="A390"/>
      <c r="B390" t="s">
        <v>4</v>
      </c>
      <c r="C390" t="s">
        <v>19</v>
      </c>
      <c r="D390" t="s">
        <v>599</v>
      </c>
      <c r="E390" t="s">
        <v>701</v>
      </c>
      <c r="F390" t="s">
        <v>702</v>
      </c>
      <c r="G390" t="s">
        <v>601</v>
      </c>
      <c r="H390" s="30">
        <v>1100</v>
      </c>
      <c r="I390" s="29">
        <f>H390*(1-IFERROR(VLOOKUP(G390,Rabat!$D$10:$E$41,2,FALSE),0))</f>
        <v>1100</v>
      </c>
      <c r="J390" t="s">
        <v>1907</v>
      </c>
      <c r="K390" t="s">
        <v>215</v>
      </c>
      <c r="L390" t="s">
        <v>1901</v>
      </c>
      <c r="M390"/>
      <c r="N390">
        <v>80</v>
      </c>
      <c r="O390" t="s">
        <v>3436</v>
      </c>
      <c r="P390" s="31" t="str">
        <f>HYPERLINK("https://b2b.kobi.pl/pl/product/10050,high-bay-led-nina-200w-4000k-110-kobi-pro?currency=PLN")</f>
        <v>https://b2b.kobi.pl/pl/product/10050,high-bay-led-nina-200w-4000k-110-kobi-pro?currency=PLN</v>
      </c>
      <c r="Q390" s="31" t="str">
        <f>HYPERLINK("https://eprel.ec.europa.eu/qr/1252699")</f>
        <v>https://eprel.ec.europa.eu/qr/1252699</v>
      </c>
      <c r="R390" t="s">
        <v>2035</v>
      </c>
      <c r="S390" t="s">
        <v>2677</v>
      </c>
      <c r="T390"/>
      <c r="U390">
        <v>2.98</v>
      </c>
      <c r="V390">
        <v>3.278</v>
      </c>
      <c r="W390">
        <v>36</v>
      </c>
      <c r="X390">
        <v>36</v>
      </c>
      <c r="Y390">
        <v>14.3</v>
      </c>
    </row>
    <row r="391" spans="1:25" ht="60" customHeight="1" x14ac:dyDescent="0.25">
      <c r="A391"/>
      <c r="B391" t="s">
        <v>4</v>
      </c>
      <c r="C391" t="s">
        <v>19</v>
      </c>
      <c r="D391" t="s">
        <v>599</v>
      </c>
      <c r="E391" t="s">
        <v>1137</v>
      </c>
      <c r="F391" t="s">
        <v>1138</v>
      </c>
      <c r="G391" t="s">
        <v>601</v>
      </c>
      <c r="H391" s="30">
        <v>87.32</v>
      </c>
      <c r="I391" s="29">
        <f>H391*(1-IFERROR(VLOOKUP(G391,Rabat!$D$10:$E$41,2,FALSE),0))</f>
        <v>87.32</v>
      </c>
      <c r="J391" t="s">
        <v>1902</v>
      </c>
      <c r="K391" t="s">
        <v>184</v>
      </c>
      <c r="L391" t="s">
        <v>1901</v>
      </c>
      <c r="M391">
        <v>20</v>
      </c>
      <c r="N391"/>
      <c r="O391" t="s">
        <v>3434</v>
      </c>
      <c r="P391" s="31" t="str">
        <f>HYPERLINK("https://b2b.kobi.pl/pl/product/10053,oslona-do-led-nina-hb-200w-kobi?currency=PLN")</f>
        <v>https://b2b.kobi.pl/pl/product/10053,oslona-do-led-nina-hb-200w-kobi?currency=PLN</v>
      </c>
      <c r="Q391" t="s">
        <v>15</v>
      </c>
      <c r="R391" t="s">
        <v>2035</v>
      </c>
      <c r="S391" t="s">
        <v>2678</v>
      </c>
      <c r="T391"/>
      <c r="U391">
        <v>0.18</v>
      </c>
      <c r="V391">
        <v>0.19800000000000001</v>
      </c>
      <c r="W391">
        <v>0</v>
      </c>
      <c r="X391">
        <v>0</v>
      </c>
      <c r="Y391">
        <v>0</v>
      </c>
    </row>
    <row r="392" spans="1:25" ht="60" customHeight="1" x14ac:dyDescent="0.25">
      <c r="A392"/>
      <c r="B392" t="s">
        <v>4</v>
      </c>
      <c r="C392" t="s">
        <v>19</v>
      </c>
      <c r="D392" t="s">
        <v>599</v>
      </c>
      <c r="E392" t="s">
        <v>1368</v>
      </c>
      <c r="F392" t="s">
        <v>1369</v>
      </c>
      <c r="G392" t="s">
        <v>601</v>
      </c>
      <c r="H392" s="30">
        <v>45</v>
      </c>
      <c r="I392" s="29">
        <f>H392*(1-IFERROR(VLOOKUP(G392,Rabat!$D$10:$E$41,2,FALSE),0))</f>
        <v>45</v>
      </c>
      <c r="J392" t="s">
        <v>1902</v>
      </c>
      <c r="K392" t="s">
        <v>183</v>
      </c>
      <c r="L392" t="s">
        <v>1901</v>
      </c>
      <c r="M392"/>
      <c r="N392"/>
      <c r="O392" t="s">
        <v>3434</v>
      </c>
      <c r="P392" s="31" t="str">
        <f>HYPERLINK("https://b2b.kobi.pl/pl/product/11109,oslona-do-neo-150w-200w-kobi-pro?currency=PLN")</f>
        <v>https://b2b.kobi.pl/pl/product/11109,oslona-do-neo-150w-200w-kobi-pro?currency=PLN</v>
      </c>
      <c r="Q392" t="s">
        <v>15</v>
      </c>
      <c r="R392" t="s">
        <v>2035</v>
      </c>
      <c r="S392" t="s">
        <v>2678</v>
      </c>
      <c r="T392"/>
      <c r="U392">
        <v>0.13</v>
      </c>
      <c r="V392">
        <v>0.14299999999999999</v>
      </c>
      <c r="W392">
        <v>0</v>
      </c>
      <c r="X392">
        <v>0</v>
      </c>
      <c r="Y392">
        <v>0</v>
      </c>
    </row>
    <row r="393" spans="1:25" ht="60" customHeight="1" x14ac:dyDescent="0.25">
      <c r="A393"/>
      <c r="B393" t="s">
        <v>4</v>
      </c>
      <c r="C393" t="s">
        <v>19</v>
      </c>
      <c r="D393" t="s">
        <v>599</v>
      </c>
      <c r="E393" t="s">
        <v>1502</v>
      </c>
      <c r="F393" t="s">
        <v>1503</v>
      </c>
      <c r="G393" t="s">
        <v>601</v>
      </c>
      <c r="H393" s="30">
        <v>60</v>
      </c>
      <c r="I393" s="29">
        <f>H393*(1-IFERROR(VLOOKUP(G393,Rabat!$D$10:$E$41,2,FALSE),0))</f>
        <v>60</v>
      </c>
      <c r="J393" t="s">
        <v>1902</v>
      </c>
      <c r="K393" t="s">
        <v>430</v>
      </c>
      <c r="L393" t="s">
        <v>1901</v>
      </c>
      <c r="M393">
        <v>20</v>
      </c>
      <c r="N393"/>
      <c r="O393" t="s">
        <v>3434</v>
      </c>
      <c r="P393" s="31" t="str">
        <f>HYPERLINK("https://b2b.kobi.pl/pl/product/9895,uniwersalny-uchwyt-do-high-bay-m10-kobi-pro?currency=PLN")</f>
        <v>https://b2b.kobi.pl/pl/product/9895,uniwersalny-uchwyt-do-high-bay-m10-kobi-pro?currency=PLN</v>
      </c>
      <c r="Q393" t="s">
        <v>15</v>
      </c>
      <c r="R393"/>
      <c r="S393" t="s">
        <v>2678</v>
      </c>
      <c r="T393"/>
      <c r="U393">
        <v>0.46</v>
      </c>
      <c r="V393">
        <v>0.5</v>
      </c>
      <c r="W393">
        <v>14</v>
      </c>
      <c r="X393">
        <v>9.8000000000000007</v>
      </c>
      <c r="Y393">
        <v>4.5999999999999996</v>
      </c>
    </row>
    <row r="394" spans="1:25" ht="60" customHeight="1" x14ac:dyDescent="0.25">
      <c r="A394"/>
      <c r="B394" t="s">
        <v>4</v>
      </c>
      <c r="C394" t="s">
        <v>19</v>
      </c>
      <c r="D394" t="s">
        <v>643</v>
      </c>
      <c r="E394" t="s">
        <v>2272</v>
      </c>
      <c r="F394" t="s">
        <v>2273</v>
      </c>
      <c r="G394" t="s">
        <v>601</v>
      </c>
      <c r="H394" s="30">
        <v>128.88999999999999</v>
      </c>
      <c r="I394" s="29">
        <f>H394*(1-IFERROR(VLOOKUP(G394,Rabat!$D$10:$E$41,2,FALSE),0))</f>
        <v>128.88999999999999</v>
      </c>
      <c r="J394" t="s">
        <v>1902</v>
      </c>
      <c r="K394" t="s">
        <v>2276</v>
      </c>
      <c r="L394" t="s">
        <v>1901</v>
      </c>
      <c r="M394">
        <v>5</v>
      </c>
      <c r="N394">
        <v>420</v>
      </c>
      <c r="O394" t="s">
        <v>3434</v>
      </c>
      <c r="P394" s="31" t="str">
        <f>HYPERLINK("https://b2b.kobi.pl/pl/product/12159,high-bay-led-graza-100w-4000k-ip65-90-kobi?currency=PLN")</f>
        <v>https://b2b.kobi.pl/pl/product/12159,high-bay-led-graza-100w-4000k-ip65-90-kobi?currency=PLN</v>
      </c>
      <c r="Q394" s="31" t="str">
        <f>HYPERLINK("https://eprel.ec.europa.eu/qr/2219595")</f>
        <v>https://eprel.ec.europa.eu/qr/2219595</v>
      </c>
      <c r="R394"/>
      <c r="S394" t="s">
        <v>2677</v>
      </c>
      <c r="T394"/>
      <c r="U394">
        <v>0.64400000000000002</v>
      </c>
      <c r="V394">
        <v>0.70899999999999996</v>
      </c>
      <c r="W394">
        <v>24</v>
      </c>
      <c r="X394">
        <v>24</v>
      </c>
      <c r="Y394">
        <v>3.6</v>
      </c>
    </row>
    <row r="395" spans="1:25" ht="60" customHeight="1" x14ac:dyDescent="0.25">
      <c r="A395"/>
      <c r="B395" t="s">
        <v>4</v>
      </c>
      <c r="C395" t="s">
        <v>19</v>
      </c>
      <c r="D395" t="s">
        <v>643</v>
      </c>
      <c r="E395" t="s">
        <v>2274</v>
      </c>
      <c r="F395" t="s">
        <v>2275</v>
      </c>
      <c r="G395" t="s">
        <v>601</v>
      </c>
      <c r="H395" s="30">
        <v>217.78</v>
      </c>
      <c r="I395" s="29">
        <f>H395*(1-IFERROR(VLOOKUP(G395,Rabat!$D$10:$E$41,2,FALSE),0))</f>
        <v>217.78</v>
      </c>
      <c r="J395" t="s">
        <v>1902</v>
      </c>
      <c r="K395" t="s">
        <v>2277</v>
      </c>
      <c r="L395" t="s">
        <v>1901</v>
      </c>
      <c r="M395">
        <v>5</v>
      </c>
      <c r="N395">
        <v>220</v>
      </c>
      <c r="O395" t="s">
        <v>3434</v>
      </c>
      <c r="P395" s="31" t="str">
        <f>HYPERLINK("https://b2b.kobi.pl/pl/product/12160,high-bay-led-graza-200w-4000k-ip65-90-kobi?currency=PLN")</f>
        <v>https://b2b.kobi.pl/pl/product/12160,high-bay-led-graza-200w-4000k-ip65-90-kobi?currency=PLN</v>
      </c>
      <c r="Q395" s="31" t="str">
        <f>HYPERLINK("https://eprel.ec.europa.eu/qr/2219594")</f>
        <v>https://eprel.ec.europa.eu/qr/2219594</v>
      </c>
      <c r="R395"/>
      <c r="S395" t="s">
        <v>2677</v>
      </c>
      <c r="T395"/>
      <c r="U395">
        <v>1.2749999999999999</v>
      </c>
      <c r="V395">
        <v>1.371</v>
      </c>
      <c r="W395">
        <v>33.5</v>
      </c>
      <c r="X395">
        <v>33.5</v>
      </c>
      <c r="Y395">
        <v>3.8</v>
      </c>
    </row>
    <row r="396" spans="1:25" ht="60" customHeight="1" x14ac:dyDescent="0.25">
      <c r="A396"/>
      <c r="B396" t="s">
        <v>5</v>
      </c>
      <c r="C396" t="s">
        <v>3374</v>
      </c>
      <c r="D396" t="s">
        <v>643</v>
      </c>
      <c r="E396" t="s">
        <v>1163</v>
      </c>
      <c r="F396" t="s">
        <v>1164</v>
      </c>
      <c r="G396" t="s">
        <v>1156</v>
      </c>
      <c r="H396" s="30">
        <v>53.33</v>
      </c>
      <c r="I396" s="29">
        <f>H396*(1-IFERROR(VLOOKUP(G396,Rabat!$D$10:$E$41,2,FALSE),0))</f>
        <v>53.33</v>
      </c>
      <c r="J396" t="s">
        <v>1902</v>
      </c>
      <c r="K396" t="s">
        <v>303</v>
      </c>
      <c r="L396" t="s">
        <v>1901</v>
      </c>
      <c r="M396">
        <v>20</v>
      </c>
      <c r="N396">
        <v>1120</v>
      </c>
      <c r="O396" t="s">
        <v>3434</v>
      </c>
      <c r="P396" s="31" t="str">
        <f>HYPERLINK("https://b2b.kobi.pl/pl/product/10339,oprawa-do-nabudowania-aquarius-1xgu10-okragly-ip44-bialy-kobi?currency=PLN")</f>
        <v>https://b2b.kobi.pl/pl/product/10339,oprawa-do-nabudowania-aquarius-1xgu10-okragly-ip44-bialy-kobi?currency=PLN</v>
      </c>
      <c r="Q396" t="s">
        <v>15</v>
      </c>
      <c r="R396"/>
      <c r="S396" t="s">
        <v>2706</v>
      </c>
      <c r="T396"/>
      <c r="U396">
        <v>0.27700000000000002</v>
      </c>
      <c r="V396">
        <v>0.42699999999999999</v>
      </c>
      <c r="W396">
        <v>9</v>
      </c>
      <c r="X396">
        <v>9</v>
      </c>
      <c r="Y396">
        <v>11</v>
      </c>
    </row>
    <row r="397" spans="1:25" ht="60" customHeight="1" x14ac:dyDescent="0.25">
      <c r="A397"/>
      <c r="B397" t="s">
        <v>5</v>
      </c>
      <c r="C397" t="s">
        <v>3374</v>
      </c>
      <c r="D397" t="s">
        <v>643</v>
      </c>
      <c r="E397" t="s">
        <v>1167</v>
      </c>
      <c r="F397" t="s">
        <v>1168</v>
      </c>
      <c r="G397" t="s">
        <v>1156</v>
      </c>
      <c r="H397" s="30">
        <v>53.33</v>
      </c>
      <c r="I397" s="29">
        <f>H397*(1-IFERROR(VLOOKUP(G397,Rabat!$D$10:$E$41,2,FALSE),0))</f>
        <v>53.33</v>
      </c>
      <c r="J397" t="s">
        <v>1902</v>
      </c>
      <c r="K397" t="s">
        <v>302</v>
      </c>
      <c r="L397" t="s">
        <v>1901</v>
      </c>
      <c r="M397">
        <v>20</v>
      </c>
      <c r="N397">
        <v>1120</v>
      </c>
      <c r="O397" t="s">
        <v>3434</v>
      </c>
      <c r="P397" s="31" t="str">
        <f>HYPERLINK("https://b2b.kobi.pl/pl/product/10341,oprawa-do-nabudowania-aquarius-1xgu10-okragly-ip44-czarny-kobi?currency=PLN")</f>
        <v>https://b2b.kobi.pl/pl/product/10341,oprawa-do-nabudowania-aquarius-1xgu10-okragly-ip44-czarny-kobi?currency=PLN</v>
      </c>
      <c r="Q397" t="s">
        <v>15</v>
      </c>
      <c r="R397"/>
      <c r="S397" t="s">
        <v>2706</v>
      </c>
      <c r="T397"/>
      <c r="U397">
        <v>0.27700000000000002</v>
      </c>
      <c r="V397">
        <v>0.42699999999999999</v>
      </c>
      <c r="W397">
        <v>9</v>
      </c>
      <c r="X397">
        <v>9</v>
      </c>
      <c r="Y397">
        <v>11</v>
      </c>
    </row>
    <row r="398" spans="1:25" ht="60" customHeight="1" x14ac:dyDescent="0.25">
      <c r="A398"/>
      <c r="B398" t="s">
        <v>5</v>
      </c>
      <c r="C398" t="s">
        <v>3374</v>
      </c>
      <c r="D398" t="s">
        <v>643</v>
      </c>
      <c r="E398" t="s">
        <v>1154</v>
      </c>
      <c r="F398" t="s">
        <v>1155</v>
      </c>
      <c r="G398" t="s">
        <v>1156</v>
      </c>
      <c r="H398" s="30">
        <v>54.71</v>
      </c>
      <c r="I398" s="29">
        <f>H398*(1-IFERROR(VLOOKUP(G398,Rabat!$D$10:$E$41,2,FALSE),0))</f>
        <v>54.71</v>
      </c>
      <c r="J398" t="s">
        <v>1902</v>
      </c>
      <c r="K398" t="s">
        <v>304</v>
      </c>
      <c r="L398" t="s">
        <v>1901</v>
      </c>
      <c r="M398">
        <v>20</v>
      </c>
      <c r="N398"/>
      <c r="O398" t="s">
        <v>3434</v>
      </c>
      <c r="P398" s="31" t="str">
        <f>HYPERLINK("https://b2b.kobi.pl/pl/product/10342,oprawa-do-nabudowania-aquarius-1xgu10-kwadrat-ip44-bialy-kobi?currency=PLN")</f>
        <v>https://b2b.kobi.pl/pl/product/10342,oprawa-do-nabudowania-aquarius-1xgu10-kwadrat-ip44-bialy-kobi?currency=PLN</v>
      </c>
      <c r="Q398" t="s">
        <v>15</v>
      </c>
      <c r="R398" t="s">
        <v>2035</v>
      </c>
      <c r="S398" t="s">
        <v>2706</v>
      </c>
      <c r="T398"/>
      <c r="U398">
        <v>0.64800000000000002</v>
      </c>
      <c r="V398">
        <v>0.79800000000000004</v>
      </c>
      <c r="W398">
        <v>9</v>
      </c>
      <c r="X398">
        <v>9</v>
      </c>
      <c r="Y398">
        <v>11</v>
      </c>
    </row>
    <row r="399" spans="1:25" ht="60" customHeight="1" x14ac:dyDescent="0.25">
      <c r="A399"/>
      <c r="B399" t="s">
        <v>5</v>
      </c>
      <c r="C399" t="s">
        <v>3374</v>
      </c>
      <c r="D399" t="s">
        <v>643</v>
      </c>
      <c r="E399" t="s">
        <v>1171</v>
      </c>
      <c r="F399" t="s">
        <v>1172</v>
      </c>
      <c r="G399" t="s">
        <v>1156</v>
      </c>
      <c r="H399" s="30">
        <v>34.5</v>
      </c>
      <c r="I399" s="29">
        <f>H399*(1-IFERROR(VLOOKUP(G399,Rabat!$D$10:$E$41,2,FALSE),0))</f>
        <v>34.5</v>
      </c>
      <c r="J399" t="s">
        <v>1902</v>
      </c>
      <c r="K399" t="s">
        <v>293</v>
      </c>
      <c r="L399" t="s">
        <v>1901</v>
      </c>
      <c r="M399">
        <v>20</v>
      </c>
      <c r="N399">
        <v>1120</v>
      </c>
      <c r="O399" t="s">
        <v>3434</v>
      </c>
      <c r="P399" s="31" t="str">
        <f>HYPERLINK("https://b2b.kobi.pl/pl/product/10426,oprawa-do-nadbudowania-oh36-biala-kobi?currency=PLN")</f>
        <v>https://b2b.kobi.pl/pl/product/10426,oprawa-do-nadbudowania-oh36-biala-kobi?currency=PLN</v>
      </c>
      <c r="Q399" t="s">
        <v>15</v>
      </c>
      <c r="R399"/>
      <c r="S399" t="s">
        <v>2706</v>
      </c>
      <c r="T399"/>
      <c r="U399">
        <v>0.24299999999999999</v>
      </c>
      <c r="V399">
        <v>0.25</v>
      </c>
      <c r="W399">
        <v>8.6999999999999993</v>
      </c>
      <c r="X399">
        <v>8.6999999999999993</v>
      </c>
      <c r="Y399">
        <v>9.1999999999999993</v>
      </c>
    </row>
    <row r="400" spans="1:25" ht="60" customHeight="1" x14ac:dyDescent="0.25">
      <c r="A400"/>
      <c r="B400" t="s">
        <v>5</v>
      </c>
      <c r="C400" t="s">
        <v>3374</v>
      </c>
      <c r="D400" t="s">
        <v>643</v>
      </c>
      <c r="E400" t="s">
        <v>1173</v>
      </c>
      <c r="F400" t="s">
        <v>1174</v>
      </c>
      <c r="G400" t="s">
        <v>1156</v>
      </c>
      <c r="H400" s="30">
        <v>34.5</v>
      </c>
      <c r="I400" s="29">
        <f>H400*(1-IFERROR(VLOOKUP(G400,Rabat!$D$10:$E$41,2,FALSE),0))</f>
        <v>34.5</v>
      </c>
      <c r="J400" t="s">
        <v>1902</v>
      </c>
      <c r="K400" t="s">
        <v>294</v>
      </c>
      <c r="L400" t="s">
        <v>1901</v>
      </c>
      <c r="M400">
        <v>20</v>
      </c>
      <c r="N400">
        <v>1120</v>
      </c>
      <c r="O400" t="s">
        <v>3434</v>
      </c>
      <c r="P400" s="31" t="str">
        <f>HYPERLINK("https://b2b.kobi.pl/pl/product/10428,oprawa-do-nadbudowania-oh36-czarna-kobi?currency=PLN")</f>
        <v>https://b2b.kobi.pl/pl/product/10428,oprawa-do-nadbudowania-oh36-czarna-kobi?currency=PLN</v>
      </c>
      <c r="Q400" t="s">
        <v>15</v>
      </c>
      <c r="R400"/>
      <c r="S400" t="s">
        <v>2706</v>
      </c>
      <c r="T400"/>
      <c r="U400">
        <v>0.24299999999999999</v>
      </c>
      <c r="V400">
        <v>0.25</v>
      </c>
      <c r="W400">
        <v>8.6999999999999993</v>
      </c>
      <c r="X400">
        <v>8.6999999999999993</v>
      </c>
      <c r="Y400">
        <v>9.1999999999999993</v>
      </c>
    </row>
    <row r="401" spans="1:25" ht="60" customHeight="1" x14ac:dyDescent="0.25">
      <c r="A401"/>
      <c r="B401" t="s">
        <v>5</v>
      </c>
      <c r="C401" t="s">
        <v>3374</v>
      </c>
      <c r="D401" t="s">
        <v>643</v>
      </c>
      <c r="E401" t="s">
        <v>1175</v>
      </c>
      <c r="F401" t="s">
        <v>1176</v>
      </c>
      <c r="G401" t="s">
        <v>1156</v>
      </c>
      <c r="H401" s="30">
        <v>47.38</v>
      </c>
      <c r="I401" s="29">
        <f>H401*(1-IFERROR(VLOOKUP(G401,Rabat!$D$10:$E$41,2,FALSE),0))</f>
        <v>47.38</v>
      </c>
      <c r="J401" t="s">
        <v>1902</v>
      </c>
      <c r="K401" t="s">
        <v>295</v>
      </c>
      <c r="L401" t="s">
        <v>1901</v>
      </c>
      <c r="M401">
        <v>20</v>
      </c>
      <c r="N401">
        <v>760</v>
      </c>
      <c r="O401" t="s">
        <v>3434</v>
      </c>
      <c r="P401" s="31" t="str">
        <f>HYPERLINK("https://b2b.kobi.pl/pl/product/10429,oprawa-do-nadbudowania-oh36-l-biala-kobi?currency=PLN")</f>
        <v>https://b2b.kobi.pl/pl/product/10429,oprawa-do-nadbudowania-oh36-l-biala-kobi?currency=PLN</v>
      </c>
      <c r="Q401" t="s">
        <v>15</v>
      </c>
      <c r="R401"/>
      <c r="S401" t="s">
        <v>2706</v>
      </c>
      <c r="T401"/>
      <c r="U401">
        <v>0.27500000000000002</v>
      </c>
      <c r="V401">
        <v>0.42499999999999999</v>
      </c>
      <c r="W401">
        <v>9</v>
      </c>
      <c r="X401">
        <v>9</v>
      </c>
      <c r="Y401">
        <v>13</v>
      </c>
    </row>
    <row r="402" spans="1:25" ht="60" customHeight="1" x14ac:dyDescent="0.25">
      <c r="A402"/>
      <c r="B402" t="s">
        <v>5</v>
      </c>
      <c r="C402" t="s">
        <v>3374</v>
      </c>
      <c r="D402" t="s">
        <v>643</v>
      </c>
      <c r="E402" t="s">
        <v>1179</v>
      </c>
      <c r="F402" t="s">
        <v>1180</v>
      </c>
      <c r="G402" t="s">
        <v>1156</v>
      </c>
      <c r="H402" s="30">
        <v>47.38</v>
      </c>
      <c r="I402" s="29">
        <f>H402*(1-IFERROR(VLOOKUP(G402,Rabat!$D$10:$E$41,2,FALSE),0))</f>
        <v>47.38</v>
      </c>
      <c r="J402" t="s">
        <v>1902</v>
      </c>
      <c r="K402" t="s">
        <v>296</v>
      </c>
      <c r="L402" t="s">
        <v>1901</v>
      </c>
      <c r="M402">
        <v>20</v>
      </c>
      <c r="N402">
        <v>760</v>
      </c>
      <c r="O402" t="s">
        <v>3434</v>
      </c>
      <c r="P402" s="31" t="str">
        <f>HYPERLINK("https://b2b.kobi.pl/pl/product/10431,oprawa-do-nadbudowania-oh36-l-czarna-kobi?currency=PLN")</f>
        <v>https://b2b.kobi.pl/pl/product/10431,oprawa-do-nadbudowania-oh36-l-czarna-kobi?currency=PLN</v>
      </c>
      <c r="Q402" t="s">
        <v>15</v>
      </c>
      <c r="R402"/>
      <c r="S402" t="s">
        <v>2706</v>
      </c>
      <c r="T402"/>
      <c r="U402">
        <v>0.27500000000000002</v>
      </c>
      <c r="V402">
        <v>0.42499999999999999</v>
      </c>
      <c r="W402">
        <v>9</v>
      </c>
      <c r="X402">
        <v>9</v>
      </c>
      <c r="Y402">
        <v>13</v>
      </c>
    </row>
    <row r="403" spans="1:25" ht="60" customHeight="1" x14ac:dyDescent="0.25">
      <c r="A403"/>
      <c r="B403" t="s">
        <v>5</v>
      </c>
      <c r="C403" t="s">
        <v>3374</v>
      </c>
      <c r="D403" t="s">
        <v>643</v>
      </c>
      <c r="E403" t="s">
        <v>1181</v>
      </c>
      <c r="F403" t="s">
        <v>1182</v>
      </c>
      <c r="G403" t="s">
        <v>1156</v>
      </c>
      <c r="H403" s="30">
        <v>29.74</v>
      </c>
      <c r="I403" s="29">
        <f>H403*(1-IFERROR(VLOOKUP(G403,Rabat!$D$10:$E$41,2,FALSE),0))</f>
        <v>29.74</v>
      </c>
      <c r="J403" t="s">
        <v>1902</v>
      </c>
      <c r="K403" t="s">
        <v>297</v>
      </c>
      <c r="L403" t="s">
        <v>1901</v>
      </c>
      <c r="M403">
        <v>20</v>
      </c>
      <c r="N403">
        <v>1600</v>
      </c>
      <c r="O403" t="s">
        <v>3434</v>
      </c>
      <c r="P403" s="31" t="str">
        <f>HYPERLINK("https://b2b.kobi.pl/pl/product/10432,oprawa-do-nadbudowania-oh36-s-biala-kobi?currency=PLN")</f>
        <v>https://b2b.kobi.pl/pl/product/10432,oprawa-do-nadbudowania-oh36-s-biala-kobi?currency=PLN</v>
      </c>
      <c r="Q403" t="s">
        <v>15</v>
      </c>
      <c r="R403"/>
      <c r="S403" t="s">
        <v>2707</v>
      </c>
      <c r="T403"/>
      <c r="U403">
        <v>0.20300000000000001</v>
      </c>
      <c r="V403">
        <v>0.25</v>
      </c>
      <c r="W403">
        <v>10.6</v>
      </c>
      <c r="X403">
        <v>10.6</v>
      </c>
      <c r="Y403">
        <v>8</v>
      </c>
    </row>
    <row r="404" spans="1:25" ht="60" customHeight="1" x14ac:dyDescent="0.25">
      <c r="A404"/>
      <c r="B404" t="s">
        <v>5</v>
      </c>
      <c r="C404" t="s">
        <v>3374</v>
      </c>
      <c r="D404" t="s">
        <v>643</v>
      </c>
      <c r="E404" t="s">
        <v>1183</v>
      </c>
      <c r="F404" t="s">
        <v>1184</v>
      </c>
      <c r="G404" t="s">
        <v>1156</v>
      </c>
      <c r="H404" s="30">
        <v>29.74</v>
      </c>
      <c r="I404" s="29">
        <f>H404*(1-IFERROR(VLOOKUP(G404,Rabat!$D$10:$E$41,2,FALSE),0))</f>
        <v>29.74</v>
      </c>
      <c r="J404" t="s">
        <v>1902</v>
      </c>
      <c r="K404" t="s">
        <v>298</v>
      </c>
      <c r="L404" t="s">
        <v>1901</v>
      </c>
      <c r="M404">
        <v>20</v>
      </c>
      <c r="N404">
        <v>1600</v>
      </c>
      <c r="O404" t="s">
        <v>3434</v>
      </c>
      <c r="P404" s="31" t="str">
        <f>HYPERLINK("https://b2b.kobi.pl/pl/product/10434,oprawa-do-nadbudowania-oh36-s-czarna-kobi?currency=PLN")</f>
        <v>https://b2b.kobi.pl/pl/product/10434,oprawa-do-nadbudowania-oh36-s-czarna-kobi?currency=PLN</v>
      </c>
      <c r="Q404" t="s">
        <v>15</v>
      </c>
      <c r="R404"/>
      <c r="S404" t="s">
        <v>2707</v>
      </c>
      <c r="T404"/>
      <c r="U404">
        <v>0.20300000000000001</v>
      </c>
      <c r="V404">
        <v>0.25</v>
      </c>
      <c r="W404">
        <v>10.6</v>
      </c>
      <c r="X404">
        <v>10.6</v>
      </c>
      <c r="Y404">
        <v>8</v>
      </c>
    </row>
    <row r="405" spans="1:25" ht="60" customHeight="1" x14ac:dyDescent="0.25">
      <c r="A405"/>
      <c r="B405" t="s">
        <v>5</v>
      </c>
      <c r="C405" t="s">
        <v>3374</v>
      </c>
      <c r="D405" t="s">
        <v>643</v>
      </c>
      <c r="E405" t="s">
        <v>1185</v>
      </c>
      <c r="F405" t="s">
        <v>1186</v>
      </c>
      <c r="G405" t="s">
        <v>1156</v>
      </c>
      <c r="H405" s="30">
        <v>43.84</v>
      </c>
      <c r="I405" s="29">
        <f>H405*(1-IFERROR(VLOOKUP(G405,Rabat!$D$10:$E$41,2,FALSE),0))</f>
        <v>43.84</v>
      </c>
      <c r="J405" t="s">
        <v>1902</v>
      </c>
      <c r="K405" t="s">
        <v>299</v>
      </c>
      <c r="L405" t="s">
        <v>1901</v>
      </c>
      <c r="M405">
        <v>20</v>
      </c>
      <c r="N405">
        <v>980</v>
      </c>
      <c r="O405" t="s">
        <v>3434</v>
      </c>
      <c r="P405" s="31" t="str">
        <f>HYPERLINK("https://b2b.kobi.pl/pl/product/10436,oprawa-do-nadbudowania-oh37-chrom-kobi?currency=PLN")</f>
        <v>https://b2b.kobi.pl/pl/product/10436,oprawa-do-nadbudowania-oh37-chrom-kobi?currency=PLN</v>
      </c>
      <c r="Q405" t="s">
        <v>15</v>
      </c>
      <c r="R405" t="s">
        <v>2035</v>
      </c>
      <c r="S405" t="s">
        <v>2706</v>
      </c>
      <c r="T405"/>
      <c r="U405">
        <v>0.53600000000000003</v>
      </c>
      <c r="V405">
        <v>0.68600000000000005</v>
      </c>
      <c r="W405">
        <v>10.6</v>
      </c>
      <c r="X405">
        <v>10.6</v>
      </c>
      <c r="Y405">
        <v>11</v>
      </c>
    </row>
    <row r="406" spans="1:25" ht="60" customHeight="1" x14ac:dyDescent="0.25">
      <c r="A406"/>
      <c r="B406" t="s">
        <v>5</v>
      </c>
      <c r="C406" t="s">
        <v>3374</v>
      </c>
      <c r="D406" t="s">
        <v>643</v>
      </c>
      <c r="E406" t="s">
        <v>1187</v>
      </c>
      <c r="F406" t="s">
        <v>1188</v>
      </c>
      <c r="G406" t="s">
        <v>1156</v>
      </c>
      <c r="H406" s="30">
        <v>52.22</v>
      </c>
      <c r="I406" s="29">
        <f>H406*(1-IFERROR(VLOOKUP(G406,Rabat!$D$10:$E$41,2,FALSE),0))</f>
        <v>52.22</v>
      </c>
      <c r="J406" t="s">
        <v>1902</v>
      </c>
      <c r="K406" t="s">
        <v>300</v>
      </c>
      <c r="L406" t="s">
        <v>1901</v>
      </c>
      <c r="M406">
        <v>20</v>
      </c>
      <c r="N406">
        <v>980</v>
      </c>
      <c r="O406" t="s">
        <v>3434</v>
      </c>
      <c r="P406" s="31" t="str">
        <f>HYPERLINK("https://b2b.kobi.pl/pl/product/10437,oprawa-do-nadbudowania-oh37-czarna-kobi?currency=PLN")</f>
        <v>https://b2b.kobi.pl/pl/product/10437,oprawa-do-nadbudowania-oh37-czarna-kobi?currency=PLN</v>
      </c>
      <c r="Q406" t="s">
        <v>15</v>
      </c>
      <c r="R406"/>
      <c r="S406" t="s">
        <v>2706</v>
      </c>
      <c r="T406"/>
      <c r="U406">
        <v>0.53600000000000003</v>
      </c>
      <c r="V406">
        <v>0.68600000000000005</v>
      </c>
      <c r="W406">
        <v>10.6</v>
      </c>
      <c r="X406">
        <v>10.6</v>
      </c>
      <c r="Y406">
        <v>11</v>
      </c>
    </row>
    <row r="407" spans="1:25" ht="60" customHeight="1" x14ac:dyDescent="0.25">
      <c r="A407"/>
      <c r="B407" t="s">
        <v>5</v>
      </c>
      <c r="C407" t="s">
        <v>3374</v>
      </c>
      <c r="D407" t="s">
        <v>643</v>
      </c>
      <c r="E407" t="s">
        <v>1189</v>
      </c>
      <c r="F407" t="s">
        <v>1190</v>
      </c>
      <c r="G407" t="s">
        <v>1156</v>
      </c>
      <c r="H407" s="30">
        <v>56.67</v>
      </c>
      <c r="I407" s="29">
        <f>H407*(1-IFERROR(VLOOKUP(G407,Rabat!$D$10:$E$41,2,FALSE),0))</f>
        <v>56.67</v>
      </c>
      <c r="J407" t="s">
        <v>1902</v>
      </c>
      <c r="K407" t="s">
        <v>1942</v>
      </c>
      <c r="L407" t="s">
        <v>1901</v>
      </c>
      <c r="M407">
        <v>20</v>
      </c>
      <c r="N407"/>
      <c r="O407" t="s">
        <v>3434</v>
      </c>
      <c r="P407" s="31" t="str">
        <f>HYPERLINK("https://b2b.kobi.pl/pl/product/10439,oprawa-do-nadbudowania-oh37-l-chrom-kobi?currency=PLN")</f>
        <v>https://b2b.kobi.pl/pl/product/10439,oprawa-do-nadbudowania-oh37-l-chrom-kobi?currency=PLN</v>
      </c>
      <c r="Q407" t="s">
        <v>15</v>
      </c>
      <c r="R407" t="s">
        <v>2035</v>
      </c>
      <c r="S407" t="s">
        <v>2706</v>
      </c>
      <c r="T407"/>
      <c r="U407">
        <v>0.69099999999999995</v>
      </c>
      <c r="V407">
        <v>0.75</v>
      </c>
      <c r="W407">
        <v>10.6</v>
      </c>
      <c r="X407">
        <v>10.6</v>
      </c>
      <c r="Y407">
        <v>11</v>
      </c>
    </row>
    <row r="408" spans="1:25" ht="60" customHeight="1" x14ac:dyDescent="0.25">
      <c r="A408"/>
      <c r="B408" t="s">
        <v>5</v>
      </c>
      <c r="C408" t="s">
        <v>3374</v>
      </c>
      <c r="D408" t="s">
        <v>643</v>
      </c>
      <c r="E408" t="s">
        <v>1195</v>
      </c>
      <c r="F408" t="s">
        <v>1196</v>
      </c>
      <c r="G408" t="s">
        <v>1156</v>
      </c>
      <c r="H408" s="30">
        <v>46.22</v>
      </c>
      <c r="I408" s="29">
        <f>H408*(1-IFERROR(VLOOKUP(G408,Rabat!$D$10:$E$41,2,FALSE),0))</f>
        <v>46.22</v>
      </c>
      <c r="J408" t="s">
        <v>1902</v>
      </c>
      <c r="K408" t="s">
        <v>301</v>
      </c>
      <c r="L408" t="s">
        <v>1901</v>
      </c>
      <c r="M408">
        <v>20</v>
      </c>
      <c r="N408">
        <v>1900</v>
      </c>
      <c r="O408" t="s">
        <v>3434</v>
      </c>
      <c r="P408" s="31" t="str">
        <f>HYPERLINK("https://b2b.kobi.pl/pl/product/10443,oprawa-do-nadbudowania-oh37-s-czarna-kobi?currency=PLN")</f>
        <v>https://b2b.kobi.pl/pl/product/10443,oprawa-do-nadbudowania-oh37-s-czarna-kobi?currency=PLN</v>
      </c>
      <c r="Q408" t="s">
        <v>15</v>
      </c>
      <c r="R408"/>
      <c r="S408" t="s">
        <v>2707</v>
      </c>
      <c r="T408"/>
      <c r="U408">
        <v>0.38300000000000001</v>
      </c>
      <c r="V408">
        <v>0.53300000000000003</v>
      </c>
      <c r="W408">
        <v>9</v>
      </c>
      <c r="X408">
        <v>9</v>
      </c>
      <c r="Y408">
        <v>6.4</v>
      </c>
    </row>
    <row r="409" spans="1:25" ht="60" customHeight="1" x14ac:dyDescent="0.25">
      <c r="A409"/>
      <c r="B409" t="s">
        <v>5</v>
      </c>
      <c r="C409" t="s">
        <v>3374</v>
      </c>
      <c r="D409" t="s">
        <v>643</v>
      </c>
      <c r="E409" t="s">
        <v>3090</v>
      </c>
      <c r="F409" t="s">
        <v>3091</v>
      </c>
      <c r="G409" t="s">
        <v>1156</v>
      </c>
      <c r="H409" s="30">
        <v>18.75</v>
      </c>
      <c r="I409" s="29">
        <f>H409*(1-IFERROR(VLOOKUP(G409,Rabat!$D$10:$E$41,2,FALSE),0))</f>
        <v>18.75</v>
      </c>
      <c r="J409" t="s">
        <v>1902</v>
      </c>
      <c r="K409" t="s">
        <v>3135</v>
      </c>
      <c r="L409" t="s">
        <v>1901</v>
      </c>
      <c r="M409">
        <v>50</v>
      </c>
      <c r="N409">
        <v>2000</v>
      </c>
      <c r="O409" t="s">
        <v>3434</v>
      </c>
      <c r="P409" s="31" t="str">
        <f>HYPERLINK("https://b2b.kobi.pl/pl/product/13137,oprawa-do-nadbudowania-oh12-s-1xgx53-biala-kobi?currency=PLN")</f>
        <v>https://b2b.kobi.pl/pl/product/13137,oprawa-do-nadbudowania-oh12-s-1xgx53-biala-kobi?currency=PLN</v>
      </c>
      <c r="Q409" t="s">
        <v>15</v>
      </c>
      <c r="R409"/>
      <c r="S409" t="s">
        <v>2706</v>
      </c>
      <c r="T409"/>
      <c r="U409">
        <v>0.1</v>
      </c>
      <c r="V409">
        <v>0.13700000000000001</v>
      </c>
      <c r="W409">
        <v>9</v>
      </c>
      <c r="X409">
        <v>9</v>
      </c>
      <c r="Y409">
        <v>6</v>
      </c>
    </row>
    <row r="410" spans="1:25" ht="60" customHeight="1" x14ac:dyDescent="0.25">
      <c r="A410"/>
      <c r="B410" t="s">
        <v>5</v>
      </c>
      <c r="C410" t="s">
        <v>3374</v>
      </c>
      <c r="D410" t="s">
        <v>643</v>
      </c>
      <c r="E410" t="s">
        <v>3092</v>
      </c>
      <c r="F410" t="s">
        <v>3093</v>
      </c>
      <c r="G410" t="s">
        <v>1156</v>
      </c>
      <c r="H410" s="30">
        <v>18.75</v>
      </c>
      <c r="I410" s="29">
        <f>H410*(1-IFERROR(VLOOKUP(G410,Rabat!$D$10:$E$41,2,FALSE),0))</f>
        <v>18.75</v>
      </c>
      <c r="J410" t="s">
        <v>1902</v>
      </c>
      <c r="K410" t="s">
        <v>3136</v>
      </c>
      <c r="L410" t="s">
        <v>1901</v>
      </c>
      <c r="M410">
        <v>50</v>
      </c>
      <c r="N410">
        <v>2000</v>
      </c>
      <c r="O410" t="s">
        <v>3434</v>
      </c>
      <c r="P410" s="31" t="str">
        <f>HYPERLINK("https://b2b.kobi.pl/pl/product/13138,oprawa-do-nadbudowania-oh12-s-1xgx53-czarna-kobi?currency=PLN")</f>
        <v>https://b2b.kobi.pl/pl/product/13138,oprawa-do-nadbudowania-oh12-s-1xgx53-czarna-kobi?currency=PLN</v>
      </c>
      <c r="Q410" t="s">
        <v>15</v>
      </c>
      <c r="R410"/>
      <c r="S410" t="s">
        <v>2706</v>
      </c>
      <c r="T410"/>
      <c r="U410">
        <v>0.1</v>
      </c>
      <c r="V410">
        <v>0.13700000000000001</v>
      </c>
      <c r="W410">
        <v>9</v>
      </c>
      <c r="X410">
        <v>9</v>
      </c>
      <c r="Y410">
        <v>6</v>
      </c>
    </row>
    <row r="411" spans="1:25" ht="60" customHeight="1" x14ac:dyDescent="0.25">
      <c r="A411"/>
      <c r="B411" t="s">
        <v>5</v>
      </c>
      <c r="C411" t="s">
        <v>3374</v>
      </c>
      <c r="D411" t="s">
        <v>643</v>
      </c>
      <c r="E411" t="s">
        <v>3094</v>
      </c>
      <c r="F411" t="s">
        <v>3095</v>
      </c>
      <c r="G411" t="s">
        <v>1156</v>
      </c>
      <c r="H411" s="30">
        <v>22.13</v>
      </c>
      <c r="I411" s="29">
        <f>H411*(1-IFERROR(VLOOKUP(G411,Rabat!$D$10:$E$41,2,FALSE),0))</f>
        <v>22.13</v>
      </c>
      <c r="J411" t="s">
        <v>1902</v>
      </c>
      <c r="K411" t="s">
        <v>3137</v>
      </c>
      <c r="L411" t="s">
        <v>1901</v>
      </c>
      <c r="M411">
        <v>40</v>
      </c>
      <c r="N411">
        <v>1120</v>
      </c>
      <c r="O411" t="s">
        <v>3434</v>
      </c>
      <c r="P411" s="31" t="str">
        <f>HYPERLINK("https://b2b.kobi.pl/pl/product/13139,oprawa-do-nadbudowania-oh12-1xgx53-biala-kobi?currency=PLN")</f>
        <v>https://b2b.kobi.pl/pl/product/13139,oprawa-do-nadbudowania-oh12-1xgx53-biala-kobi?currency=PLN</v>
      </c>
      <c r="Q411" t="s">
        <v>15</v>
      </c>
      <c r="R411"/>
      <c r="S411" t="s">
        <v>2706</v>
      </c>
      <c r="T411"/>
      <c r="U411">
        <v>0.17</v>
      </c>
      <c r="V411">
        <v>0.20899999999999999</v>
      </c>
      <c r="W411">
        <v>9</v>
      </c>
      <c r="X411">
        <v>9</v>
      </c>
      <c r="Y411">
        <v>10.5</v>
      </c>
    </row>
    <row r="412" spans="1:25" ht="60" customHeight="1" x14ac:dyDescent="0.25">
      <c r="A412"/>
      <c r="B412" t="s">
        <v>5</v>
      </c>
      <c r="C412" t="s">
        <v>3374</v>
      </c>
      <c r="D412" t="s">
        <v>643</v>
      </c>
      <c r="E412" t="s">
        <v>3096</v>
      </c>
      <c r="F412" t="s">
        <v>3097</v>
      </c>
      <c r="G412" t="s">
        <v>1156</v>
      </c>
      <c r="H412" s="30">
        <v>22.13</v>
      </c>
      <c r="I412" s="29">
        <f>H412*(1-IFERROR(VLOOKUP(G412,Rabat!$D$10:$E$41,2,FALSE),0))</f>
        <v>22.13</v>
      </c>
      <c r="J412" t="s">
        <v>1902</v>
      </c>
      <c r="K412" t="s">
        <v>3138</v>
      </c>
      <c r="L412" t="s">
        <v>1901</v>
      </c>
      <c r="M412">
        <v>40</v>
      </c>
      <c r="N412">
        <v>1120</v>
      </c>
      <c r="O412" t="s">
        <v>3434</v>
      </c>
      <c r="P412" s="31" t="str">
        <f>HYPERLINK("https://b2b.kobi.pl/pl/product/13140,oprawa-do-nadbudowania-oh12-1xgx53-czarna-kobi?currency=PLN")</f>
        <v>https://b2b.kobi.pl/pl/product/13140,oprawa-do-nadbudowania-oh12-1xgx53-czarna-kobi?currency=PLN</v>
      </c>
      <c r="Q412" t="s">
        <v>15</v>
      </c>
      <c r="R412"/>
      <c r="S412" t="s">
        <v>2706</v>
      </c>
      <c r="T412"/>
      <c r="U412">
        <v>0.17</v>
      </c>
      <c r="V412">
        <v>0.20899999999999999</v>
      </c>
      <c r="W412">
        <v>9</v>
      </c>
      <c r="X412">
        <v>9</v>
      </c>
      <c r="Y412">
        <v>10.5</v>
      </c>
    </row>
    <row r="413" spans="1:25" ht="60" customHeight="1" x14ac:dyDescent="0.25">
      <c r="A413"/>
      <c r="B413" t="s">
        <v>5</v>
      </c>
      <c r="C413" t="s">
        <v>3374</v>
      </c>
      <c r="D413" t="s">
        <v>643</v>
      </c>
      <c r="E413" t="s">
        <v>3098</v>
      </c>
      <c r="F413" t="s">
        <v>3099</v>
      </c>
      <c r="G413" t="s">
        <v>1156</v>
      </c>
      <c r="H413" s="30">
        <v>32.479999999999997</v>
      </c>
      <c r="I413" s="29">
        <f>H413*(1-IFERROR(VLOOKUP(G413,Rabat!$D$10:$E$41,2,FALSE),0))</f>
        <v>32.479999999999997</v>
      </c>
      <c r="J413" t="s">
        <v>1902</v>
      </c>
      <c r="K413" t="s">
        <v>3139</v>
      </c>
      <c r="L413" t="s">
        <v>1901</v>
      </c>
      <c r="M413">
        <v>50</v>
      </c>
      <c r="N413">
        <v>1150</v>
      </c>
      <c r="O413" t="s">
        <v>3434</v>
      </c>
      <c r="P413" s="31" t="str">
        <f>HYPERLINK("https://b2b.kobi.pl/pl/product/13141,oprawa-do-nadbudowania-oh12-f-1xgx53-biala-kobi?currency=PLN")</f>
        <v>https://b2b.kobi.pl/pl/product/13141,oprawa-do-nadbudowania-oh12-f-1xgx53-biala-kobi?currency=PLN</v>
      </c>
      <c r="Q413" t="s">
        <v>15</v>
      </c>
      <c r="R413"/>
      <c r="S413" t="s">
        <v>2706</v>
      </c>
      <c r="T413"/>
      <c r="U413">
        <v>0.24</v>
      </c>
      <c r="V413">
        <v>0.28100000000000003</v>
      </c>
      <c r="W413">
        <v>9</v>
      </c>
      <c r="X413">
        <v>9</v>
      </c>
      <c r="Y413">
        <v>9</v>
      </c>
    </row>
    <row r="414" spans="1:25" ht="60" customHeight="1" x14ac:dyDescent="0.25">
      <c r="A414"/>
      <c r="B414" t="s">
        <v>5</v>
      </c>
      <c r="C414" t="s">
        <v>3374</v>
      </c>
      <c r="D414" t="s">
        <v>643</v>
      </c>
      <c r="E414" t="s">
        <v>3100</v>
      </c>
      <c r="F414" t="s">
        <v>3101</v>
      </c>
      <c r="G414" t="s">
        <v>1156</v>
      </c>
      <c r="H414" s="30">
        <v>32.479999999999997</v>
      </c>
      <c r="I414" s="29">
        <f>H414*(1-IFERROR(VLOOKUP(G414,Rabat!$D$10:$E$41,2,FALSE),0))</f>
        <v>32.479999999999997</v>
      </c>
      <c r="J414" t="s">
        <v>1902</v>
      </c>
      <c r="K414" t="s">
        <v>3140</v>
      </c>
      <c r="L414" t="s">
        <v>1901</v>
      </c>
      <c r="M414">
        <v>50</v>
      </c>
      <c r="N414">
        <v>1150</v>
      </c>
      <c r="O414" t="s">
        <v>3434</v>
      </c>
      <c r="P414" s="31" t="str">
        <f>HYPERLINK("https://b2b.kobi.pl/pl/product/13142,oprawa-do-nadbudowania-oh12-f-1xgx53-czarna-kobi?currency=PLN")</f>
        <v>https://b2b.kobi.pl/pl/product/13142,oprawa-do-nadbudowania-oh12-f-1xgx53-czarna-kobi?currency=PLN</v>
      </c>
      <c r="Q414" t="s">
        <v>15</v>
      </c>
      <c r="R414"/>
      <c r="S414" t="s">
        <v>2706</v>
      </c>
      <c r="T414"/>
      <c r="U414">
        <v>0.24</v>
      </c>
      <c r="V414">
        <v>0.28100000000000003</v>
      </c>
      <c r="W414">
        <v>9</v>
      </c>
      <c r="X414">
        <v>9</v>
      </c>
      <c r="Y414">
        <v>9</v>
      </c>
    </row>
    <row r="415" spans="1:25" ht="60" customHeight="1" x14ac:dyDescent="0.25">
      <c r="A415"/>
      <c r="B415" t="s">
        <v>5</v>
      </c>
      <c r="C415" t="s">
        <v>3374</v>
      </c>
      <c r="D415" t="s">
        <v>643</v>
      </c>
      <c r="E415" t="s">
        <v>3102</v>
      </c>
      <c r="F415" t="s">
        <v>3103</v>
      </c>
      <c r="G415" t="s">
        <v>1156</v>
      </c>
      <c r="H415" s="30">
        <v>107.48</v>
      </c>
      <c r="I415" s="29">
        <f>H415*(1-IFERROR(VLOOKUP(G415,Rabat!$D$10:$E$41,2,FALSE),0))</f>
        <v>107.48</v>
      </c>
      <c r="J415" t="s">
        <v>1902</v>
      </c>
      <c r="K415" t="s">
        <v>3141</v>
      </c>
      <c r="L415" t="s">
        <v>1901</v>
      </c>
      <c r="M415">
        <v>10</v>
      </c>
      <c r="N415">
        <v>170</v>
      </c>
      <c r="O415" t="s">
        <v>3434</v>
      </c>
      <c r="P415" s="31" t="str">
        <f>HYPERLINK("https://b2b.kobi.pl/pl/product/13135,oprawa-sufitowa-lunvigo-4xgx53-czarna-kobi?currency=PLN")</f>
        <v>https://b2b.kobi.pl/pl/product/13135,oprawa-sufitowa-lunvigo-4xgx53-czarna-kobi?currency=PLN</v>
      </c>
      <c r="Q415" t="s">
        <v>15</v>
      </c>
      <c r="R415"/>
      <c r="S415" t="s">
        <v>2706</v>
      </c>
      <c r="T415"/>
      <c r="U415">
        <v>1</v>
      </c>
      <c r="V415">
        <v>1.1859999999999999</v>
      </c>
      <c r="W415">
        <v>62</v>
      </c>
      <c r="X415">
        <v>12</v>
      </c>
      <c r="Y415">
        <v>9</v>
      </c>
    </row>
    <row r="416" spans="1:25" ht="60" customHeight="1" x14ac:dyDescent="0.25">
      <c r="A416"/>
      <c r="B416" t="s">
        <v>5</v>
      </c>
      <c r="C416" t="s">
        <v>3374</v>
      </c>
      <c r="D416" t="s">
        <v>643</v>
      </c>
      <c r="E416" t="s">
        <v>3104</v>
      </c>
      <c r="F416" t="s">
        <v>3105</v>
      </c>
      <c r="G416" t="s">
        <v>1156</v>
      </c>
      <c r="H416" s="30">
        <v>146.25</v>
      </c>
      <c r="I416" s="29">
        <f>H416*(1-IFERROR(VLOOKUP(G416,Rabat!$D$10:$E$41,2,FALSE),0))</f>
        <v>146.25</v>
      </c>
      <c r="J416" t="s">
        <v>1902</v>
      </c>
      <c r="K416" t="s">
        <v>3142</v>
      </c>
      <c r="L416" t="s">
        <v>1901</v>
      </c>
      <c r="M416">
        <v>6</v>
      </c>
      <c r="N416">
        <v>102</v>
      </c>
      <c r="O416" t="s">
        <v>3434</v>
      </c>
      <c r="P416" s="31" t="str">
        <f>HYPERLINK("https://b2b.kobi.pl/pl/product/13136,oprawa-sufitowa-lunvigo-6xgx53-czarna-kobi?currency=PLN")</f>
        <v>https://b2b.kobi.pl/pl/product/13136,oprawa-sufitowa-lunvigo-6xgx53-czarna-kobi?currency=PLN</v>
      </c>
      <c r="Q416" t="s">
        <v>15</v>
      </c>
      <c r="R416"/>
      <c r="S416" t="s">
        <v>2706</v>
      </c>
      <c r="T416"/>
      <c r="U416">
        <v>1.8</v>
      </c>
      <c r="V416">
        <v>2.0699999999999998</v>
      </c>
      <c r="W416">
        <v>121</v>
      </c>
      <c r="X416">
        <v>12</v>
      </c>
      <c r="Y416">
        <v>9</v>
      </c>
    </row>
    <row r="417" spans="1:25" ht="60" customHeight="1" x14ac:dyDescent="0.25">
      <c r="A417"/>
      <c r="B417" t="s">
        <v>5</v>
      </c>
      <c r="C417" t="s">
        <v>3375</v>
      </c>
      <c r="D417" t="s">
        <v>643</v>
      </c>
      <c r="E417" t="s">
        <v>804</v>
      </c>
      <c r="F417" t="s">
        <v>805</v>
      </c>
      <c r="G417" t="s">
        <v>727</v>
      </c>
      <c r="H417" s="30">
        <v>122.5</v>
      </c>
      <c r="I417" s="29">
        <f>H417*(1-IFERROR(VLOOKUP(G417,Rabat!$D$10:$E$41,2,FALSE),0))</f>
        <v>122.5</v>
      </c>
      <c r="J417" t="s">
        <v>1902</v>
      </c>
      <c r="K417" t="s">
        <v>336</v>
      </c>
      <c r="L417" t="s">
        <v>1901</v>
      </c>
      <c r="M417">
        <v>4</v>
      </c>
      <c r="N417">
        <v>60</v>
      </c>
      <c r="O417" t="s">
        <v>3434</v>
      </c>
      <c r="P417" s="31" t="str">
        <f>HYPERLINK("https://b2b.kobi.pl/pl/product/10564,lampa-ogrodowa-garden-ball-s-1xe27-ip65-kobi?currency=PLN")</f>
        <v>https://b2b.kobi.pl/pl/product/10564,lampa-ogrodowa-garden-ball-s-1xe27-ip65-kobi?currency=PLN</v>
      </c>
      <c r="Q417" t="s">
        <v>15</v>
      </c>
      <c r="R417"/>
      <c r="S417" t="s">
        <v>2708</v>
      </c>
      <c r="T417"/>
      <c r="U417">
        <v>0.78900000000000003</v>
      </c>
      <c r="V417">
        <v>2.25</v>
      </c>
      <c r="W417">
        <v>25.5</v>
      </c>
      <c r="X417">
        <v>25.5</v>
      </c>
      <c r="Y417">
        <v>24</v>
      </c>
    </row>
    <row r="418" spans="1:25" ht="60" customHeight="1" x14ac:dyDescent="0.25">
      <c r="A418"/>
      <c r="B418" t="s">
        <v>5</v>
      </c>
      <c r="C418" t="s">
        <v>3375</v>
      </c>
      <c r="D418" t="s">
        <v>643</v>
      </c>
      <c r="E418" t="s">
        <v>802</v>
      </c>
      <c r="F418" t="s">
        <v>803</v>
      </c>
      <c r="G418" t="s">
        <v>727</v>
      </c>
      <c r="H418" s="30">
        <v>147.5</v>
      </c>
      <c r="I418" s="29">
        <f>H418*(1-IFERROR(VLOOKUP(G418,Rabat!$D$10:$E$41,2,FALSE),0))</f>
        <v>147.5</v>
      </c>
      <c r="J418" t="s">
        <v>1902</v>
      </c>
      <c r="K418" t="s">
        <v>335</v>
      </c>
      <c r="L418" t="s">
        <v>1901</v>
      </c>
      <c r="M418">
        <v>4</v>
      </c>
      <c r="N418">
        <v>40</v>
      </c>
      <c r="O418" t="s">
        <v>3434</v>
      </c>
      <c r="P418" s="31" t="str">
        <f>HYPERLINK("https://b2b.kobi.pl/pl/product/10563,lampa-ogrodowa-garden-ball-m-1xe27-ip65-kobi?currency=PLN")</f>
        <v>https://b2b.kobi.pl/pl/product/10563,lampa-ogrodowa-garden-ball-m-1xe27-ip65-kobi?currency=PLN</v>
      </c>
      <c r="Q418" t="s">
        <v>15</v>
      </c>
      <c r="R418"/>
      <c r="S418" t="s">
        <v>2708</v>
      </c>
      <c r="T418"/>
      <c r="U418">
        <v>0.99199999999999999</v>
      </c>
      <c r="V418">
        <v>1.35</v>
      </c>
      <c r="W418">
        <v>28.5</v>
      </c>
      <c r="X418">
        <v>28.5</v>
      </c>
      <c r="Y418">
        <v>28.5</v>
      </c>
    </row>
    <row r="419" spans="1:25" ht="60" customHeight="1" x14ac:dyDescent="0.25">
      <c r="A419"/>
      <c r="B419" t="s">
        <v>5</v>
      </c>
      <c r="C419" t="s">
        <v>3375</v>
      </c>
      <c r="D419" t="s">
        <v>643</v>
      </c>
      <c r="E419" t="s">
        <v>800</v>
      </c>
      <c r="F419" t="s">
        <v>801</v>
      </c>
      <c r="G419" t="s">
        <v>727</v>
      </c>
      <c r="H419" s="30">
        <v>197.5</v>
      </c>
      <c r="I419" s="29">
        <f>H419*(1-IFERROR(VLOOKUP(G419,Rabat!$D$10:$E$41,2,FALSE),0))</f>
        <v>197.5</v>
      </c>
      <c r="J419" t="s">
        <v>1902</v>
      </c>
      <c r="K419" t="s">
        <v>334</v>
      </c>
      <c r="L419" t="s">
        <v>1901</v>
      </c>
      <c r="M419">
        <v>1</v>
      </c>
      <c r="N419">
        <v>24</v>
      </c>
      <c r="O419" t="s">
        <v>3434</v>
      </c>
      <c r="P419" s="31" t="str">
        <f>HYPERLINK("https://b2b.kobi.pl/pl/product/10562,lampa-ogrodowa-garden-ball-l-1xe27-ip65-kobi?currency=PLN")</f>
        <v>https://b2b.kobi.pl/pl/product/10562,lampa-ogrodowa-garden-ball-l-1xe27-ip65-kobi?currency=PLN</v>
      </c>
      <c r="Q419" t="s">
        <v>15</v>
      </c>
      <c r="R419"/>
      <c r="S419" t="s">
        <v>2708</v>
      </c>
      <c r="T419"/>
      <c r="U419">
        <v>1.7549999999999999</v>
      </c>
      <c r="V419">
        <v>2.75</v>
      </c>
      <c r="W419">
        <v>39</v>
      </c>
      <c r="X419">
        <v>39</v>
      </c>
      <c r="Y419">
        <v>39</v>
      </c>
    </row>
    <row r="420" spans="1:25" ht="60" customHeight="1" x14ac:dyDescent="0.25">
      <c r="A420"/>
      <c r="B420" t="s">
        <v>5</v>
      </c>
      <c r="C420" t="s">
        <v>3375</v>
      </c>
      <c r="D420" t="s">
        <v>643</v>
      </c>
      <c r="E420" t="s">
        <v>729</v>
      </c>
      <c r="F420" t="s">
        <v>730</v>
      </c>
      <c r="G420" t="s">
        <v>727</v>
      </c>
      <c r="H420" s="30">
        <v>49.75</v>
      </c>
      <c r="I420" s="29">
        <f>H420*(1-IFERROR(VLOOKUP(G420,Rabat!$D$10:$E$41,2,FALSE),0))</f>
        <v>49.75</v>
      </c>
      <c r="J420" t="s">
        <v>1902</v>
      </c>
      <c r="K420" t="s">
        <v>1910</v>
      </c>
      <c r="L420" t="s">
        <v>1901</v>
      </c>
      <c r="M420">
        <v>10</v>
      </c>
      <c r="N420">
        <v>160</v>
      </c>
      <c r="O420" t="s">
        <v>3434</v>
      </c>
      <c r="P420" s="31" t="str">
        <f>HYPERLINK("https://b2b.kobi.pl/pl/product/10584,kinkiet-ogrodowy-lo4101-1xe27-ip54-bialy-kobi?currency=PLN")</f>
        <v>https://b2b.kobi.pl/pl/product/10584,kinkiet-ogrodowy-lo4101-1xe27-ip54-bialy-kobi?currency=PLN</v>
      </c>
      <c r="Q420" t="s">
        <v>15</v>
      </c>
      <c r="R420"/>
      <c r="S420" t="s">
        <v>2709</v>
      </c>
      <c r="T420"/>
      <c r="U420">
        <v>0.68</v>
      </c>
      <c r="V420">
        <v>0.92600000000000005</v>
      </c>
      <c r="W420">
        <v>15.5</v>
      </c>
      <c r="X420">
        <v>10.7</v>
      </c>
      <c r="Y420">
        <v>26.1</v>
      </c>
    </row>
    <row r="421" spans="1:25" ht="60" customHeight="1" x14ac:dyDescent="0.25">
      <c r="A421"/>
      <c r="B421" t="s">
        <v>5</v>
      </c>
      <c r="C421" t="s">
        <v>3375</v>
      </c>
      <c r="D421" t="s">
        <v>643</v>
      </c>
      <c r="E421" t="s">
        <v>731</v>
      </c>
      <c r="F421" t="s">
        <v>732</v>
      </c>
      <c r="G421" t="s">
        <v>727</v>
      </c>
      <c r="H421" s="30">
        <v>49.75</v>
      </c>
      <c r="I421" s="29">
        <f>H421*(1-IFERROR(VLOOKUP(G421,Rabat!$D$10:$E$41,2,FALSE),0))</f>
        <v>49.75</v>
      </c>
      <c r="J421" t="s">
        <v>1902</v>
      </c>
      <c r="K421" t="s">
        <v>328</v>
      </c>
      <c r="L421" t="s">
        <v>1901</v>
      </c>
      <c r="M421">
        <v>10</v>
      </c>
      <c r="N421">
        <v>160</v>
      </c>
      <c r="O421" t="s">
        <v>3434</v>
      </c>
      <c r="P421" s="31" t="str">
        <f>HYPERLINK("https://b2b.kobi.pl/pl/product/10585,kinkiet-ogrodowy-lo4101-1xe27-ip54-czarny-kobi?currency=PLN")</f>
        <v>https://b2b.kobi.pl/pl/product/10585,kinkiet-ogrodowy-lo4101-1xe27-ip54-czarny-kobi?currency=PLN</v>
      </c>
      <c r="Q421" t="s">
        <v>15</v>
      </c>
      <c r="R421"/>
      <c r="S421" t="s">
        <v>2709</v>
      </c>
      <c r="T421"/>
      <c r="U421">
        <v>0.68</v>
      </c>
      <c r="V421">
        <v>0.92600000000000005</v>
      </c>
      <c r="W421">
        <v>15.5</v>
      </c>
      <c r="X421">
        <v>10.7</v>
      </c>
      <c r="Y421">
        <v>26.1</v>
      </c>
    </row>
    <row r="422" spans="1:25" ht="60" customHeight="1" x14ac:dyDescent="0.25">
      <c r="A422"/>
      <c r="B422" t="s">
        <v>5</v>
      </c>
      <c r="C422" t="s">
        <v>3375</v>
      </c>
      <c r="D422" t="s">
        <v>643</v>
      </c>
      <c r="E422" t="s">
        <v>733</v>
      </c>
      <c r="F422" t="s">
        <v>734</v>
      </c>
      <c r="G422" t="s">
        <v>727</v>
      </c>
      <c r="H422" s="30">
        <v>49.75</v>
      </c>
      <c r="I422" s="29">
        <f>H422*(1-IFERROR(VLOOKUP(G422,Rabat!$D$10:$E$41,2,FALSE),0))</f>
        <v>49.75</v>
      </c>
      <c r="J422" t="s">
        <v>1902</v>
      </c>
      <c r="K422" t="s">
        <v>329</v>
      </c>
      <c r="L422" t="s">
        <v>1901</v>
      </c>
      <c r="M422">
        <v>10</v>
      </c>
      <c r="N422">
        <v>160</v>
      </c>
      <c r="O422" t="s">
        <v>3434</v>
      </c>
      <c r="P422" s="31" t="str">
        <f>HYPERLINK("https://b2b.kobi.pl/pl/product/10587,kinkiet-ogrodowy-lo4101-1xe27-ip54-zloty-kobi?currency=PLN")</f>
        <v>https://b2b.kobi.pl/pl/product/10587,kinkiet-ogrodowy-lo4101-1xe27-ip54-zloty-kobi?currency=PLN</v>
      </c>
      <c r="Q422" t="s">
        <v>15</v>
      </c>
      <c r="R422"/>
      <c r="S422" t="s">
        <v>2709</v>
      </c>
      <c r="T422"/>
      <c r="U422">
        <v>0.68</v>
      </c>
      <c r="V422">
        <v>0.92600000000000005</v>
      </c>
      <c r="W422">
        <v>15.5</v>
      </c>
      <c r="X422">
        <v>20.7</v>
      </c>
      <c r="Y422">
        <v>26.1</v>
      </c>
    </row>
    <row r="423" spans="1:25" ht="60" customHeight="1" x14ac:dyDescent="0.25">
      <c r="A423"/>
      <c r="B423" t="s">
        <v>5</v>
      </c>
      <c r="C423" t="s">
        <v>3375</v>
      </c>
      <c r="D423" t="s">
        <v>643</v>
      </c>
      <c r="E423" t="s">
        <v>735</v>
      </c>
      <c r="F423" t="s">
        <v>736</v>
      </c>
      <c r="G423" t="s">
        <v>727</v>
      </c>
      <c r="H423" s="30">
        <v>49.75</v>
      </c>
      <c r="I423" s="29">
        <f>H423*(1-IFERROR(VLOOKUP(G423,Rabat!$D$10:$E$41,2,FALSE),0))</f>
        <v>49.75</v>
      </c>
      <c r="J423" t="s">
        <v>1902</v>
      </c>
      <c r="K423" t="s">
        <v>1911</v>
      </c>
      <c r="L423" t="s">
        <v>1901</v>
      </c>
      <c r="M423">
        <v>10</v>
      </c>
      <c r="N423">
        <v>160</v>
      </c>
      <c r="O423" t="s">
        <v>3434</v>
      </c>
      <c r="P423" s="31" t="str">
        <f>HYPERLINK("https://b2b.kobi.pl/pl/product/10588,kinkiet-ogrodowy-lo4102-1xe27-ip54-bialy-kobi?currency=PLN")</f>
        <v>https://b2b.kobi.pl/pl/product/10588,kinkiet-ogrodowy-lo4102-1xe27-ip54-bialy-kobi?currency=PLN</v>
      </c>
      <c r="Q423" t="s">
        <v>15</v>
      </c>
      <c r="R423"/>
      <c r="S423" t="s">
        <v>2709</v>
      </c>
      <c r="T423"/>
      <c r="U423">
        <v>0.68</v>
      </c>
      <c r="V423">
        <v>0.92600000000000005</v>
      </c>
      <c r="W423">
        <v>15.1</v>
      </c>
      <c r="X423">
        <v>21</v>
      </c>
      <c r="Y423">
        <v>31.3</v>
      </c>
    </row>
    <row r="424" spans="1:25" ht="60" customHeight="1" x14ac:dyDescent="0.25">
      <c r="A424"/>
      <c r="B424" t="s">
        <v>5</v>
      </c>
      <c r="C424" t="s">
        <v>3375</v>
      </c>
      <c r="D424" t="s">
        <v>643</v>
      </c>
      <c r="E424" t="s">
        <v>737</v>
      </c>
      <c r="F424" t="s">
        <v>738</v>
      </c>
      <c r="G424" t="s">
        <v>727</v>
      </c>
      <c r="H424" s="30">
        <v>49.75</v>
      </c>
      <c r="I424" s="29">
        <f>H424*(1-IFERROR(VLOOKUP(G424,Rabat!$D$10:$E$41,2,FALSE),0))</f>
        <v>49.75</v>
      </c>
      <c r="J424" t="s">
        <v>1902</v>
      </c>
      <c r="K424" t="s">
        <v>320</v>
      </c>
      <c r="L424" t="s">
        <v>1901</v>
      </c>
      <c r="M424">
        <v>10</v>
      </c>
      <c r="N424">
        <v>160</v>
      </c>
      <c r="O424" t="s">
        <v>3434</v>
      </c>
      <c r="P424" s="31" t="str">
        <f>HYPERLINK("https://b2b.kobi.pl/pl/product/10589,kinkiet-ogrodowy-lo4102-1xe27-ip54-czarny-kobi?currency=PLN")</f>
        <v>https://b2b.kobi.pl/pl/product/10589,kinkiet-ogrodowy-lo4102-1xe27-ip54-czarny-kobi?currency=PLN</v>
      </c>
      <c r="Q424" t="s">
        <v>15</v>
      </c>
      <c r="R424"/>
      <c r="S424" t="s">
        <v>2709</v>
      </c>
      <c r="T424"/>
      <c r="U424">
        <v>0.68</v>
      </c>
      <c r="V424">
        <v>0.92600000000000005</v>
      </c>
      <c r="W424">
        <v>15.1</v>
      </c>
      <c r="X424">
        <v>21</v>
      </c>
      <c r="Y424">
        <v>31.3</v>
      </c>
    </row>
    <row r="425" spans="1:25" ht="60" customHeight="1" x14ac:dyDescent="0.25">
      <c r="A425"/>
      <c r="B425" t="s">
        <v>5</v>
      </c>
      <c r="C425" t="s">
        <v>3375</v>
      </c>
      <c r="D425" t="s">
        <v>643</v>
      </c>
      <c r="E425" t="s">
        <v>739</v>
      </c>
      <c r="F425" t="s">
        <v>740</v>
      </c>
      <c r="G425" t="s">
        <v>727</v>
      </c>
      <c r="H425" s="30">
        <v>49.75</v>
      </c>
      <c r="I425" s="29">
        <f>H425*(1-IFERROR(VLOOKUP(G425,Rabat!$D$10:$E$41,2,FALSE),0))</f>
        <v>49.75</v>
      </c>
      <c r="J425" t="s">
        <v>1902</v>
      </c>
      <c r="K425" t="s">
        <v>321</v>
      </c>
      <c r="L425" t="s">
        <v>1901</v>
      </c>
      <c r="M425">
        <v>10</v>
      </c>
      <c r="N425">
        <v>160</v>
      </c>
      <c r="O425" t="s">
        <v>3434</v>
      </c>
      <c r="P425" s="31" t="str">
        <f>HYPERLINK("https://b2b.kobi.pl/pl/product/10591,kinkiet-ogrodowy-lo4102-1xe27-ip54-zloty-kobi?currency=PLN")</f>
        <v>https://b2b.kobi.pl/pl/product/10591,kinkiet-ogrodowy-lo4102-1xe27-ip54-zloty-kobi?currency=PLN</v>
      </c>
      <c r="Q425" t="s">
        <v>15</v>
      </c>
      <c r="R425"/>
      <c r="S425" t="s">
        <v>2709</v>
      </c>
      <c r="T425"/>
      <c r="U425">
        <v>0.68</v>
      </c>
      <c r="V425">
        <v>0.92600000000000005</v>
      </c>
      <c r="W425">
        <v>15.1</v>
      </c>
      <c r="X425">
        <v>21</v>
      </c>
      <c r="Y425">
        <v>31.3</v>
      </c>
    </row>
    <row r="426" spans="1:25" ht="60" customHeight="1" x14ac:dyDescent="0.25">
      <c r="A426"/>
      <c r="B426" t="s">
        <v>5</v>
      </c>
      <c r="C426" t="s">
        <v>3375</v>
      </c>
      <c r="D426" t="s">
        <v>643</v>
      </c>
      <c r="E426" t="s">
        <v>926</v>
      </c>
      <c r="F426" t="s">
        <v>927</v>
      </c>
      <c r="G426" t="s">
        <v>727</v>
      </c>
      <c r="H426" s="30">
        <v>49.75</v>
      </c>
      <c r="I426" s="29">
        <f>H426*(1-IFERROR(VLOOKUP(G426,Rabat!$D$10:$E$41,2,FALSE),0))</f>
        <v>49.75</v>
      </c>
      <c r="J426" t="s">
        <v>1902</v>
      </c>
      <c r="K426" t="s">
        <v>1932</v>
      </c>
      <c r="L426" t="s">
        <v>1901</v>
      </c>
      <c r="M426">
        <v>10</v>
      </c>
      <c r="N426">
        <v>160</v>
      </c>
      <c r="O426" t="s">
        <v>3434</v>
      </c>
      <c r="P426" s="31" t="str">
        <f>HYPERLINK("https://b2b.kobi.pl/pl/product/10596,lampa-wiszaca-ogrodowa-lo4105-1xe27-ip54-biala-kobi?currency=PLN")</f>
        <v>https://b2b.kobi.pl/pl/product/10596,lampa-wiszaca-ogrodowa-lo4105-1xe27-ip54-biala-kobi?currency=PLN</v>
      </c>
      <c r="Q426" t="s">
        <v>15</v>
      </c>
      <c r="R426"/>
      <c r="S426" t="s">
        <v>2709</v>
      </c>
      <c r="T426"/>
      <c r="U426">
        <v>0.69</v>
      </c>
      <c r="V426">
        <v>0.96299999999999997</v>
      </c>
      <c r="W426">
        <v>15.5</v>
      </c>
      <c r="X426">
        <v>18.5</v>
      </c>
      <c r="Y426">
        <v>27</v>
      </c>
    </row>
    <row r="427" spans="1:25" ht="60" customHeight="1" x14ac:dyDescent="0.25">
      <c r="A427"/>
      <c r="B427" t="s">
        <v>5</v>
      </c>
      <c r="C427" t="s">
        <v>3375</v>
      </c>
      <c r="D427" t="s">
        <v>643</v>
      </c>
      <c r="E427" t="s">
        <v>928</v>
      </c>
      <c r="F427" t="s">
        <v>929</v>
      </c>
      <c r="G427" t="s">
        <v>727</v>
      </c>
      <c r="H427" s="30">
        <v>49.75</v>
      </c>
      <c r="I427" s="29">
        <f>H427*(1-IFERROR(VLOOKUP(G427,Rabat!$D$10:$E$41,2,FALSE),0))</f>
        <v>49.75</v>
      </c>
      <c r="J427" t="s">
        <v>1902</v>
      </c>
      <c r="K427" t="s">
        <v>342</v>
      </c>
      <c r="L427" t="s">
        <v>1901</v>
      </c>
      <c r="M427">
        <v>10</v>
      </c>
      <c r="N427">
        <v>160</v>
      </c>
      <c r="O427" t="s">
        <v>3434</v>
      </c>
      <c r="P427" s="31" t="str">
        <f>HYPERLINK("https://b2b.kobi.pl/pl/product/10597,lampa-wiszaca-ogrodowa-lo4105-1xe27-ip54-czarna-kobi?currency=PLN")</f>
        <v>https://b2b.kobi.pl/pl/product/10597,lampa-wiszaca-ogrodowa-lo4105-1xe27-ip54-czarna-kobi?currency=PLN</v>
      </c>
      <c r="Q427" t="s">
        <v>15</v>
      </c>
      <c r="R427"/>
      <c r="S427" t="s">
        <v>2709</v>
      </c>
      <c r="T427"/>
      <c r="U427">
        <v>0.745</v>
      </c>
      <c r="V427">
        <v>0.96299999999999997</v>
      </c>
      <c r="W427">
        <v>15.5</v>
      </c>
      <c r="X427">
        <v>18.5</v>
      </c>
      <c r="Y427">
        <v>27</v>
      </c>
    </row>
    <row r="428" spans="1:25" ht="60" customHeight="1" x14ac:dyDescent="0.25">
      <c r="A428"/>
      <c r="B428" t="s">
        <v>5</v>
      </c>
      <c r="C428" t="s">
        <v>3375</v>
      </c>
      <c r="D428" t="s">
        <v>643</v>
      </c>
      <c r="E428" t="s">
        <v>930</v>
      </c>
      <c r="F428" t="s">
        <v>931</v>
      </c>
      <c r="G428" t="s">
        <v>727</v>
      </c>
      <c r="H428" s="30">
        <v>49.75</v>
      </c>
      <c r="I428" s="29">
        <f>H428*(1-IFERROR(VLOOKUP(G428,Rabat!$D$10:$E$41,2,FALSE),0))</f>
        <v>49.75</v>
      </c>
      <c r="J428" t="s">
        <v>1902</v>
      </c>
      <c r="K428" t="s">
        <v>343</v>
      </c>
      <c r="L428" t="s">
        <v>1901</v>
      </c>
      <c r="M428">
        <v>10</v>
      </c>
      <c r="N428">
        <v>160</v>
      </c>
      <c r="O428" t="s">
        <v>3434</v>
      </c>
      <c r="P428" s="31" t="str">
        <f>HYPERLINK("https://b2b.kobi.pl/pl/product/10599,lampa-wiszaca-ogrodowa-lo4105-1xe27-ip54-zlota-kobi?currency=PLN")</f>
        <v>https://b2b.kobi.pl/pl/product/10599,lampa-wiszaca-ogrodowa-lo4105-1xe27-ip54-zlota-kobi?currency=PLN</v>
      </c>
      <c r="Q428" t="s">
        <v>15</v>
      </c>
      <c r="R428"/>
      <c r="S428" t="s">
        <v>2709</v>
      </c>
      <c r="T428"/>
      <c r="U428">
        <v>0.745</v>
      </c>
      <c r="V428">
        <v>0.96299999999999997</v>
      </c>
      <c r="W428">
        <v>15.5</v>
      </c>
      <c r="X428">
        <v>18.5</v>
      </c>
      <c r="Y428">
        <v>27</v>
      </c>
    </row>
    <row r="429" spans="1:25" ht="60" customHeight="1" x14ac:dyDescent="0.25">
      <c r="A429"/>
      <c r="B429" t="s">
        <v>5</v>
      </c>
      <c r="C429" t="s">
        <v>3375</v>
      </c>
      <c r="D429" t="s">
        <v>643</v>
      </c>
      <c r="E429" t="s">
        <v>741</v>
      </c>
      <c r="F429" t="s">
        <v>742</v>
      </c>
      <c r="G429" t="s">
        <v>727</v>
      </c>
      <c r="H429" s="30">
        <v>149.75</v>
      </c>
      <c r="I429" s="29">
        <f>H429*(1-IFERROR(VLOOKUP(G429,Rabat!$D$10:$E$41,2,FALSE),0))</f>
        <v>149.75</v>
      </c>
      <c r="J429" t="s">
        <v>1902</v>
      </c>
      <c r="K429" t="s">
        <v>330</v>
      </c>
      <c r="L429" t="s">
        <v>1901</v>
      </c>
      <c r="M429">
        <v>12</v>
      </c>
      <c r="N429">
        <v>480</v>
      </c>
      <c r="O429" t="s">
        <v>3434</v>
      </c>
      <c r="P429" s="31" t="str">
        <f>HYPERLINK("https://b2b.kobi.pl/pl/product/10624,kinkiet-ogrodowy-quazar-7-2xgu10-ip44-czarny-kobi?currency=PLN")</f>
        <v>https://b2b.kobi.pl/pl/product/10624,kinkiet-ogrodowy-quazar-7-2xgu10-ip44-czarny-kobi?currency=PLN</v>
      </c>
      <c r="Q429" t="s">
        <v>15</v>
      </c>
      <c r="R429"/>
      <c r="S429" t="s">
        <v>2706</v>
      </c>
      <c r="T429"/>
      <c r="U429">
        <v>0.83099999999999996</v>
      </c>
      <c r="V429">
        <v>0.95099999999999996</v>
      </c>
      <c r="W429">
        <v>9.5</v>
      </c>
      <c r="X429">
        <v>39.799999999999997</v>
      </c>
      <c r="Y429">
        <v>26.1</v>
      </c>
    </row>
    <row r="430" spans="1:25" ht="60" customHeight="1" x14ac:dyDescent="0.25">
      <c r="A430"/>
      <c r="B430" t="s">
        <v>5</v>
      </c>
      <c r="C430" t="s">
        <v>3375</v>
      </c>
      <c r="D430" t="s">
        <v>643</v>
      </c>
      <c r="E430" t="s">
        <v>743</v>
      </c>
      <c r="F430" t="s">
        <v>744</v>
      </c>
      <c r="G430" t="s">
        <v>727</v>
      </c>
      <c r="H430" s="30">
        <v>149.75</v>
      </c>
      <c r="I430" s="29">
        <f>H430*(1-IFERROR(VLOOKUP(G430,Rabat!$D$10:$E$41,2,FALSE),0))</f>
        <v>149.75</v>
      </c>
      <c r="J430" t="s">
        <v>1902</v>
      </c>
      <c r="K430" t="s">
        <v>331</v>
      </c>
      <c r="L430" t="s">
        <v>1901</v>
      </c>
      <c r="M430">
        <v>12</v>
      </c>
      <c r="N430">
        <v>384</v>
      </c>
      <c r="O430" t="s">
        <v>3434</v>
      </c>
      <c r="P430" s="31" t="str">
        <f>HYPERLINK("https://b2b.kobi.pl/pl/product/10625,kinkiet-ogrodowy-quazar-7-2xgu10-ip44-szary-kobi?currency=PLN")</f>
        <v>https://b2b.kobi.pl/pl/product/10625,kinkiet-ogrodowy-quazar-7-2xgu10-ip44-szary-kobi?currency=PLN</v>
      </c>
      <c r="Q430" t="s">
        <v>15</v>
      </c>
      <c r="R430"/>
      <c r="S430" t="s">
        <v>2706</v>
      </c>
      <c r="T430"/>
      <c r="U430">
        <v>0.83099999999999996</v>
      </c>
      <c r="V430">
        <v>0.95099999999999996</v>
      </c>
      <c r="W430">
        <v>9.5</v>
      </c>
      <c r="X430">
        <v>9.8000000000000007</v>
      </c>
      <c r="Y430">
        <v>26.1</v>
      </c>
    </row>
    <row r="431" spans="1:25" ht="60" customHeight="1" x14ac:dyDescent="0.25">
      <c r="A431"/>
      <c r="B431" t="s">
        <v>5</v>
      </c>
      <c r="C431" t="s">
        <v>3375</v>
      </c>
      <c r="D431" t="s">
        <v>643</v>
      </c>
      <c r="E431" t="s">
        <v>747</v>
      </c>
      <c r="F431" t="s">
        <v>748</v>
      </c>
      <c r="G431" t="s">
        <v>727</v>
      </c>
      <c r="H431" s="30">
        <v>104.75</v>
      </c>
      <c r="I431" s="29">
        <f>H431*(1-IFERROR(VLOOKUP(G431,Rabat!$D$10:$E$41,2,FALSE),0))</f>
        <v>104.75</v>
      </c>
      <c r="J431" t="s">
        <v>1902</v>
      </c>
      <c r="K431" t="s">
        <v>324</v>
      </c>
      <c r="L431" t="s">
        <v>1901</v>
      </c>
      <c r="M431">
        <v>16</v>
      </c>
      <c r="N431">
        <v>672</v>
      </c>
      <c r="O431" t="s">
        <v>3434</v>
      </c>
      <c r="P431" s="31" t="str">
        <f>HYPERLINK("https://b2b.kobi.pl/pl/product/10602,kinkiet-ogrodowy-quazar-11-1xgu10-ip44-czarny-kobi?currency=PLN")</f>
        <v>https://b2b.kobi.pl/pl/product/10602,kinkiet-ogrodowy-quazar-11-1xgu10-ip44-czarny-kobi?currency=PLN</v>
      </c>
      <c r="Q431" t="s">
        <v>15</v>
      </c>
      <c r="R431"/>
      <c r="S431" t="s">
        <v>2706</v>
      </c>
      <c r="T431"/>
      <c r="U431">
        <v>0.55100000000000005</v>
      </c>
      <c r="V431">
        <v>0.64100000000000001</v>
      </c>
      <c r="W431">
        <v>9.5</v>
      </c>
      <c r="X431">
        <v>9.5</v>
      </c>
      <c r="Y431">
        <v>16</v>
      </c>
    </row>
    <row r="432" spans="1:25" ht="60" customHeight="1" x14ac:dyDescent="0.25">
      <c r="A432"/>
      <c r="B432" t="s">
        <v>5</v>
      </c>
      <c r="C432" t="s">
        <v>3375</v>
      </c>
      <c r="D432" t="s">
        <v>643</v>
      </c>
      <c r="E432" t="s">
        <v>749</v>
      </c>
      <c r="F432" t="s">
        <v>750</v>
      </c>
      <c r="G432" t="s">
        <v>727</v>
      </c>
      <c r="H432" s="30">
        <v>104.75</v>
      </c>
      <c r="I432" s="29">
        <f>H432*(1-IFERROR(VLOOKUP(G432,Rabat!$D$10:$E$41,2,FALSE),0))</f>
        <v>104.75</v>
      </c>
      <c r="J432" t="s">
        <v>1902</v>
      </c>
      <c r="K432" t="s">
        <v>325</v>
      </c>
      <c r="L432" t="s">
        <v>1901</v>
      </c>
      <c r="M432">
        <v>16</v>
      </c>
      <c r="N432">
        <v>576</v>
      </c>
      <c r="O432" t="s">
        <v>3434</v>
      </c>
      <c r="P432" s="31" t="str">
        <f>HYPERLINK("https://b2b.kobi.pl/pl/product/10603,kinkiet-ogrodowy-quazar-11-1xgu10-ip44-szary-kobi?currency=PLN")</f>
        <v>https://b2b.kobi.pl/pl/product/10603,kinkiet-ogrodowy-quazar-11-1xgu10-ip44-szary-kobi?currency=PLN</v>
      </c>
      <c r="Q432" t="s">
        <v>15</v>
      </c>
      <c r="R432"/>
      <c r="S432" t="s">
        <v>2706</v>
      </c>
      <c r="T432"/>
      <c r="U432">
        <v>0.55100000000000005</v>
      </c>
      <c r="V432">
        <v>0.64100000000000001</v>
      </c>
      <c r="W432">
        <v>9.5</v>
      </c>
      <c r="X432">
        <v>9.5</v>
      </c>
      <c r="Y432">
        <v>16</v>
      </c>
    </row>
    <row r="433" spans="1:25" ht="60" customHeight="1" x14ac:dyDescent="0.25">
      <c r="A433"/>
      <c r="B433" t="s">
        <v>5</v>
      </c>
      <c r="C433" t="s">
        <v>3375</v>
      </c>
      <c r="D433" t="s">
        <v>643</v>
      </c>
      <c r="E433" t="s">
        <v>1417</v>
      </c>
      <c r="F433" t="s">
        <v>1418</v>
      </c>
      <c r="G433" t="s">
        <v>727</v>
      </c>
      <c r="H433" s="30">
        <v>264.75</v>
      </c>
      <c r="I433" s="29">
        <f>H433*(1-IFERROR(VLOOKUP(G433,Rabat!$D$10:$E$41,2,FALSE),0))</f>
        <v>264.75</v>
      </c>
      <c r="J433" t="s">
        <v>1902</v>
      </c>
      <c r="K433" t="s">
        <v>340</v>
      </c>
      <c r="L433" t="s">
        <v>1901</v>
      </c>
      <c r="M433">
        <v>6</v>
      </c>
      <c r="N433">
        <v>48</v>
      </c>
      <c r="O433" t="s">
        <v>3434</v>
      </c>
      <c r="P433" s="31" t="str">
        <f>HYPERLINK("https://b2b.kobi.pl/pl/product/10604,slupek-ogrodowy-quazar-12-1xgu10-ip44-czarny-kobi?currency=PLN")</f>
        <v>https://b2b.kobi.pl/pl/product/10604,slupek-ogrodowy-quazar-12-1xgu10-ip44-czarny-kobi?currency=PLN</v>
      </c>
      <c r="Q433" t="s">
        <v>15</v>
      </c>
      <c r="R433"/>
      <c r="S433" t="s">
        <v>2706</v>
      </c>
      <c r="T433"/>
      <c r="U433">
        <v>1.978</v>
      </c>
      <c r="V433">
        <v>2.2999999999999998</v>
      </c>
      <c r="W433">
        <v>14</v>
      </c>
      <c r="X433">
        <v>14</v>
      </c>
      <c r="Y433">
        <v>10.1</v>
      </c>
    </row>
    <row r="434" spans="1:25" ht="60" customHeight="1" x14ac:dyDescent="0.25">
      <c r="A434"/>
      <c r="B434" t="s">
        <v>5</v>
      </c>
      <c r="C434" t="s">
        <v>3375</v>
      </c>
      <c r="D434" t="s">
        <v>643</v>
      </c>
      <c r="E434" t="s">
        <v>1419</v>
      </c>
      <c r="F434" t="s">
        <v>1420</v>
      </c>
      <c r="G434" t="s">
        <v>727</v>
      </c>
      <c r="H434" s="30">
        <v>264.75</v>
      </c>
      <c r="I434" s="29">
        <f>H434*(1-IFERROR(VLOOKUP(G434,Rabat!$D$10:$E$41,2,FALSE),0))</f>
        <v>264.75</v>
      </c>
      <c r="J434" t="s">
        <v>1902</v>
      </c>
      <c r="K434" t="s">
        <v>341</v>
      </c>
      <c r="L434" t="s">
        <v>1901</v>
      </c>
      <c r="M434">
        <v>6</v>
      </c>
      <c r="N434">
        <v>48</v>
      </c>
      <c r="O434" t="s">
        <v>3434</v>
      </c>
      <c r="P434" s="31" t="str">
        <f>HYPERLINK("https://b2b.kobi.pl/pl/product/10605,slupek-ogrodowy-quazar-12-1xgu10-ip44-szary-kobi?currency=PLN")</f>
        <v>https://b2b.kobi.pl/pl/product/10605,slupek-ogrodowy-quazar-12-1xgu10-ip44-szary-kobi?currency=PLN</v>
      </c>
      <c r="Q434" t="s">
        <v>15</v>
      </c>
      <c r="R434"/>
      <c r="S434" t="s">
        <v>2706</v>
      </c>
      <c r="T434"/>
      <c r="U434">
        <v>1.978</v>
      </c>
      <c r="V434">
        <v>2.2999999999999998</v>
      </c>
      <c r="W434">
        <v>14</v>
      </c>
      <c r="X434">
        <v>14</v>
      </c>
      <c r="Y434">
        <v>10.1</v>
      </c>
    </row>
    <row r="435" spans="1:25" ht="60" customHeight="1" x14ac:dyDescent="0.25">
      <c r="A435"/>
      <c r="B435" t="s">
        <v>5</v>
      </c>
      <c r="C435" t="s">
        <v>3375</v>
      </c>
      <c r="D435" t="s">
        <v>643</v>
      </c>
      <c r="E435" t="s">
        <v>751</v>
      </c>
      <c r="F435" t="s">
        <v>752</v>
      </c>
      <c r="G435" t="s">
        <v>727</v>
      </c>
      <c r="H435" s="30">
        <v>79.75</v>
      </c>
      <c r="I435" s="29">
        <f>H435*(1-IFERROR(VLOOKUP(G435,Rabat!$D$10:$E$41,2,FALSE),0))</f>
        <v>79.75</v>
      </c>
      <c r="J435" t="s">
        <v>1902</v>
      </c>
      <c r="K435" t="s">
        <v>322</v>
      </c>
      <c r="L435" t="s">
        <v>1901</v>
      </c>
      <c r="M435">
        <v>24</v>
      </c>
      <c r="N435">
        <v>864</v>
      </c>
      <c r="O435" t="s">
        <v>3434</v>
      </c>
      <c r="P435" s="31" t="str">
        <f>HYPERLINK("https://b2b.kobi.pl/pl/product/10610,kinkiet-ogrodowy-quazar-15-1xgu10-ip44-czarny-kobi?currency=PLN")</f>
        <v>https://b2b.kobi.pl/pl/product/10610,kinkiet-ogrodowy-quazar-15-1xgu10-ip44-czarny-kobi?currency=PLN</v>
      </c>
      <c r="Q435" t="s">
        <v>15</v>
      </c>
      <c r="R435"/>
      <c r="S435" t="s">
        <v>2706</v>
      </c>
      <c r="T435"/>
      <c r="U435">
        <v>0.47</v>
      </c>
      <c r="V435">
        <v>0.55500000000000005</v>
      </c>
      <c r="W435">
        <v>8.5</v>
      </c>
      <c r="X435">
        <v>11</v>
      </c>
      <c r="Y435">
        <v>10.8</v>
      </c>
    </row>
    <row r="436" spans="1:25" ht="60" customHeight="1" x14ac:dyDescent="0.25">
      <c r="A436"/>
      <c r="B436" t="s">
        <v>5</v>
      </c>
      <c r="C436" t="s">
        <v>3375</v>
      </c>
      <c r="D436" t="s">
        <v>643</v>
      </c>
      <c r="E436" t="s">
        <v>753</v>
      </c>
      <c r="F436" t="s">
        <v>754</v>
      </c>
      <c r="G436" t="s">
        <v>727</v>
      </c>
      <c r="H436" s="30">
        <v>79.75</v>
      </c>
      <c r="I436" s="29">
        <f>H436*(1-IFERROR(VLOOKUP(G436,Rabat!$D$10:$E$41,2,FALSE),0))</f>
        <v>79.75</v>
      </c>
      <c r="J436" t="s">
        <v>1902</v>
      </c>
      <c r="K436" t="s">
        <v>323</v>
      </c>
      <c r="L436" t="s">
        <v>1901</v>
      </c>
      <c r="M436">
        <v>24</v>
      </c>
      <c r="N436">
        <v>864</v>
      </c>
      <c r="O436" t="s">
        <v>3434</v>
      </c>
      <c r="P436" s="31" t="str">
        <f>HYPERLINK("https://b2b.kobi.pl/pl/product/10615,kinkiet-ogrodowy-quazar-15-1xgu10-ip44-szary-kobi?currency=PLN")</f>
        <v>https://b2b.kobi.pl/pl/product/10615,kinkiet-ogrodowy-quazar-15-1xgu10-ip44-szary-kobi?currency=PLN</v>
      </c>
      <c r="Q436" t="s">
        <v>15</v>
      </c>
      <c r="R436"/>
      <c r="S436" t="s">
        <v>2706</v>
      </c>
      <c r="T436"/>
      <c r="U436">
        <v>0.47</v>
      </c>
      <c r="V436">
        <v>0.55500000000000005</v>
      </c>
      <c r="W436">
        <v>8.5</v>
      </c>
      <c r="X436">
        <v>11</v>
      </c>
      <c r="Y436">
        <v>10.8</v>
      </c>
    </row>
    <row r="437" spans="1:25" ht="60" customHeight="1" x14ac:dyDescent="0.25">
      <c r="A437"/>
      <c r="B437" t="s">
        <v>5</v>
      </c>
      <c r="C437" t="s">
        <v>3375</v>
      </c>
      <c r="D437" t="s">
        <v>643</v>
      </c>
      <c r="E437" t="s">
        <v>2052</v>
      </c>
      <c r="F437" t="s">
        <v>771</v>
      </c>
      <c r="G437" t="s">
        <v>727</v>
      </c>
      <c r="H437" s="30">
        <v>149.75</v>
      </c>
      <c r="I437" s="29">
        <f>H437*(1-IFERROR(VLOOKUP(G437,Rabat!$D$10:$E$41,2,FALSE),0))</f>
        <v>149.75</v>
      </c>
      <c r="J437" t="s">
        <v>1902</v>
      </c>
      <c r="K437" t="s">
        <v>326</v>
      </c>
      <c r="L437" t="s">
        <v>1901</v>
      </c>
      <c r="M437">
        <v>16</v>
      </c>
      <c r="N437">
        <v>576</v>
      </c>
      <c r="O437" t="s">
        <v>3434</v>
      </c>
      <c r="P437" s="31" t="str">
        <f>HYPERLINK("https://b2b.kobi.pl/pl/product/10611,kinkiet-ogrodowy-z-czujnikiem-ruchu-quazar-15-1xu10-lx-ip44-czarny-kobi?currency=PLN")</f>
        <v>https://b2b.kobi.pl/pl/product/10611,kinkiet-ogrodowy-z-czujnikiem-ruchu-quazar-15-1xu10-lx-ip44-czarny-kobi?currency=PLN</v>
      </c>
      <c r="Q437" t="s">
        <v>15</v>
      </c>
      <c r="R437"/>
      <c r="S437" t="s">
        <v>2706</v>
      </c>
      <c r="T437"/>
      <c r="U437">
        <v>0.59099999999999997</v>
      </c>
      <c r="V437">
        <v>0.67700000000000005</v>
      </c>
      <c r="W437">
        <v>8.5</v>
      </c>
      <c r="X437">
        <v>17.5</v>
      </c>
      <c r="Y437">
        <v>11.5</v>
      </c>
    </row>
    <row r="438" spans="1:25" ht="60" customHeight="1" x14ac:dyDescent="0.25">
      <c r="A438"/>
      <c r="B438" t="s">
        <v>5</v>
      </c>
      <c r="C438" t="s">
        <v>3375</v>
      </c>
      <c r="D438" t="s">
        <v>643</v>
      </c>
      <c r="E438" t="s">
        <v>2053</v>
      </c>
      <c r="F438" t="s">
        <v>772</v>
      </c>
      <c r="G438" t="s">
        <v>727</v>
      </c>
      <c r="H438" s="30">
        <v>149.75</v>
      </c>
      <c r="I438" s="29">
        <f>H438*(1-IFERROR(VLOOKUP(G438,Rabat!$D$10:$E$41,2,FALSE),0))</f>
        <v>149.75</v>
      </c>
      <c r="J438" t="s">
        <v>1902</v>
      </c>
      <c r="K438" t="s">
        <v>327</v>
      </c>
      <c r="L438" t="s">
        <v>1901</v>
      </c>
      <c r="M438">
        <v>16</v>
      </c>
      <c r="N438">
        <v>576</v>
      </c>
      <c r="O438" t="s">
        <v>3434</v>
      </c>
      <c r="P438" s="31" t="str">
        <f>HYPERLINK("https://b2b.kobi.pl/pl/product/10612,kinkiet-ogrodowy-z-czujnikiem-ruchu-quazar-15-1xu10-lx-ip44-szary-kobi?currency=PLN")</f>
        <v>https://b2b.kobi.pl/pl/product/10612,kinkiet-ogrodowy-z-czujnikiem-ruchu-quazar-15-1xu10-lx-ip44-szary-kobi?currency=PLN</v>
      </c>
      <c r="Q438" t="s">
        <v>15</v>
      </c>
      <c r="R438"/>
      <c r="S438" t="s">
        <v>2706</v>
      </c>
      <c r="T438"/>
      <c r="U438">
        <v>0.59099999999999997</v>
      </c>
      <c r="V438">
        <v>0.67700000000000005</v>
      </c>
      <c r="W438">
        <v>8.5</v>
      </c>
      <c r="X438">
        <v>17.5</v>
      </c>
      <c r="Y438">
        <v>11.5</v>
      </c>
    </row>
    <row r="439" spans="1:25" ht="60" customHeight="1" x14ac:dyDescent="0.25">
      <c r="A439"/>
      <c r="B439" t="s">
        <v>5</v>
      </c>
      <c r="C439" t="s">
        <v>3375</v>
      </c>
      <c r="D439" t="s">
        <v>643</v>
      </c>
      <c r="E439" t="s">
        <v>1421</v>
      </c>
      <c r="F439" t="s">
        <v>1422</v>
      </c>
      <c r="G439" t="s">
        <v>727</v>
      </c>
      <c r="H439" s="30">
        <v>174.75</v>
      </c>
      <c r="I439" s="29">
        <f>H439*(1-IFERROR(VLOOKUP(G439,Rabat!$D$10:$E$41,2,FALSE),0))</f>
        <v>174.75</v>
      </c>
      <c r="J439" t="s">
        <v>1902</v>
      </c>
      <c r="K439" t="s">
        <v>338</v>
      </c>
      <c r="L439" t="s">
        <v>1901</v>
      </c>
      <c r="M439">
        <v>6</v>
      </c>
      <c r="N439">
        <v>72</v>
      </c>
      <c r="O439" t="s">
        <v>3434</v>
      </c>
      <c r="P439" s="31" t="str">
        <f>HYPERLINK("https://b2b.kobi.pl/pl/product/10613,slupek-ogrodowy-quazar-15s-1xgu10-ip44-czarny-kobi?currency=PLN")</f>
        <v>https://b2b.kobi.pl/pl/product/10613,slupek-ogrodowy-quazar-15s-1xgu10-ip44-czarny-kobi?currency=PLN</v>
      </c>
      <c r="Q439" t="s">
        <v>15</v>
      </c>
      <c r="R439"/>
      <c r="S439" t="s">
        <v>2706</v>
      </c>
      <c r="T439"/>
      <c r="U439">
        <v>1.645</v>
      </c>
      <c r="V439">
        <v>1.95</v>
      </c>
      <c r="W439">
        <v>13</v>
      </c>
      <c r="X439">
        <v>13</v>
      </c>
      <c r="Y439">
        <v>101.5</v>
      </c>
    </row>
    <row r="440" spans="1:25" ht="60" customHeight="1" x14ac:dyDescent="0.25">
      <c r="A440"/>
      <c r="B440" t="s">
        <v>5</v>
      </c>
      <c r="C440" t="s">
        <v>3375</v>
      </c>
      <c r="D440" t="s">
        <v>643</v>
      </c>
      <c r="E440" t="s">
        <v>1423</v>
      </c>
      <c r="F440" t="s">
        <v>1424</v>
      </c>
      <c r="G440" t="s">
        <v>727</v>
      </c>
      <c r="H440" s="30">
        <v>174.75</v>
      </c>
      <c r="I440" s="29">
        <f>H440*(1-IFERROR(VLOOKUP(G440,Rabat!$D$10:$E$41,2,FALSE),0))</f>
        <v>174.75</v>
      </c>
      <c r="J440" t="s">
        <v>1902</v>
      </c>
      <c r="K440" t="s">
        <v>339</v>
      </c>
      <c r="L440" t="s">
        <v>1901</v>
      </c>
      <c r="M440">
        <v>6</v>
      </c>
      <c r="N440">
        <v>72</v>
      </c>
      <c r="O440" t="s">
        <v>3434</v>
      </c>
      <c r="P440" s="31" t="str">
        <f>HYPERLINK("https://b2b.kobi.pl/pl/product/10614,slupek-ogrodowy-quazar-15s-1xgu10-ip44-szary-kobi?currency=PLN")</f>
        <v>https://b2b.kobi.pl/pl/product/10614,slupek-ogrodowy-quazar-15s-1xgu10-ip44-szary-kobi?currency=PLN</v>
      </c>
      <c r="Q440" t="s">
        <v>15</v>
      </c>
      <c r="R440"/>
      <c r="S440" t="s">
        <v>2706</v>
      </c>
      <c r="T440"/>
      <c r="U440">
        <v>1.645</v>
      </c>
      <c r="V440">
        <v>1.95</v>
      </c>
      <c r="W440">
        <v>13</v>
      </c>
      <c r="X440">
        <v>13</v>
      </c>
      <c r="Y440">
        <v>101.5</v>
      </c>
    </row>
    <row r="441" spans="1:25" ht="60" customHeight="1" x14ac:dyDescent="0.25">
      <c r="A441"/>
      <c r="B441" t="s">
        <v>5</v>
      </c>
      <c r="C441" t="s">
        <v>3375</v>
      </c>
      <c r="D441" t="s">
        <v>643</v>
      </c>
      <c r="E441" t="s">
        <v>806</v>
      </c>
      <c r="F441" t="s">
        <v>807</v>
      </c>
      <c r="G441" t="s">
        <v>727</v>
      </c>
      <c r="H441" s="30">
        <v>84.44</v>
      </c>
      <c r="I441" s="29">
        <f>H441*(1-IFERROR(VLOOKUP(G441,Rabat!$D$10:$E$41,2,FALSE),0))</f>
        <v>84.44</v>
      </c>
      <c r="J441" t="s">
        <v>1902</v>
      </c>
      <c r="K441" t="s">
        <v>337</v>
      </c>
      <c r="L441" t="s">
        <v>1901</v>
      </c>
      <c r="M441">
        <v>24</v>
      </c>
      <c r="N441">
        <v>720</v>
      </c>
      <c r="O441" t="s">
        <v>3434</v>
      </c>
      <c r="P441" s="31" t="str">
        <f>HYPERLINK("https://b2b.kobi.pl/pl/product/10618,lampa-ogrodowa-quazar-17-1xgu10-ip44-szara-kobi?currency=PLN")</f>
        <v>https://b2b.kobi.pl/pl/product/10618,lampa-ogrodowa-quazar-17-1xgu10-ip44-szara-kobi?currency=PLN</v>
      </c>
      <c r="Q441" t="s">
        <v>15</v>
      </c>
      <c r="R441" t="s">
        <v>2035</v>
      </c>
      <c r="S441" t="s">
        <v>2706</v>
      </c>
      <c r="T441"/>
      <c r="U441">
        <v>0.39300000000000002</v>
      </c>
      <c r="V441">
        <v>0.45100000000000001</v>
      </c>
      <c r="W441">
        <v>10.5</v>
      </c>
      <c r="X441">
        <v>10.5</v>
      </c>
      <c r="Y441">
        <v>10.5</v>
      </c>
    </row>
    <row r="442" spans="1:25" ht="60" customHeight="1" x14ac:dyDescent="0.25">
      <c r="A442"/>
      <c r="B442" t="s">
        <v>5</v>
      </c>
      <c r="C442" t="s">
        <v>3375</v>
      </c>
      <c r="D442" t="s">
        <v>17</v>
      </c>
      <c r="E442" t="s">
        <v>808</v>
      </c>
      <c r="F442" t="s">
        <v>809</v>
      </c>
      <c r="G442" t="s">
        <v>727</v>
      </c>
      <c r="H442" s="30">
        <v>56.25</v>
      </c>
      <c r="I442" s="29">
        <f>H442*(1-IFERROR(VLOOKUP(G442,Rabat!$D$10:$E$41,2,FALSE),0))</f>
        <v>56.25</v>
      </c>
      <c r="J442" t="s">
        <v>1902</v>
      </c>
      <c r="K442" t="s">
        <v>377</v>
      </c>
      <c r="L442" t="s">
        <v>1901</v>
      </c>
      <c r="M442">
        <v>30</v>
      </c>
      <c r="N442">
        <v>840</v>
      </c>
      <c r="O442" t="s">
        <v>3434</v>
      </c>
      <c r="P442" s="31" t="str">
        <f>HYPERLINK("https://b2b.kobi.pl/pl/product/10642,lampa-ogrodowa-querk-1-1xgu10-ip54-czarna-led2b?currency=PLN")</f>
        <v>https://b2b.kobi.pl/pl/product/10642,lampa-ogrodowa-querk-1-1xgu10-ip54-czarna-led2b?currency=PLN</v>
      </c>
      <c r="Q442" t="s">
        <v>15</v>
      </c>
      <c r="R442"/>
      <c r="S442" t="s">
        <v>2706</v>
      </c>
      <c r="T442"/>
      <c r="U442">
        <v>0.28999999999999998</v>
      </c>
      <c r="V442">
        <v>0.31</v>
      </c>
      <c r="W442">
        <v>10</v>
      </c>
      <c r="X442">
        <v>10</v>
      </c>
      <c r="Y442">
        <v>10.5</v>
      </c>
    </row>
    <row r="443" spans="1:25" ht="60" customHeight="1" x14ac:dyDescent="0.25">
      <c r="A443"/>
      <c r="B443" t="s">
        <v>5</v>
      </c>
      <c r="C443" t="s">
        <v>3375</v>
      </c>
      <c r="D443" t="s">
        <v>17</v>
      </c>
      <c r="E443" t="s">
        <v>810</v>
      </c>
      <c r="F443" t="s">
        <v>811</v>
      </c>
      <c r="G443" t="s">
        <v>727</v>
      </c>
      <c r="H443" s="30">
        <v>47.5</v>
      </c>
      <c r="I443" s="29">
        <f>H443*(1-IFERROR(VLOOKUP(G443,Rabat!$D$10:$E$41,2,FALSE),0))</f>
        <v>47.5</v>
      </c>
      <c r="J443" t="s">
        <v>1902</v>
      </c>
      <c r="K443" t="s">
        <v>378</v>
      </c>
      <c r="L443" t="s">
        <v>1901</v>
      </c>
      <c r="M443">
        <v>30</v>
      </c>
      <c r="N443">
        <v>840</v>
      </c>
      <c r="O443" t="s">
        <v>3434</v>
      </c>
      <c r="P443" s="31" t="str">
        <f>HYPERLINK("https://b2b.kobi.pl/pl/product/10643,lampa-ogrodowa-querk-2-1xgu10-ip54-czarna-led2b?currency=PLN")</f>
        <v>https://b2b.kobi.pl/pl/product/10643,lampa-ogrodowa-querk-2-1xgu10-ip54-czarna-led2b?currency=PLN</v>
      </c>
      <c r="Q443" t="s">
        <v>15</v>
      </c>
      <c r="R443"/>
      <c r="S443" t="s">
        <v>2706</v>
      </c>
      <c r="T443"/>
      <c r="U443">
        <v>0.20499999999999999</v>
      </c>
      <c r="V443">
        <v>0.23</v>
      </c>
      <c r="W443">
        <v>10</v>
      </c>
      <c r="X443">
        <v>10</v>
      </c>
      <c r="Y443">
        <v>10.5</v>
      </c>
    </row>
    <row r="444" spans="1:25" ht="60" customHeight="1" x14ac:dyDescent="0.25">
      <c r="A444"/>
      <c r="B444" t="s">
        <v>5</v>
      </c>
      <c r="C444" t="s">
        <v>3375</v>
      </c>
      <c r="D444" t="s">
        <v>17</v>
      </c>
      <c r="E444" t="s">
        <v>755</v>
      </c>
      <c r="F444" t="s">
        <v>756</v>
      </c>
      <c r="G444" t="s">
        <v>727</v>
      </c>
      <c r="H444" s="30">
        <v>59.75</v>
      </c>
      <c r="I444" s="29">
        <f>H444*(1-IFERROR(VLOOKUP(G444,Rabat!$D$10:$E$41,2,FALSE),0))</f>
        <v>59.75</v>
      </c>
      <c r="J444" t="s">
        <v>1902</v>
      </c>
      <c r="K444" t="s">
        <v>379</v>
      </c>
      <c r="L444" t="s">
        <v>1901</v>
      </c>
      <c r="M444">
        <v>10</v>
      </c>
      <c r="N444">
        <v>500</v>
      </c>
      <c r="O444" t="s">
        <v>3434</v>
      </c>
      <c r="P444" s="31" t="str">
        <f>HYPERLINK("https://b2b.kobi.pl/pl/product/10644,kinkiet-ogrodowy-querk-3-2xgu10-ip54-czarna-led2b?currency=PLN")</f>
        <v>https://b2b.kobi.pl/pl/product/10644,kinkiet-ogrodowy-querk-3-2xgu10-ip54-czarna-led2b?currency=PLN</v>
      </c>
      <c r="Q444" t="s">
        <v>15</v>
      </c>
      <c r="R444"/>
      <c r="S444" t="s">
        <v>2706</v>
      </c>
      <c r="T444"/>
      <c r="U444">
        <v>0.56000000000000005</v>
      </c>
      <c r="V444">
        <v>0.57299999999999995</v>
      </c>
      <c r="W444">
        <v>12</v>
      </c>
      <c r="X444">
        <v>7.5</v>
      </c>
      <c r="Y444">
        <v>27</v>
      </c>
    </row>
    <row r="445" spans="1:25" ht="60" customHeight="1" x14ac:dyDescent="0.25">
      <c r="A445"/>
      <c r="B445" t="s">
        <v>5</v>
      </c>
      <c r="C445" t="s">
        <v>3375</v>
      </c>
      <c r="D445" t="s">
        <v>17</v>
      </c>
      <c r="E445" t="s">
        <v>757</v>
      </c>
      <c r="F445" t="s">
        <v>758</v>
      </c>
      <c r="G445" t="s">
        <v>727</v>
      </c>
      <c r="H445" s="30">
        <v>96.25</v>
      </c>
      <c r="I445" s="29">
        <f>H445*(1-IFERROR(VLOOKUP(G445,Rabat!$D$10:$E$41,2,FALSE),0))</f>
        <v>96.25</v>
      </c>
      <c r="J445" t="s">
        <v>1902</v>
      </c>
      <c r="K445" t="s">
        <v>380</v>
      </c>
      <c r="L445" t="s">
        <v>1901</v>
      </c>
      <c r="M445">
        <v>10</v>
      </c>
      <c r="N445">
        <v>300</v>
      </c>
      <c r="O445" t="s">
        <v>3434</v>
      </c>
      <c r="P445" s="31" t="str">
        <f>HYPERLINK("https://b2b.kobi.pl/pl/product/10645,kinkiet-ogrodowy-querk-4-2xgu10-ip54-czarna-led2b?currency=PLN")</f>
        <v>https://b2b.kobi.pl/pl/product/10645,kinkiet-ogrodowy-querk-4-2xgu10-ip54-czarna-led2b?currency=PLN</v>
      </c>
      <c r="Q445" t="s">
        <v>15</v>
      </c>
      <c r="R445"/>
      <c r="S445" t="s">
        <v>2706</v>
      </c>
      <c r="T445"/>
      <c r="U445">
        <v>0.79</v>
      </c>
      <c r="V445">
        <v>0.92500000000000004</v>
      </c>
      <c r="W445">
        <v>14</v>
      </c>
      <c r="X445">
        <v>10</v>
      </c>
      <c r="Y445">
        <v>27</v>
      </c>
    </row>
    <row r="446" spans="1:25" ht="60" customHeight="1" x14ac:dyDescent="0.25">
      <c r="A446"/>
      <c r="B446" t="s">
        <v>5</v>
      </c>
      <c r="C446" t="s">
        <v>3375</v>
      </c>
      <c r="D446" t="s">
        <v>17</v>
      </c>
      <c r="E446" t="s">
        <v>759</v>
      </c>
      <c r="F446" t="s">
        <v>760</v>
      </c>
      <c r="G446" t="s">
        <v>727</v>
      </c>
      <c r="H446" s="30">
        <v>99.98</v>
      </c>
      <c r="I446" s="29">
        <f>H446*(1-IFERROR(VLOOKUP(G446,Rabat!$D$10:$E$41,2,FALSE),0))</f>
        <v>99.98</v>
      </c>
      <c r="J446" t="s">
        <v>1902</v>
      </c>
      <c r="K446" t="s">
        <v>381</v>
      </c>
      <c r="L446" t="s">
        <v>1901</v>
      </c>
      <c r="M446">
        <v>10</v>
      </c>
      <c r="N446">
        <v>300</v>
      </c>
      <c r="O446" t="s">
        <v>3434</v>
      </c>
      <c r="P446" s="31" t="str">
        <f>HYPERLINK("https://b2b.kobi.pl/pl/product/10646,kinkiet-ogrodowy-querk-5-2xgu10-ip54-czarna-led2b?currency=PLN")</f>
        <v>https://b2b.kobi.pl/pl/product/10646,kinkiet-ogrodowy-querk-5-2xgu10-ip54-czarna-led2b?currency=PLN</v>
      </c>
      <c r="Q446" t="s">
        <v>15</v>
      </c>
      <c r="R446"/>
      <c r="S446" t="s">
        <v>2706</v>
      </c>
      <c r="T446"/>
      <c r="U446">
        <v>0.57999999999999996</v>
      </c>
      <c r="V446">
        <v>0.69799999999999995</v>
      </c>
      <c r="W446">
        <v>10</v>
      </c>
      <c r="X446">
        <v>14</v>
      </c>
      <c r="Y446">
        <v>27</v>
      </c>
    </row>
    <row r="447" spans="1:25" ht="60" customHeight="1" x14ac:dyDescent="0.25">
      <c r="A447"/>
      <c r="B447" t="s">
        <v>5</v>
      </c>
      <c r="C447" t="s">
        <v>3375</v>
      </c>
      <c r="D447" t="s">
        <v>17</v>
      </c>
      <c r="E447" t="s">
        <v>761</v>
      </c>
      <c r="F447" t="s">
        <v>762</v>
      </c>
      <c r="G447" t="s">
        <v>727</v>
      </c>
      <c r="H447" s="30">
        <v>55</v>
      </c>
      <c r="I447" s="29">
        <f>H447*(1-IFERROR(VLOOKUP(G447,Rabat!$D$10:$E$41,2,FALSE),0))</f>
        <v>55</v>
      </c>
      <c r="J447" t="s">
        <v>1902</v>
      </c>
      <c r="K447" t="s">
        <v>1912</v>
      </c>
      <c r="L447" t="s">
        <v>1901</v>
      </c>
      <c r="M447">
        <v>30</v>
      </c>
      <c r="N447">
        <v>1350</v>
      </c>
      <c r="O447" t="s">
        <v>3434</v>
      </c>
      <c r="P447" s="31" t="str">
        <f>HYPERLINK("https://b2b.kobi.pl/pl/product/12143,kinkiet-ogrodowy-querk-6-1xgu10-ip54-czarny-led2b?currency=PLN")</f>
        <v>https://b2b.kobi.pl/pl/product/12143,kinkiet-ogrodowy-querk-6-1xgu10-ip54-czarny-led2b?currency=PLN</v>
      </c>
      <c r="Q447" t="s">
        <v>15</v>
      </c>
      <c r="R447"/>
      <c r="S447" t="s">
        <v>2706</v>
      </c>
      <c r="T447"/>
      <c r="U447">
        <v>0.28000000000000003</v>
      </c>
      <c r="V447">
        <v>0.32</v>
      </c>
      <c r="W447">
        <v>9</v>
      </c>
      <c r="X447">
        <v>7.5</v>
      </c>
      <c r="Y447">
        <v>10</v>
      </c>
    </row>
    <row r="448" spans="1:25" ht="60" customHeight="1" x14ac:dyDescent="0.25">
      <c r="A448"/>
      <c r="B448" t="s">
        <v>5</v>
      </c>
      <c r="C448" t="s">
        <v>3375</v>
      </c>
      <c r="D448" t="s">
        <v>17</v>
      </c>
      <c r="E448" t="s">
        <v>763</v>
      </c>
      <c r="F448" t="s">
        <v>764</v>
      </c>
      <c r="G448" t="s">
        <v>727</v>
      </c>
      <c r="H448" s="30">
        <v>72.5</v>
      </c>
      <c r="I448" s="29">
        <f>H448*(1-IFERROR(VLOOKUP(G448,Rabat!$D$10:$E$41,2,FALSE),0))</f>
        <v>72.5</v>
      </c>
      <c r="J448" t="s">
        <v>1902</v>
      </c>
      <c r="K448" t="s">
        <v>1913</v>
      </c>
      <c r="L448" t="s">
        <v>1901</v>
      </c>
      <c r="M448">
        <v>20</v>
      </c>
      <c r="N448">
        <v>840</v>
      </c>
      <c r="O448" t="s">
        <v>3434</v>
      </c>
      <c r="P448" s="31" t="str">
        <f>HYPERLINK("https://b2b.kobi.pl/pl/product/12144,kinkiet-ogrodowy-querk-7-2xgu10-ip54-czarny-led2b?currency=PLN")</f>
        <v>https://b2b.kobi.pl/pl/product/12144,kinkiet-ogrodowy-querk-7-2xgu10-ip54-czarny-led2b?currency=PLN</v>
      </c>
      <c r="Q448" t="s">
        <v>15</v>
      </c>
      <c r="R448"/>
      <c r="S448" t="s">
        <v>2706</v>
      </c>
      <c r="T448"/>
      <c r="U448">
        <v>0.44</v>
      </c>
      <c r="V448">
        <v>0.5</v>
      </c>
      <c r="W448">
        <v>10</v>
      </c>
      <c r="X448">
        <v>7.5</v>
      </c>
      <c r="Y448">
        <v>16</v>
      </c>
    </row>
    <row r="449" spans="1:25" ht="60" customHeight="1" x14ac:dyDescent="0.25">
      <c r="A449"/>
      <c r="B449" t="s">
        <v>5</v>
      </c>
      <c r="C449" t="s">
        <v>3375</v>
      </c>
      <c r="D449" t="s">
        <v>17</v>
      </c>
      <c r="E449" t="s">
        <v>767</v>
      </c>
      <c r="F449" t="s">
        <v>768</v>
      </c>
      <c r="G449" t="s">
        <v>727</v>
      </c>
      <c r="H449" s="30">
        <v>84.75</v>
      </c>
      <c r="I449" s="29">
        <f>H449*(1-IFERROR(VLOOKUP(G449,Rabat!$D$10:$E$41,2,FALSE),0))</f>
        <v>84.75</v>
      </c>
      <c r="J449" t="s">
        <v>1902</v>
      </c>
      <c r="K449" t="s">
        <v>1915</v>
      </c>
      <c r="L449" t="s">
        <v>1901</v>
      </c>
      <c r="M449">
        <v>12</v>
      </c>
      <c r="N449">
        <v>72</v>
      </c>
      <c r="O449" t="s">
        <v>3434</v>
      </c>
      <c r="P449" s="31" t="str">
        <f>HYPERLINK("https://b2b.kobi.pl/pl/product/12136,kinkiet-ogrodowy-tevio-kg-1xe27-ip54-czarny-led2b?currency=PLN")</f>
        <v>https://b2b.kobi.pl/pl/product/12136,kinkiet-ogrodowy-tevio-kg-1xe27-ip54-czarny-led2b?currency=PLN</v>
      </c>
      <c r="Q449" t="s">
        <v>15</v>
      </c>
      <c r="R449"/>
      <c r="S449" t="s">
        <v>2709</v>
      </c>
      <c r="T449"/>
      <c r="U449">
        <v>0.52</v>
      </c>
      <c r="V449">
        <v>0.76</v>
      </c>
      <c r="W449">
        <v>22.5</v>
      </c>
      <c r="X449">
        <v>17.5</v>
      </c>
      <c r="Y449">
        <v>25</v>
      </c>
    </row>
    <row r="450" spans="1:25" ht="60" customHeight="1" x14ac:dyDescent="0.25">
      <c r="A450"/>
      <c r="B450" t="s">
        <v>5</v>
      </c>
      <c r="C450" t="s">
        <v>3375</v>
      </c>
      <c r="D450" t="s">
        <v>17</v>
      </c>
      <c r="E450" t="s">
        <v>769</v>
      </c>
      <c r="F450" t="s">
        <v>770</v>
      </c>
      <c r="G450" t="s">
        <v>727</v>
      </c>
      <c r="H450" s="30">
        <v>141.25</v>
      </c>
      <c r="I450" s="29">
        <f>H450*(1-IFERROR(VLOOKUP(G450,Rabat!$D$10:$E$41,2,FALSE),0))</f>
        <v>141.25</v>
      </c>
      <c r="J450" t="s">
        <v>1902</v>
      </c>
      <c r="K450" t="s">
        <v>1916</v>
      </c>
      <c r="L450" t="s">
        <v>1901</v>
      </c>
      <c r="M450">
        <v>12</v>
      </c>
      <c r="N450">
        <v>72</v>
      </c>
      <c r="O450" t="s">
        <v>3434</v>
      </c>
      <c r="P450" s="31" t="str">
        <f>HYPERLINK("https://b2b.kobi.pl/pl/product/12137,kinkiet-ogrodowy-tevio-kg-1xe27-lx-ip54-czarny-led2b?currency=PLN")</f>
        <v>https://b2b.kobi.pl/pl/product/12137,kinkiet-ogrodowy-tevio-kg-1xe27-lx-ip54-czarny-led2b?currency=PLN</v>
      </c>
      <c r="Q450" t="s">
        <v>15</v>
      </c>
      <c r="R450"/>
      <c r="S450" t="s">
        <v>2709</v>
      </c>
      <c r="T450"/>
      <c r="U450">
        <v>0.6</v>
      </c>
      <c r="V450">
        <v>0.85</v>
      </c>
      <c r="W450">
        <v>22.5</v>
      </c>
      <c r="X450">
        <v>17.5</v>
      </c>
      <c r="Y450">
        <v>29</v>
      </c>
    </row>
    <row r="451" spans="1:25" ht="60" customHeight="1" x14ac:dyDescent="0.25">
      <c r="A451"/>
      <c r="B451" t="s">
        <v>5</v>
      </c>
      <c r="C451" t="s">
        <v>3375</v>
      </c>
      <c r="D451" t="s">
        <v>17</v>
      </c>
      <c r="E451" t="s">
        <v>765</v>
      </c>
      <c r="F451" t="s">
        <v>766</v>
      </c>
      <c r="G451" t="s">
        <v>727</v>
      </c>
      <c r="H451" s="30">
        <v>84.75</v>
      </c>
      <c r="I451" s="29">
        <f>H451*(1-IFERROR(VLOOKUP(G451,Rabat!$D$10:$E$41,2,FALSE),0))</f>
        <v>84.75</v>
      </c>
      <c r="J451" t="s">
        <v>1902</v>
      </c>
      <c r="K451" t="s">
        <v>1914</v>
      </c>
      <c r="L451" t="s">
        <v>1901</v>
      </c>
      <c r="M451">
        <v>12</v>
      </c>
      <c r="N451">
        <v>72</v>
      </c>
      <c r="O451" t="s">
        <v>3434</v>
      </c>
      <c r="P451" s="31" t="str">
        <f>HYPERLINK("https://b2b.kobi.pl/pl/product/12138,kinkiet-ogrodowy-tevio-kd-1xe27-ip54-czarny-led2b?currency=PLN")</f>
        <v>https://b2b.kobi.pl/pl/product/12138,kinkiet-ogrodowy-tevio-kd-1xe27-ip54-czarny-led2b?currency=PLN</v>
      </c>
      <c r="Q451" t="s">
        <v>15</v>
      </c>
      <c r="R451"/>
      <c r="S451" t="s">
        <v>2709</v>
      </c>
      <c r="T451"/>
      <c r="U451">
        <v>0.52</v>
      </c>
      <c r="V451">
        <v>0.76</v>
      </c>
      <c r="W451">
        <v>22.5</v>
      </c>
      <c r="X451">
        <v>17.5</v>
      </c>
      <c r="Y451">
        <v>25</v>
      </c>
    </row>
    <row r="452" spans="1:25" ht="60" customHeight="1" x14ac:dyDescent="0.25">
      <c r="A452"/>
      <c r="B452" t="s">
        <v>5</v>
      </c>
      <c r="C452" t="s">
        <v>3375</v>
      </c>
      <c r="D452" t="s">
        <v>17</v>
      </c>
      <c r="E452" t="s">
        <v>932</v>
      </c>
      <c r="F452" t="s">
        <v>933</v>
      </c>
      <c r="G452" t="s">
        <v>727</v>
      </c>
      <c r="H452" s="30">
        <v>84.75</v>
      </c>
      <c r="I452" s="29">
        <f>H452*(1-IFERROR(VLOOKUP(G452,Rabat!$D$10:$E$41,2,FALSE),0))</f>
        <v>84.75</v>
      </c>
      <c r="J452" t="s">
        <v>1902</v>
      </c>
      <c r="K452" t="s">
        <v>1933</v>
      </c>
      <c r="L452" t="s">
        <v>1901</v>
      </c>
      <c r="M452">
        <v>12</v>
      </c>
      <c r="N452">
        <v>144</v>
      </c>
      <c r="O452" t="s">
        <v>3434</v>
      </c>
      <c r="P452" s="31" t="str">
        <f>HYPERLINK("https://b2b.kobi.pl/pl/product/12139,lampa-wiszaca-ogrodowa-tevio-w-1xe27-ip54-czarna-led2b?currency=PLN")</f>
        <v>https://b2b.kobi.pl/pl/product/12139,lampa-wiszaca-ogrodowa-tevio-w-1xe27-ip54-czarna-led2b?currency=PLN</v>
      </c>
      <c r="Q452" t="s">
        <v>15</v>
      </c>
      <c r="R452"/>
      <c r="S452" t="s">
        <v>2709</v>
      </c>
      <c r="T452"/>
      <c r="U452">
        <v>0.59</v>
      </c>
      <c r="V452">
        <v>0.77</v>
      </c>
      <c r="W452">
        <v>17.5</v>
      </c>
      <c r="X452">
        <v>17.5</v>
      </c>
      <c r="Y452">
        <v>25</v>
      </c>
    </row>
    <row r="453" spans="1:25" ht="60" customHeight="1" x14ac:dyDescent="0.25">
      <c r="A453"/>
      <c r="B453" t="s">
        <v>5</v>
      </c>
      <c r="C453" t="s">
        <v>3375</v>
      </c>
      <c r="D453" t="s">
        <v>17</v>
      </c>
      <c r="E453" t="s">
        <v>1439</v>
      </c>
      <c r="F453" t="s">
        <v>1440</v>
      </c>
      <c r="G453" t="s">
        <v>727</v>
      </c>
      <c r="H453" s="30">
        <v>157.25</v>
      </c>
      <c r="I453" s="29">
        <f>H453*(1-IFERROR(VLOOKUP(G453,Rabat!$D$10:$E$41,2,FALSE),0))</f>
        <v>157.25</v>
      </c>
      <c r="J453" t="s">
        <v>1902</v>
      </c>
      <c r="K453" t="s">
        <v>1974</v>
      </c>
      <c r="L453" t="s">
        <v>1901</v>
      </c>
      <c r="M453">
        <v>8</v>
      </c>
      <c r="N453">
        <v>96</v>
      </c>
      <c r="O453" t="s">
        <v>3434</v>
      </c>
      <c r="P453" s="31" t="str">
        <f>HYPERLINK("https://b2b.kobi.pl/pl/product/12140,slupek-ogrodowy-tevio-s-1xe27-ip54-czarny-led2b?currency=PLN")</f>
        <v>https://b2b.kobi.pl/pl/product/12140,slupek-ogrodowy-tevio-s-1xe27-ip54-czarny-led2b?currency=PLN</v>
      </c>
      <c r="Q453" t="s">
        <v>15</v>
      </c>
      <c r="R453"/>
      <c r="S453" t="s">
        <v>2709</v>
      </c>
      <c r="T453"/>
      <c r="U453">
        <v>0.94</v>
      </c>
      <c r="V453">
        <v>1.54</v>
      </c>
      <c r="W453">
        <v>16.5</v>
      </c>
      <c r="X453">
        <v>19</v>
      </c>
      <c r="Y453">
        <v>32</v>
      </c>
    </row>
    <row r="454" spans="1:25" ht="60" customHeight="1" x14ac:dyDescent="0.25">
      <c r="A454"/>
      <c r="B454" t="s">
        <v>5</v>
      </c>
      <c r="C454" t="s">
        <v>3375</v>
      </c>
      <c r="D454" t="s">
        <v>17</v>
      </c>
      <c r="E454" t="s">
        <v>725</v>
      </c>
      <c r="F454" t="s">
        <v>726</v>
      </c>
      <c r="G454" t="s">
        <v>727</v>
      </c>
      <c r="H454" s="30">
        <v>162.25</v>
      </c>
      <c r="I454" s="29">
        <f>H454*(1-IFERROR(VLOOKUP(G454,Rabat!$D$10:$E$41,2,FALSE),0))</f>
        <v>162.25</v>
      </c>
      <c r="J454" t="s">
        <v>1902</v>
      </c>
      <c r="K454" t="s">
        <v>1908</v>
      </c>
      <c r="L454" t="s">
        <v>1901</v>
      </c>
      <c r="M454">
        <v>10</v>
      </c>
      <c r="N454"/>
      <c r="O454" t="s">
        <v>3434</v>
      </c>
      <c r="P454" s="31" t="str">
        <f>HYPERLINK("https://b2b.kobi.pl/pl/product/12141,kinkiet-ogrodowy-led-ome-10w-4000k-lx-ip54-czarny-led2b?currency=PLN")</f>
        <v>https://b2b.kobi.pl/pl/product/12141,kinkiet-ogrodowy-led-ome-10w-4000k-lx-ip54-czarny-led2b?currency=PLN</v>
      </c>
      <c r="Q454" s="31" t="str">
        <f>HYPERLINK("https://eprel.ec.europa.eu/qr/2176183")</f>
        <v>https://eprel.ec.europa.eu/qr/2176183</v>
      </c>
      <c r="R454"/>
      <c r="S454" t="s">
        <v>2677</v>
      </c>
      <c r="T454"/>
      <c r="U454">
        <v>0.6</v>
      </c>
      <c r="V454">
        <v>0.7</v>
      </c>
      <c r="W454">
        <v>12</v>
      </c>
      <c r="X454">
        <v>9</v>
      </c>
      <c r="Y454">
        <v>28</v>
      </c>
    </row>
    <row r="455" spans="1:25" ht="60" customHeight="1" x14ac:dyDescent="0.25">
      <c r="A455"/>
      <c r="B455" t="s">
        <v>5</v>
      </c>
      <c r="C455" t="s">
        <v>3375</v>
      </c>
      <c r="D455" t="s">
        <v>17</v>
      </c>
      <c r="E455" t="s">
        <v>1896</v>
      </c>
      <c r="F455" t="s">
        <v>1897</v>
      </c>
      <c r="G455" t="s">
        <v>727</v>
      </c>
      <c r="H455" s="30">
        <v>116.25</v>
      </c>
      <c r="I455" s="29">
        <f>H455*(1-IFERROR(VLOOKUP(G455,Rabat!$D$10:$E$41,2,FALSE),0))</f>
        <v>116.25</v>
      </c>
      <c r="J455" t="s">
        <v>1902</v>
      </c>
      <c r="K455" t="s">
        <v>2026</v>
      </c>
      <c r="L455" t="s">
        <v>1901</v>
      </c>
      <c r="M455">
        <v>10</v>
      </c>
      <c r="N455">
        <v>200</v>
      </c>
      <c r="O455" t="s">
        <v>3434</v>
      </c>
      <c r="P455" s="31" t="str">
        <f>HYPERLINK("https://b2b.kobi.pl/pl/product/12142,kinkiet-ogrodowy-led-lentero-12w-4000k-lx-ip54-czarny-led2b?currency=PLN")</f>
        <v>https://b2b.kobi.pl/pl/product/12142,kinkiet-ogrodowy-led-lentero-12w-4000k-lx-ip54-czarny-led2b?currency=PLN</v>
      </c>
      <c r="Q455" s="31" t="str">
        <f>HYPERLINK("https://eprel.ec.europa.eu/qr/2176464")</f>
        <v>https://eprel.ec.europa.eu/qr/2176464</v>
      </c>
      <c r="R455"/>
      <c r="S455" t="s">
        <v>2677</v>
      </c>
      <c r="T455"/>
      <c r="U455">
        <v>0.66</v>
      </c>
      <c r="V455">
        <v>0.8</v>
      </c>
      <c r="W455">
        <v>27</v>
      </c>
      <c r="X455">
        <v>13.5</v>
      </c>
      <c r="Y455">
        <v>13.5</v>
      </c>
    </row>
    <row r="456" spans="1:25" ht="60" customHeight="1" x14ac:dyDescent="0.25">
      <c r="A456"/>
      <c r="B456" t="s">
        <v>5</v>
      </c>
      <c r="C456" t="s">
        <v>3375</v>
      </c>
      <c r="D456" t="s">
        <v>643</v>
      </c>
      <c r="E456" t="s">
        <v>1873</v>
      </c>
      <c r="F456" t="s">
        <v>1874</v>
      </c>
      <c r="G456" t="s">
        <v>727</v>
      </c>
      <c r="H456" s="30">
        <v>56.25</v>
      </c>
      <c r="I456" s="29">
        <f>H456*(1-IFERROR(VLOOKUP(G456,Rabat!$D$10:$E$41,2,FALSE),0))</f>
        <v>56.25</v>
      </c>
      <c r="J456" t="s">
        <v>1902</v>
      </c>
      <c r="K456" t="s">
        <v>2015</v>
      </c>
      <c r="L456" t="s">
        <v>1901</v>
      </c>
      <c r="M456">
        <v>24</v>
      </c>
      <c r="N456">
        <v>1152</v>
      </c>
      <c r="O456" t="s">
        <v>3434</v>
      </c>
      <c r="P456" s="31" t="str">
        <f>HYPERLINK("https://b2b.kobi.pl/pl/product/10626,kinkiet-ogrodowy-quazar-8-1xgu10-ip44-czarny-kobi?currency=PLN")</f>
        <v>https://b2b.kobi.pl/pl/product/10626,kinkiet-ogrodowy-quazar-8-1xgu10-ip44-czarny-kobi?currency=PLN</v>
      </c>
      <c r="Q456" t="s">
        <v>15</v>
      </c>
      <c r="R456"/>
      <c r="S456" t="s">
        <v>2706</v>
      </c>
      <c r="T456"/>
      <c r="U456">
        <v>0.30399999999999999</v>
      </c>
      <c r="V456">
        <v>0.39600000000000002</v>
      </c>
      <c r="W456">
        <v>8.1</v>
      </c>
      <c r="X456">
        <v>9.5</v>
      </c>
      <c r="Y456">
        <v>10.5</v>
      </c>
    </row>
    <row r="457" spans="1:25" ht="60" customHeight="1" x14ac:dyDescent="0.25">
      <c r="A457"/>
      <c r="B457" t="s">
        <v>5</v>
      </c>
      <c r="C457" t="s">
        <v>3375</v>
      </c>
      <c r="D457" t="s">
        <v>643</v>
      </c>
      <c r="E457" t="s">
        <v>1875</v>
      </c>
      <c r="F457" t="s">
        <v>1876</v>
      </c>
      <c r="G457" t="s">
        <v>727</v>
      </c>
      <c r="H457" s="30">
        <v>56.25</v>
      </c>
      <c r="I457" s="29">
        <f>H457*(1-IFERROR(VLOOKUP(G457,Rabat!$D$10:$E$41,2,FALSE),0))</f>
        <v>56.25</v>
      </c>
      <c r="J457" t="s">
        <v>1902</v>
      </c>
      <c r="K457" t="s">
        <v>2016</v>
      </c>
      <c r="L457" t="s">
        <v>1901</v>
      </c>
      <c r="M457">
        <v>24</v>
      </c>
      <c r="N457">
        <v>1152</v>
      </c>
      <c r="O457" t="s">
        <v>3434</v>
      </c>
      <c r="P457" s="31" t="str">
        <f>HYPERLINK("https://b2b.kobi.pl/pl/product/10627,kinkiet-ogrodowy-quazar-8-1xgu10-ip44-szary-kobi?currency=PLN")</f>
        <v>https://b2b.kobi.pl/pl/product/10627,kinkiet-ogrodowy-quazar-8-1xgu10-ip44-szary-kobi?currency=PLN</v>
      </c>
      <c r="Q457" t="s">
        <v>15</v>
      </c>
      <c r="R457"/>
      <c r="S457" t="s">
        <v>2706</v>
      </c>
      <c r="T457"/>
      <c r="U457">
        <v>0.30399999999999999</v>
      </c>
      <c r="V457">
        <v>0.39600000000000002</v>
      </c>
      <c r="W457">
        <v>8.1</v>
      </c>
      <c r="X457">
        <v>9.5</v>
      </c>
      <c r="Y457">
        <v>10.5</v>
      </c>
    </row>
    <row r="458" spans="1:25" ht="60" customHeight="1" x14ac:dyDescent="0.25">
      <c r="A458"/>
      <c r="B458" t="s">
        <v>5</v>
      </c>
      <c r="C458" t="s">
        <v>3375</v>
      </c>
      <c r="D458" t="s">
        <v>643</v>
      </c>
      <c r="E458" t="s">
        <v>1877</v>
      </c>
      <c r="F458" t="s">
        <v>1878</v>
      </c>
      <c r="G458" t="s">
        <v>727</v>
      </c>
      <c r="H458" s="30">
        <v>73.75</v>
      </c>
      <c r="I458" s="29">
        <f>H458*(1-IFERROR(VLOOKUP(G458,Rabat!$D$10:$E$41,2,FALSE),0))</f>
        <v>73.75</v>
      </c>
      <c r="J458" t="s">
        <v>1902</v>
      </c>
      <c r="K458" t="s">
        <v>332</v>
      </c>
      <c r="L458" t="s">
        <v>1901</v>
      </c>
      <c r="M458">
        <v>16</v>
      </c>
      <c r="N458">
        <v>736</v>
      </c>
      <c r="O458" t="s">
        <v>3434</v>
      </c>
      <c r="P458" s="31" t="str">
        <f>HYPERLINK("https://b2b.kobi.pl/pl/product/10628,kinkiet-ogrodowy-quazar-9-2xgu10-ip44-czarny-kobi?currency=PLN")</f>
        <v>https://b2b.kobi.pl/pl/product/10628,kinkiet-ogrodowy-quazar-9-2xgu10-ip44-czarny-kobi?currency=PLN</v>
      </c>
      <c r="Q458" t="s">
        <v>15</v>
      </c>
      <c r="R458"/>
      <c r="S458" t="s">
        <v>2706</v>
      </c>
      <c r="T458"/>
      <c r="U458">
        <v>0.46899999999999997</v>
      </c>
      <c r="V458">
        <v>0.56799999999999995</v>
      </c>
      <c r="W458">
        <v>8</v>
      </c>
      <c r="X458">
        <v>10.5</v>
      </c>
      <c r="Y458">
        <v>16.100000000000001</v>
      </c>
    </row>
    <row r="459" spans="1:25" ht="60" customHeight="1" x14ac:dyDescent="0.25">
      <c r="A459"/>
      <c r="B459" t="s">
        <v>5</v>
      </c>
      <c r="C459" t="s">
        <v>3375</v>
      </c>
      <c r="D459" t="s">
        <v>643</v>
      </c>
      <c r="E459" t="s">
        <v>745</v>
      </c>
      <c r="F459" t="s">
        <v>746</v>
      </c>
      <c r="G459" t="s">
        <v>727</v>
      </c>
      <c r="H459" s="30">
        <v>73.75</v>
      </c>
      <c r="I459" s="29">
        <f>H459*(1-IFERROR(VLOOKUP(G459,Rabat!$D$10:$E$41,2,FALSE),0))</f>
        <v>73.75</v>
      </c>
      <c r="J459" t="s">
        <v>1902</v>
      </c>
      <c r="K459" t="s">
        <v>333</v>
      </c>
      <c r="L459" t="s">
        <v>1901</v>
      </c>
      <c r="M459">
        <v>16</v>
      </c>
      <c r="N459">
        <v>736</v>
      </c>
      <c r="O459" t="s">
        <v>3434</v>
      </c>
      <c r="P459" s="31" t="str">
        <f>HYPERLINK("https://b2b.kobi.pl/pl/product/10629,kinkiet-ogrodowy-quazar-9-2xgu10-ip44-szary-kobi?currency=PLN")</f>
        <v>https://b2b.kobi.pl/pl/product/10629,kinkiet-ogrodowy-quazar-9-2xgu10-ip44-szary-kobi?currency=PLN</v>
      </c>
      <c r="Q459" t="s">
        <v>15</v>
      </c>
      <c r="R459"/>
      <c r="S459" t="s">
        <v>2706</v>
      </c>
      <c r="T459"/>
      <c r="U459">
        <v>0.46899999999999997</v>
      </c>
      <c r="V459">
        <v>0.56799999999999995</v>
      </c>
      <c r="W459">
        <v>8</v>
      </c>
      <c r="X459">
        <v>10.5</v>
      </c>
      <c r="Y459">
        <v>16.100000000000001</v>
      </c>
    </row>
    <row r="460" spans="1:25" ht="60" customHeight="1" x14ac:dyDescent="0.25">
      <c r="A460"/>
      <c r="B460" t="s">
        <v>5</v>
      </c>
      <c r="C460" t="s">
        <v>3375</v>
      </c>
      <c r="D460" t="s">
        <v>17</v>
      </c>
      <c r="E460" t="s">
        <v>2987</v>
      </c>
      <c r="F460" t="s">
        <v>2988</v>
      </c>
      <c r="G460" t="s">
        <v>727</v>
      </c>
      <c r="H460" s="30">
        <v>74.75</v>
      </c>
      <c r="I460" s="29">
        <f>H460*(1-IFERROR(VLOOKUP(G460,Rabat!$D$10:$E$41,2,FALSE),0))</f>
        <v>74.75</v>
      </c>
      <c r="J460" t="s">
        <v>1902</v>
      </c>
      <c r="K460" t="s">
        <v>3026</v>
      </c>
      <c r="L460" t="s">
        <v>1901</v>
      </c>
      <c r="M460">
        <v>24</v>
      </c>
      <c r="N460">
        <v>816</v>
      </c>
      <c r="O460" t="s">
        <v>3434</v>
      </c>
      <c r="P460" s="31" t="str">
        <f>HYPERLINK("https://b2b.kobi.pl/pl/product/12991,kinkiet-ogrodowy-led-querk-2x2w-3000k-ip54-550lm-czarny-led2b?currency=PLN")</f>
        <v>https://b2b.kobi.pl/pl/product/12991,kinkiet-ogrodowy-led-querk-2x2w-3000k-ip54-550lm-czarny-led2b?currency=PLN</v>
      </c>
      <c r="Q460" s="31" t="str">
        <f>HYPERLINK("https://eprel.ec.europa.eu/qr/2176619")</f>
        <v>https://eprel.ec.europa.eu/qr/2176619</v>
      </c>
      <c r="R460"/>
      <c r="S460" t="s">
        <v>2714</v>
      </c>
      <c r="T460"/>
      <c r="U460">
        <v>0.47599999999999998</v>
      </c>
      <c r="V460">
        <v>0.55000000000000004</v>
      </c>
      <c r="W460">
        <v>12</v>
      </c>
      <c r="X460">
        <v>10.5</v>
      </c>
      <c r="Y460">
        <v>10.7</v>
      </c>
    </row>
    <row r="461" spans="1:25" ht="60" customHeight="1" x14ac:dyDescent="0.25">
      <c r="A461"/>
      <c r="B461" t="s">
        <v>5</v>
      </c>
      <c r="C461" t="s">
        <v>3375</v>
      </c>
      <c r="D461" t="s">
        <v>17</v>
      </c>
      <c r="E461" t="s">
        <v>2968</v>
      </c>
      <c r="F461" t="s">
        <v>728</v>
      </c>
      <c r="G461" t="s">
        <v>727</v>
      </c>
      <c r="H461" s="30">
        <v>74.75</v>
      </c>
      <c r="I461" s="29">
        <f>H461*(1-IFERROR(VLOOKUP(G461,Rabat!$D$10:$E$41,2,FALSE),0))</f>
        <v>74.75</v>
      </c>
      <c r="J461" t="s">
        <v>1902</v>
      </c>
      <c r="K461" t="s">
        <v>1909</v>
      </c>
      <c r="L461" t="s">
        <v>1901</v>
      </c>
      <c r="M461">
        <v>20</v>
      </c>
      <c r="N461">
        <v>840</v>
      </c>
      <c r="O461" t="s">
        <v>3434</v>
      </c>
      <c r="P461" s="31" t="str">
        <f>HYPERLINK("https://b2b.kobi.pl/pl/product/12145,kinkiet-ogrodowy-led-querk-2x3w-3000k-ip54-czarny-led2b?currency=PLN")</f>
        <v>https://b2b.kobi.pl/pl/product/12145,kinkiet-ogrodowy-led-querk-2x3w-3000k-ip54-czarny-led2b?currency=PLN</v>
      </c>
      <c r="Q461" s="31" t="str">
        <f>HYPERLINK("https://eprel.ec.europa.eu/qr/2176619")</f>
        <v>https://eprel.ec.europa.eu/qr/2176619</v>
      </c>
      <c r="R461"/>
      <c r="S461" t="s">
        <v>2706</v>
      </c>
      <c r="T461"/>
      <c r="U461">
        <v>0.35</v>
      </c>
      <c r="V461">
        <v>0.4</v>
      </c>
      <c r="W461">
        <v>11</v>
      </c>
      <c r="X461">
        <v>11</v>
      </c>
      <c r="Y461">
        <v>11</v>
      </c>
    </row>
    <row r="462" spans="1:25" ht="60" customHeight="1" x14ac:dyDescent="0.25">
      <c r="A462"/>
      <c r="B462" t="s">
        <v>5</v>
      </c>
      <c r="C462" t="s">
        <v>3375</v>
      </c>
      <c r="D462" t="s">
        <v>643</v>
      </c>
      <c r="E462" t="s">
        <v>2909</v>
      </c>
      <c r="F462" t="s">
        <v>2910</v>
      </c>
      <c r="G462" t="s">
        <v>727</v>
      </c>
      <c r="H462" s="30">
        <v>27.25</v>
      </c>
      <c r="I462" s="29">
        <f>H462*(1-IFERROR(VLOOKUP(G462,Rabat!$D$10:$E$41,2,FALSE),0))</f>
        <v>27.25</v>
      </c>
      <c r="J462" t="s">
        <v>1902</v>
      </c>
      <c r="K462" t="s">
        <v>2929</v>
      </c>
      <c r="L462" t="s">
        <v>1901</v>
      </c>
      <c r="M462">
        <v>100</v>
      </c>
      <c r="N462">
        <v>1200</v>
      </c>
      <c r="O462" t="s">
        <v>3434</v>
      </c>
      <c r="P462" s="31" t="str">
        <f>HYPERLINK("https://b2b.kobi.pl/pl/product/12928,kinkiet-ogrodowy-led-lumepra-6w-4000k-ip54-czarny-kobi?currency=PLN")</f>
        <v>https://b2b.kobi.pl/pl/product/12928,kinkiet-ogrodowy-led-lumepra-6w-4000k-ip54-czarny-kobi?currency=PLN</v>
      </c>
      <c r="Q462" s="31" t="str">
        <f>HYPERLINK("https://eprel.ec.europa.eu/qr/2480195")</f>
        <v>https://eprel.ec.europa.eu/qr/2480195</v>
      </c>
      <c r="R462"/>
      <c r="S462" t="s">
        <v>2677</v>
      </c>
      <c r="T462"/>
      <c r="U462">
        <v>0.22</v>
      </c>
      <c r="V462">
        <v>0.28999999999999998</v>
      </c>
      <c r="W462">
        <v>8.5</v>
      </c>
      <c r="X462">
        <v>17.5</v>
      </c>
      <c r="Y462">
        <v>4.5</v>
      </c>
    </row>
    <row r="463" spans="1:25" ht="60" customHeight="1" x14ac:dyDescent="0.25">
      <c r="A463"/>
      <c r="B463" t="s">
        <v>5</v>
      </c>
      <c r="C463" t="s">
        <v>3375</v>
      </c>
      <c r="D463" t="s">
        <v>643</v>
      </c>
      <c r="E463" t="s">
        <v>2911</v>
      </c>
      <c r="F463" t="s">
        <v>2912</v>
      </c>
      <c r="G463" t="s">
        <v>727</v>
      </c>
      <c r="H463" s="30">
        <v>27.25</v>
      </c>
      <c r="I463" s="29">
        <f>H463*(1-IFERROR(VLOOKUP(G463,Rabat!$D$10:$E$41,2,FALSE),0))</f>
        <v>27.25</v>
      </c>
      <c r="J463" t="s">
        <v>1902</v>
      </c>
      <c r="K463" t="s">
        <v>2930</v>
      </c>
      <c r="L463" t="s">
        <v>1901</v>
      </c>
      <c r="M463">
        <v>100</v>
      </c>
      <c r="N463">
        <v>1200</v>
      </c>
      <c r="O463" t="s">
        <v>3434</v>
      </c>
      <c r="P463" s="31" t="str">
        <f>HYPERLINK("https://b2b.kobi.pl/pl/product/12929,kinkiet-ogrodowy-led-lumepra-6w-3000k-ip54-czarny-kobi?currency=PLN")</f>
        <v>https://b2b.kobi.pl/pl/product/12929,kinkiet-ogrodowy-led-lumepra-6w-3000k-ip54-czarny-kobi?currency=PLN</v>
      </c>
      <c r="Q463" s="31" t="str">
        <f>HYPERLINK("https://eprel.ec.europa.eu/qr/2426921")</f>
        <v>https://eprel.ec.europa.eu/qr/2426921</v>
      </c>
      <c r="R463"/>
      <c r="S463" t="s">
        <v>2677</v>
      </c>
      <c r="T463"/>
      <c r="U463">
        <v>0.22</v>
      </c>
      <c r="V463">
        <v>0.28999999999999998</v>
      </c>
      <c r="W463">
        <v>8.5</v>
      </c>
      <c r="X463">
        <v>17.5</v>
      </c>
      <c r="Y463">
        <v>4.5</v>
      </c>
    </row>
    <row r="464" spans="1:25" ht="60" customHeight="1" x14ac:dyDescent="0.25">
      <c r="A464"/>
      <c r="B464" t="s">
        <v>5</v>
      </c>
      <c r="C464" t="s">
        <v>3375</v>
      </c>
      <c r="D464" t="s">
        <v>17</v>
      </c>
      <c r="E464" t="s">
        <v>2989</v>
      </c>
      <c r="F464" t="s">
        <v>2990</v>
      </c>
      <c r="G464" t="s">
        <v>727</v>
      </c>
      <c r="H464" s="30">
        <v>109.11</v>
      </c>
      <c r="I464" s="29">
        <f>H464*(1-IFERROR(VLOOKUP(G464,Rabat!$D$10:$E$41,2,FALSE),0))</f>
        <v>109.11</v>
      </c>
      <c r="J464" t="s">
        <v>1902</v>
      </c>
      <c r="K464" t="s">
        <v>3027</v>
      </c>
      <c r="L464" t="s">
        <v>1901</v>
      </c>
      <c r="M464">
        <v>12</v>
      </c>
      <c r="N464">
        <v>168</v>
      </c>
      <c r="O464" t="s">
        <v>3434</v>
      </c>
      <c r="P464" s="31" t="str">
        <f>HYPERLINK("https://b2b.kobi.pl/pl/product/12973,slupek-ogrodowy-zenvio-4gn-zu-ip44-czarne-led2b?currency=PLN")</f>
        <v>https://b2b.kobi.pl/pl/product/12973,slupek-ogrodowy-zenvio-4gn-zu-ip44-czarne-led2b?currency=PLN</v>
      </c>
      <c r="Q464" t="s">
        <v>15</v>
      </c>
      <c r="R464"/>
      <c r="S464" t="s">
        <v>2714</v>
      </c>
      <c r="T464"/>
      <c r="U464">
        <v>1.048</v>
      </c>
      <c r="V464">
        <v>1.1879999999999999</v>
      </c>
      <c r="W464">
        <v>13.2</v>
      </c>
      <c r="X464">
        <v>132</v>
      </c>
      <c r="Y464">
        <v>41</v>
      </c>
    </row>
    <row r="465" spans="1:25" ht="60" customHeight="1" x14ac:dyDescent="0.25">
      <c r="A465"/>
      <c r="B465" t="s">
        <v>5</v>
      </c>
      <c r="C465" t="s">
        <v>3375</v>
      </c>
      <c r="D465" t="s">
        <v>643</v>
      </c>
      <c r="E465" t="s">
        <v>3262</v>
      </c>
      <c r="F465" t="s">
        <v>3263</v>
      </c>
      <c r="G465" t="s">
        <v>727</v>
      </c>
      <c r="H465" s="30">
        <v>54</v>
      </c>
      <c r="I465" s="29">
        <f>H465*(1-IFERROR(VLOOKUP(G465,Rabat!$D$10:$E$41,2,FALSE),0))</f>
        <v>54</v>
      </c>
      <c r="J465" t="s">
        <v>1902</v>
      </c>
      <c r="K465" t="s">
        <v>3278</v>
      </c>
      <c r="L465" t="s">
        <v>1901</v>
      </c>
      <c r="M465">
        <v>20</v>
      </c>
      <c r="N465"/>
      <c r="O465" t="s">
        <v>3434</v>
      </c>
      <c r="P465" s="31" t="str">
        <f>HYPERLINK("https://b2b.kobi.pl/pl/product/13169,kinkiet-ogrodowy-led-mirana-s-8w-30cm-4000k-ip44-czarny-kobi?currency=PLN")</f>
        <v>https://b2b.kobi.pl/pl/product/13169,kinkiet-ogrodowy-led-mirana-s-8w-30cm-4000k-ip44-czarny-kobi?currency=PLN</v>
      </c>
      <c r="Q465" t="s">
        <v>15</v>
      </c>
      <c r="R465"/>
      <c r="S465" t="s">
        <v>2706</v>
      </c>
      <c r="T465"/>
      <c r="U465">
        <v>0.56999999999999995</v>
      </c>
      <c r="V465">
        <v>0.63</v>
      </c>
      <c r="W465">
        <v>30</v>
      </c>
      <c r="X465">
        <v>8.5</v>
      </c>
      <c r="Y465">
        <v>4.5</v>
      </c>
    </row>
    <row r="466" spans="1:25" ht="60" customHeight="1" x14ac:dyDescent="0.25">
      <c r="A466"/>
      <c r="B466" t="s">
        <v>5</v>
      </c>
      <c r="C466" t="s">
        <v>3375</v>
      </c>
      <c r="D466" t="s">
        <v>643</v>
      </c>
      <c r="E466" t="s">
        <v>3264</v>
      </c>
      <c r="F466" t="s">
        <v>3265</v>
      </c>
      <c r="G466" t="s">
        <v>727</v>
      </c>
      <c r="H466" s="30">
        <v>79.959999999999994</v>
      </c>
      <c r="I466" s="29">
        <f>H466*(1-IFERROR(VLOOKUP(G466,Rabat!$D$10:$E$41,2,FALSE),0))</f>
        <v>79.959999999999994</v>
      </c>
      <c r="J466" t="s">
        <v>1902</v>
      </c>
      <c r="K466" t="s">
        <v>3279</v>
      </c>
      <c r="L466" t="s">
        <v>1901</v>
      </c>
      <c r="M466">
        <v>10</v>
      </c>
      <c r="N466">
        <v>480</v>
      </c>
      <c r="O466" t="s">
        <v>3434</v>
      </c>
      <c r="P466" s="31" t="str">
        <f>HYPERLINK("https://b2b.kobi.pl/pl/product/13170,kinkiet-ogrodowy-led-mirana-s-12w-60cm-4000k-ip44-czarny-kobi?currency=PLN")</f>
        <v>https://b2b.kobi.pl/pl/product/13170,kinkiet-ogrodowy-led-mirana-s-12w-60cm-4000k-ip44-czarny-kobi?currency=PLN</v>
      </c>
      <c r="Q466" t="s">
        <v>15</v>
      </c>
      <c r="R466"/>
      <c r="S466" t="s">
        <v>2706</v>
      </c>
      <c r="T466"/>
      <c r="U466">
        <v>1</v>
      </c>
      <c r="V466">
        <v>1.1399999999999999</v>
      </c>
      <c r="W466">
        <v>60.5</v>
      </c>
      <c r="X466">
        <v>8.5</v>
      </c>
      <c r="Y466">
        <v>4.5</v>
      </c>
    </row>
    <row r="467" spans="1:25" ht="60" customHeight="1" x14ac:dyDescent="0.25">
      <c r="A467"/>
      <c r="B467" t="s">
        <v>5</v>
      </c>
      <c r="C467" t="s">
        <v>3375</v>
      </c>
      <c r="D467" t="s">
        <v>643</v>
      </c>
      <c r="E467" t="s">
        <v>3266</v>
      </c>
      <c r="F467" t="s">
        <v>3267</v>
      </c>
      <c r="G467" t="s">
        <v>727</v>
      </c>
      <c r="H467" s="30">
        <v>143.25</v>
      </c>
      <c r="I467" s="29">
        <f>H467*(1-IFERROR(VLOOKUP(G467,Rabat!$D$10:$E$41,2,FALSE),0))</f>
        <v>143.25</v>
      </c>
      <c r="J467" t="s">
        <v>1902</v>
      </c>
      <c r="K467" t="s">
        <v>3280</v>
      </c>
      <c r="L467" t="s">
        <v>1901</v>
      </c>
      <c r="M467">
        <v>6</v>
      </c>
      <c r="N467">
        <v>192</v>
      </c>
      <c r="O467" t="s">
        <v>3434</v>
      </c>
      <c r="P467" s="31" t="str">
        <f>HYPERLINK("https://b2b.kobi.pl/pl/product/13171,kinkiet-ogrodowy-led-mirana-s-25w-120cm-4000k-ip44-czarny-kobi?currency=PLN")</f>
        <v>https://b2b.kobi.pl/pl/product/13171,kinkiet-ogrodowy-led-mirana-s-25w-120cm-4000k-ip44-czarny-kobi?currency=PLN</v>
      </c>
      <c r="Q467" t="s">
        <v>15</v>
      </c>
      <c r="R467"/>
      <c r="S467" t="s">
        <v>2706</v>
      </c>
      <c r="T467"/>
      <c r="U467">
        <v>2.12</v>
      </c>
      <c r="V467">
        <v>2.2599999999999998</v>
      </c>
      <c r="W467">
        <v>120.5</v>
      </c>
      <c r="X467">
        <v>8.5</v>
      </c>
      <c r="Y467">
        <v>4.5</v>
      </c>
    </row>
    <row r="468" spans="1:25" ht="60" customHeight="1" x14ac:dyDescent="0.25">
      <c r="A468"/>
      <c r="B468" t="s">
        <v>5</v>
      </c>
      <c r="C468" t="s">
        <v>3375</v>
      </c>
      <c r="D468" t="s">
        <v>643</v>
      </c>
      <c r="E468" t="s">
        <v>3268</v>
      </c>
      <c r="F468" t="s">
        <v>3269</v>
      </c>
      <c r="G468" t="s">
        <v>727</v>
      </c>
      <c r="H468" s="30">
        <v>55.42</v>
      </c>
      <c r="I468" s="29">
        <f>H468*(1-IFERROR(VLOOKUP(G468,Rabat!$D$10:$E$41,2,FALSE),0))</f>
        <v>55.42</v>
      </c>
      <c r="J468" t="s">
        <v>1902</v>
      </c>
      <c r="K468" t="s">
        <v>3281</v>
      </c>
      <c r="L468" t="s">
        <v>1901</v>
      </c>
      <c r="M468">
        <v>20</v>
      </c>
      <c r="N468"/>
      <c r="O468" t="s">
        <v>3434</v>
      </c>
      <c r="P468" s="31" t="str">
        <f>HYPERLINK("https://b2b.kobi.pl/pl/product/13172,kinkiet-ogrodowy-led-mirana-8w-30cm-4000k-ip44-czarny-kobi?currency=PLN")</f>
        <v>https://b2b.kobi.pl/pl/product/13172,kinkiet-ogrodowy-led-mirana-8w-30cm-4000k-ip44-czarny-kobi?currency=PLN</v>
      </c>
      <c r="Q468" t="s">
        <v>15</v>
      </c>
      <c r="R468"/>
      <c r="S468" t="s">
        <v>2706</v>
      </c>
      <c r="T468"/>
      <c r="U468">
        <v>0.65</v>
      </c>
      <c r="V468">
        <v>0.69</v>
      </c>
      <c r="W468">
        <v>30</v>
      </c>
      <c r="X468">
        <v>8.5</v>
      </c>
      <c r="Y468">
        <v>4.5</v>
      </c>
    </row>
    <row r="469" spans="1:25" ht="60" customHeight="1" x14ac:dyDescent="0.25">
      <c r="A469"/>
      <c r="B469" t="s">
        <v>5</v>
      </c>
      <c r="C469" t="s">
        <v>3375</v>
      </c>
      <c r="D469" t="s">
        <v>643</v>
      </c>
      <c r="E469" t="s">
        <v>3270</v>
      </c>
      <c r="F469" t="s">
        <v>3271</v>
      </c>
      <c r="G469" t="s">
        <v>727</v>
      </c>
      <c r="H469" s="30">
        <v>81.38</v>
      </c>
      <c r="I469" s="29">
        <f>H469*(1-IFERROR(VLOOKUP(G469,Rabat!$D$10:$E$41,2,FALSE),0))</f>
        <v>81.38</v>
      </c>
      <c r="J469" t="s">
        <v>1902</v>
      </c>
      <c r="K469" t="s">
        <v>3282</v>
      </c>
      <c r="L469" t="s">
        <v>1901</v>
      </c>
      <c r="M469">
        <v>10</v>
      </c>
      <c r="N469">
        <v>480</v>
      </c>
      <c r="O469" t="s">
        <v>3434</v>
      </c>
      <c r="P469" s="31" t="str">
        <f>HYPERLINK("https://b2b.kobi.pl/pl/product/13173,kinkiet-ogrodowy-led-mirana-12w-60cm-4000k-ip44-czarny-kobi?currency=PLN")</f>
        <v>https://b2b.kobi.pl/pl/product/13173,kinkiet-ogrodowy-led-mirana-12w-60cm-4000k-ip44-czarny-kobi?currency=PLN</v>
      </c>
      <c r="Q469" t="s">
        <v>15</v>
      </c>
      <c r="R469"/>
      <c r="S469" t="s">
        <v>2706</v>
      </c>
      <c r="T469"/>
      <c r="U469">
        <v>1.1599999999999999</v>
      </c>
      <c r="V469">
        <v>1.25</v>
      </c>
      <c r="W469">
        <v>60.5</v>
      </c>
      <c r="X469">
        <v>8.5</v>
      </c>
      <c r="Y469">
        <v>4.5</v>
      </c>
    </row>
    <row r="470" spans="1:25" ht="60" customHeight="1" x14ac:dyDescent="0.25">
      <c r="A470"/>
      <c r="B470" t="s">
        <v>5</v>
      </c>
      <c r="C470" t="s">
        <v>3375</v>
      </c>
      <c r="D470" t="s">
        <v>643</v>
      </c>
      <c r="E470" t="s">
        <v>3272</v>
      </c>
      <c r="F470" t="s">
        <v>3273</v>
      </c>
      <c r="G470" t="s">
        <v>727</v>
      </c>
      <c r="H470" s="30">
        <v>145.54</v>
      </c>
      <c r="I470" s="29">
        <f>H470*(1-IFERROR(VLOOKUP(G470,Rabat!$D$10:$E$41,2,FALSE),0))</f>
        <v>145.54</v>
      </c>
      <c r="J470" t="s">
        <v>1902</v>
      </c>
      <c r="K470" t="s">
        <v>3283</v>
      </c>
      <c r="L470" t="s">
        <v>1901</v>
      </c>
      <c r="M470">
        <v>6</v>
      </c>
      <c r="N470">
        <v>192</v>
      </c>
      <c r="O470" t="s">
        <v>3434</v>
      </c>
      <c r="P470" s="31" t="str">
        <f>HYPERLINK("https://b2b.kobi.pl/pl/product/13174,kinkiet-ogrodowy-led-mirana-25w-120cm-4000k-ip44-czarny-kobi?currency=PLN")</f>
        <v>https://b2b.kobi.pl/pl/product/13174,kinkiet-ogrodowy-led-mirana-25w-120cm-4000k-ip44-czarny-kobi?currency=PLN</v>
      </c>
      <c r="Q470" t="s">
        <v>15</v>
      </c>
      <c r="R470"/>
      <c r="S470" t="s">
        <v>2706</v>
      </c>
      <c r="T470"/>
      <c r="U470">
        <v>2.39</v>
      </c>
      <c r="V470">
        <v>2.54</v>
      </c>
      <c r="W470">
        <v>120.5</v>
      </c>
      <c r="X470">
        <v>8.5</v>
      </c>
      <c r="Y470">
        <v>4.5</v>
      </c>
    </row>
    <row r="471" spans="1:25" ht="60" customHeight="1" x14ac:dyDescent="0.25">
      <c r="A471"/>
      <c r="B471" t="s">
        <v>5</v>
      </c>
      <c r="C471" t="s">
        <v>3374</v>
      </c>
      <c r="D471" t="s">
        <v>643</v>
      </c>
      <c r="E471" t="s">
        <v>1292</v>
      </c>
      <c r="F471" t="s">
        <v>1293</v>
      </c>
      <c r="G471" t="s">
        <v>668</v>
      </c>
      <c r="H471" s="30">
        <v>8.11</v>
      </c>
      <c r="I471" s="29">
        <f>H471*(1-IFERROR(VLOOKUP(G471,Rabat!$D$10:$E$41,2,FALSE),0))</f>
        <v>8.11</v>
      </c>
      <c r="J471" t="s">
        <v>1902</v>
      </c>
      <c r="K471" t="s">
        <v>345</v>
      </c>
      <c r="L471" t="s">
        <v>1901</v>
      </c>
      <c r="M471">
        <v>50</v>
      </c>
      <c r="N471">
        <v>2800</v>
      </c>
      <c r="O471" t="s">
        <v>3434</v>
      </c>
      <c r="P471" s="31" t="str">
        <f>HYPERLINK("https://b2b.kobi.pl/pl/product/10371,pierscien-ozdobny-oh14-bialy-kobi?currency=PLN")</f>
        <v>https://b2b.kobi.pl/pl/product/10371,pierscien-ozdobny-oh14-bialy-kobi?currency=PLN</v>
      </c>
      <c r="Q471" t="s">
        <v>15</v>
      </c>
      <c r="R471"/>
      <c r="S471" t="s">
        <v>2678</v>
      </c>
      <c r="T471"/>
      <c r="U471">
        <v>3.9E-2</v>
      </c>
      <c r="V471">
        <v>6.3899999999999998E-2</v>
      </c>
      <c r="W471">
        <v>8.5</v>
      </c>
      <c r="X471">
        <v>8.5</v>
      </c>
      <c r="Y471">
        <v>3.7</v>
      </c>
    </row>
    <row r="472" spans="1:25" ht="60" customHeight="1" x14ac:dyDescent="0.25">
      <c r="A472"/>
      <c r="B472" t="s">
        <v>5</v>
      </c>
      <c r="C472" t="s">
        <v>3374</v>
      </c>
      <c r="D472" t="s">
        <v>643</v>
      </c>
      <c r="E472" t="s">
        <v>1296</v>
      </c>
      <c r="F472" t="s">
        <v>1297</v>
      </c>
      <c r="G472" t="s">
        <v>668</v>
      </c>
      <c r="H472" s="30">
        <v>7.78</v>
      </c>
      <c r="I472" s="29">
        <f>H472*(1-IFERROR(VLOOKUP(G472,Rabat!$D$10:$E$41,2,FALSE),0))</f>
        <v>7.78</v>
      </c>
      <c r="J472" t="s">
        <v>1902</v>
      </c>
      <c r="K472" t="s">
        <v>346</v>
      </c>
      <c r="L472" t="s">
        <v>1901</v>
      </c>
      <c r="M472">
        <v>50</v>
      </c>
      <c r="N472">
        <v>2800</v>
      </c>
      <c r="O472" t="s">
        <v>3434</v>
      </c>
      <c r="P472" s="31" t="str">
        <f>HYPERLINK("https://b2b.kobi.pl/pl/product/10372,pierscien-ozdobny-oh14-chrom-kobi?currency=PLN")</f>
        <v>https://b2b.kobi.pl/pl/product/10372,pierscien-ozdobny-oh14-chrom-kobi?currency=PLN</v>
      </c>
      <c r="Q472" t="s">
        <v>15</v>
      </c>
      <c r="R472"/>
      <c r="S472" t="s">
        <v>2678</v>
      </c>
      <c r="T472"/>
      <c r="U472">
        <v>3.9E-2</v>
      </c>
      <c r="V472">
        <v>6.3899999999999998E-2</v>
      </c>
      <c r="W472">
        <v>8.5</v>
      </c>
      <c r="X472">
        <v>8.5</v>
      </c>
      <c r="Y472">
        <v>3.7</v>
      </c>
    </row>
    <row r="473" spans="1:25" ht="60" customHeight="1" x14ac:dyDescent="0.25">
      <c r="A473"/>
      <c r="B473" t="s">
        <v>5</v>
      </c>
      <c r="C473" t="s">
        <v>3374</v>
      </c>
      <c r="D473" t="s">
        <v>643</v>
      </c>
      <c r="E473" t="s">
        <v>1300</v>
      </c>
      <c r="F473" t="s">
        <v>1301</v>
      </c>
      <c r="G473" t="s">
        <v>668</v>
      </c>
      <c r="H473" s="30">
        <v>7.78</v>
      </c>
      <c r="I473" s="29">
        <f>H473*(1-IFERROR(VLOOKUP(G473,Rabat!$D$10:$E$41,2,FALSE),0))</f>
        <v>7.78</v>
      </c>
      <c r="J473" t="s">
        <v>1902</v>
      </c>
      <c r="K473" t="s">
        <v>347</v>
      </c>
      <c r="L473" t="s">
        <v>1901</v>
      </c>
      <c r="M473">
        <v>50</v>
      </c>
      <c r="N473">
        <v>2800</v>
      </c>
      <c r="O473" t="s">
        <v>3434</v>
      </c>
      <c r="P473" s="31" t="str">
        <f>HYPERLINK("https://b2b.kobi.pl/pl/product/10374,pierscien-ozdobny-oh14-mat-chrom-kobi?currency=PLN")</f>
        <v>https://b2b.kobi.pl/pl/product/10374,pierscien-ozdobny-oh14-mat-chrom-kobi?currency=PLN</v>
      </c>
      <c r="Q473" t="s">
        <v>15</v>
      </c>
      <c r="R473"/>
      <c r="S473" t="s">
        <v>2678</v>
      </c>
      <c r="T473"/>
      <c r="U473">
        <v>3.9E-2</v>
      </c>
      <c r="V473">
        <v>6.3899999999999998E-2</v>
      </c>
      <c r="W473">
        <v>8.5</v>
      </c>
      <c r="X473">
        <v>8.5</v>
      </c>
      <c r="Y473">
        <v>3.7</v>
      </c>
    </row>
    <row r="474" spans="1:25" ht="60" customHeight="1" x14ac:dyDescent="0.25">
      <c r="A474"/>
      <c r="B474" t="s">
        <v>5</v>
      </c>
      <c r="C474" t="s">
        <v>3374</v>
      </c>
      <c r="D474" t="s">
        <v>643</v>
      </c>
      <c r="E474" t="s">
        <v>1302</v>
      </c>
      <c r="F474" t="s">
        <v>1303</v>
      </c>
      <c r="G474" t="s">
        <v>668</v>
      </c>
      <c r="H474" s="30">
        <v>7.78</v>
      </c>
      <c r="I474" s="29">
        <f>H474*(1-IFERROR(VLOOKUP(G474,Rabat!$D$10:$E$41,2,FALSE),0))</f>
        <v>7.78</v>
      </c>
      <c r="J474" t="s">
        <v>1902</v>
      </c>
      <c r="K474" t="s">
        <v>348</v>
      </c>
      <c r="L474" t="s">
        <v>1901</v>
      </c>
      <c r="M474">
        <v>50</v>
      </c>
      <c r="N474">
        <v>2800</v>
      </c>
      <c r="O474" t="s">
        <v>3434</v>
      </c>
      <c r="P474" s="31" t="str">
        <f>HYPERLINK("https://b2b.kobi.pl/pl/product/10375,pierscien-ozdobny-oh14-mat-czarny-kobi?currency=PLN")</f>
        <v>https://b2b.kobi.pl/pl/product/10375,pierscien-ozdobny-oh14-mat-czarny-kobi?currency=PLN</v>
      </c>
      <c r="Q474" t="s">
        <v>15</v>
      </c>
      <c r="R474"/>
      <c r="S474" t="s">
        <v>2678</v>
      </c>
      <c r="T474"/>
      <c r="U474">
        <v>3.9E-2</v>
      </c>
      <c r="V474">
        <v>6.3899999999999998E-2</v>
      </c>
      <c r="W474">
        <v>8.5</v>
      </c>
      <c r="X474">
        <v>8.5</v>
      </c>
      <c r="Y474">
        <v>3.7</v>
      </c>
    </row>
    <row r="475" spans="1:25" ht="60" customHeight="1" x14ac:dyDescent="0.25">
      <c r="A475"/>
      <c r="B475" t="s">
        <v>5</v>
      </c>
      <c r="C475" t="s">
        <v>3374</v>
      </c>
      <c r="D475" t="s">
        <v>643</v>
      </c>
      <c r="E475" t="s">
        <v>1304</v>
      </c>
      <c r="F475" t="s">
        <v>1305</v>
      </c>
      <c r="G475" t="s">
        <v>668</v>
      </c>
      <c r="H475" s="30">
        <v>7.78</v>
      </c>
      <c r="I475" s="29">
        <f>H475*(1-IFERROR(VLOOKUP(G475,Rabat!$D$10:$E$41,2,FALSE),0))</f>
        <v>7.78</v>
      </c>
      <c r="J475" t="s">
        <v>1902</v>
      </c>
      <c r="K475" t="s">
        <v>349</v>
      </c>
      <c r="L475" t="s">
        <v>1901</v>
      </c>
      <c r="M475">
        <v>50</v>
      </c>
      <c r="N475">
        <v>2800</v>
      </c>
      <c r="O475" t="s">
        <v>3434</v>
      </c>
      <c r="P475" s="31" t="str">
        <f>HYPERLINK("https://b2b.kobi.pl/pl/product/10376,pierscien-ozdobny-oh14-patyna-kobi?currency=PLN")</f>
        <v>https://b2b.kobi.pl/pl/product/10376,pierscien-ozdobny-oh14-patyna-kobi?currency=PLN</v>
      </c>
      <c r="Q475" t="s">
        <v>15</v>
      </c>
      <c r="R475"/>
      <c r="S475" t="s">
        <v>2678</v>
      </c>
      <c r="T475"/>
      <c r="U475">
        <v>3.9E-2</v>
      </c>
      <c r="V475">
        <v>6.3899999999999998E-2</v>
      </c>
      <c r="W475">
        <v>8.5</v>
      </c>
      <c r="X475">
        <v>8.5</v>
      </c>
      <c r="Y475">
        <v>3.7</v>
      </c>
    </row>
    <row r="476" spans="1:25" ht="60" customHeight="1" x14ac:dyDescent="0.25">
      <c r="A476"/>
      <c r="B476" t="s">
        <v>5</v>
      </c>
      <c r="C476" t="s">
        <v>3374</v>
      </c>
      <c r="D476" t="s">
        <v>643</v>
      </c>
      <c r="E476" t="s">
        <v>1306</v>
      </c>
      <c r="F476" t="s">
        <v>1307</v>
      </c>
      <c r="G476" t="s">
        <v>668</v>
      </c>
      <c r="H476" s="30">
        <v>10.58</v>
      </c>
      <c r="I476" s="29">
        <f>H476*(1-IFERROR(VLOOKUP(G476,Rabat!$D$10:$E$41,2,FALSE),0))</f>
        <v>10.58</v>
      </c>
      <c r="J476" t="s">
        <v>1902</v>
      </c>
      <c r="K476" t="s">
        <v>361</v>
      </c>
      <c r="L476" t="s">
        <v>1901</v>
      </c>
      <c r="M476">
        <v>50</v>
      </c>
      <c r="N476">
        <v>2450</v>
      </c>
      <c r="O476" t="s">
        <v>3434</v>
      </c>
      <c r="P476" s="31" t="str">
        <f>HYPERLINK("https://b2b.kobi.pl/pl/product/10377,pierscien-ozdobny-oh15-bialy-kobi?currency=PLN")</f>
        <v>https://b2b.kobi.pl/pl/product/10377,pierscien-ozdobny-oh15-bialy-kobi?currency=PLN</v>
      </c>
      <c r="Q476" t="s">
        <v>15</v>
      </c>
      <c r="R476"/>
      <c r="S476" t="s">
        <v>2678</v>
      </c>
      <c r="T476"/>
      <c r="U476">
        <v>7.6999999999999999E-2</v>
      </c>
      <c r="V476">
        <v>0.10290000000000001</v>
      </c>
      <c r="W476">
        <v>9.8000000000000007</v>
      </c>
      <c r="X476">
        <v>10</v>
      </c>
      <c r="Y476">
        <v>3.6</v>
      </c>
    </row>
    <row r="477" spans="1:25" ht="60" customHeight="1" x14ac:dyDescent="0.25">
      <c r="A477"/>
      <c r="B477" t="s">
        <v>5</v>
      </c>
      <c r="C477" t="s">
        <v>3374</v>
      </c>
      <c r="D477" t="s">
        <v>643</v>
      </c>
      <c r="E477" t="s">
        <v>1308</v>
      </c>
      <c r="F477" t="s">
        <v>1309</v>
      </c>
      <c r="G477" t="s">
        <v>668</v>
      </c>
      <c r="H477" s="30">
        <v>10.58</v>
      </c>
      <c r="I477" s="29">
        <f>H477*(1-IFERROR(VLOOKUP(G477,Rabat!$D$10:$E$41,2,FALSE),0))</f>
        <v>10.58</v>
      </c>
      <c r="J477" t="s">
        <v>1902</v>
      </c>
      <c r="K477" t="s">
        <v>362</v>
      </c>
      <c r="L477" t="s">
        <v>1901</v>
      </c>
      <c r="M477">
        <v>50</v>
      </c>
      <c r="N477">
        <v>2450</v>
      </c>
      <c r="O477" t="s">
        <v>3434</v>
      </c>
      <c r="P477" s="31" t="str">
        <f>HYPERLINK("https://b2b.kobi.pl/pl/product/10378,pierscien-ozdobny-oh15-chrom-kobi?currency=PLN")</f>
        <v>https://b2b.kobi.pl/pl/product/10378,pierscien-ozdobny-oh15-chrom-kobi?currency=PLN</v>
      </c>
      <c r="Q477" t="s">
        <v>15</v>
      </c>
      <c r="R477"/>
      <c r="S477" t="s">
        <v>2678</v>
      </c>
      <c r="T477"/>
      <c r="U477">
        <v>7.6999999999999999E-2</v>
      </c>
      <c r="V477">
        <v>0.10290000000000001</v>
      </c>
      <c r="W477">
        <v>9.8000000000000007</v>
      </c>
      <c r="X477">
        <v>10</v>
      </c>
      <c r="Y477">
        <v>3.6</v>
      </c>
    </row>
    <row r="478" spans="1:25" ht="60" customHeight="1" x14ac:dyDescent="0.25">
      <c r="A478"/>
      <c r="B478" t="s">
        <v>5</v>
      </c>
      <c r="C478" t="s">
        <v>3374</v>
      </c>
      <c r="D478" t="s">
        <v>643</v>
      </c>
      <c r="E478" t="s">
        <v>1310</v>
      </c>
      <c r="F478" t="s">
        <v>1311</v>
      </c>
      <c r="G478" t="s">
        <v>668</v>
      </c>
      <c r="H478" s="30">
        <v>10.58</v>
      </c>
      <c r="I478" s="29">
        <f>H478*(1-IFERROR(VLOOKUP(G478,Rabat!$D$10:$E$41,2,FALSE),0))</f>
        <v>10.58</v>
      </c>
      <c r="J478" t="s">
        <v>1902</v>
      </c>
      <c r="K478" t="s">
        <v>363</v>
      </c>
      <c r="L478" t="s">
        <v>1901</v>
      </c>
      <c r="M478">
        <v>50</v>
      </c>
      <c r="N478">
        <v>2450</v>
      </c>
      <c r="O478" t="s">
        <v>3434</v>
      </c>
      <c r="P478" s="31" t="str">
        <f>HYPERLINK("https://b2b.kobi.pl/pl/product/10380,pierscien-ozdobny-oh15-mat-chrom-kobi?currency=PLN")</f>
        <v>https://b2b.kobi.pl/pl/product/10380,pierscien-ozdobny-oh15-mat-chrom-kobi?currency=PLN</v>
      </c>
      <c r="Q478" t="s">
        <v>15</v>
      </c>
      <c r="R478"/>
      <c r="S478" t="s">
        <v>2678</v>
      </c>
      <c r="T478"/>
      <c r="U478">
        <v>7.6999999999999999E-2</v>
      </c>
      <c r="V478">
        <v>0.10290000000000001</v>
      </c>
      <c r="W478">
        <v>9.8000000000000007</v>
      </c>
      <c r="X478">
        <v>10</v>
      </c>
      <c r="Y478">
        <v>3.6</v>
      </c>
    </row>
    <row r="479" spans="1:25" ht="60" customHeight="1" x14ac:dyDescent="0.25">
      <c r="A479"/>
      <c r="B479" t="s">
        <v>5</v>
      </c>
      <c r="C479" t="s">
        <v>3374</v>
      </c>
      <c r="D479" t="s">
        <v>643</v>
      </c>
      <c r="E479" t="s">
        <v>1312</v>
      </c>
      <c r="F479" t="s">
        <v>1313</v>
      </c>
      <c r="G479" t="s">
        <v>668</v>
      </c>
      <c r="H479" s="30">
        <v>10.58</v>
      </c>
      <c r="I479" s="29">
        <f>H479*(1-IFERROR(VLOOKUP(G479,Rabat!$D$10:$E$41,2,FALSE),0))</f>
        <v>10.58</v>
      </c>
      <c r="J479" t="s">
        <v>1902</v>
      </c>
      <c r="K479" t="s">
        <v>364</v>
      </c>
      <c r="L479" t="s">
        <v>1901</v>
      </c>
      <c r="M479">
        <v>50</v>
      </c>
      <c r="N479">
        <v>2450</v>
      </c>
      <c r="O479" t="s">
        <v>3434</v>
      </c>
      <c r="P479" s="31" t="str">
        <f>HYPERLINK("https://b2b.kobi.pl/pl/product/10381,pierscien-ozdobny-oh15-mat-czarny-kobi?currency=PLN")</f>
        <v>https://b2b.kobi.pl/pl/product/10381,pierscien-ozdobny-oh15-mat-czarny-kobi?currency=PLN</v>
      </c>
      <c r="Q479" t="s">
        <v>15</v>
      </c>
      <c r="R479"/>
      <c r="S479" t="s">
        <v>2678</v>
      </c>
      <c r="T479"/>
      <c r="U479">
        <v>7.6999999999999999E-2</v>
      </c>
      <c r="V479">
        <v>0.10290000000000001</v>
      </c>
      <c r="W479">
        <v>9.8000000000000007</v>
      </c>
      <c r="X479">
        <v>10</v>
      </c>
      <c r="Y479">
        <v>3.6</v>
      </c>
    </row>
    <row r="480" spans="1:25" ht="60" customHeight="1" x14ac:dyDescent="0.25">
      <c r="A480"/>
      <c r="B480" t="s">
        <v>5</v>
      </c>
      <c r="C480" t="s">
        <v>3374</v>
      </c>
      <c r="D480" t="s">
        <v>643</v>
      </c>
      <c r="E480" t="s">
        <v>1314</v>
      </c>
      <c r="F480" t="s">
        <v>1315</v>
      </c>
      <c r="G480" t="s">
        <v>668</v>
      </c>
      <c r="H480" s="30">
        <v>10.58</v>
      </c>
      <c r="I480" s="29">
        <f>H480*(1-IFERROR(VLOOKUP(G480,Rabat!$D$10:$E$41,2,FALSE),0))</f>
        <v>10.58</v>
      </c>
      <c r="J480" t="s">
        <v>1902</v>
      </c>
      <c r="K480" t="s">
        <v>365</v>
      </c>
      <c r="L480" t="s">
        <v>1901</v>
      </c>
      <c r="M480">
        <v>50</v>
      </c>
      <c r="N480">
        <v>2450</v>
      </c>
      <c r="O480" t="s">
        <v>3434</v>
      </c>
      <c r="P480" s="31" t="str">
        <f>HYPERLINK("https://b2b.kobi.pl/pl/product/10383,pierscien-ozdobny-oh15-patyna-kobi?currency=PLN")</f>
        <v>https://b2b.kobi.pl/pl/product/10383,pierscien-ozdobny-oh15-patyna-kobi?currency=PLN</v>
      </c>
      <c r="Q480" t="s">
        <v>15</v>
      </c>
      <c r="R480"/>
      <c r="S480" t="s">
        <v>2678</v>
      </c>
      <c r="T480"/>
      <c r="U480">
        <v>7.6999999999999999E-2</v>
      </c>
      <c r="V480">
        <v>0.10290000000000001</v>
      </c>
      <c r="W480">
        <v>9.8000000000000007</v>
      </c>
      <c r="X480">
        <v>10</v>
      </c>
      <c r="Y480">
        <v>3.6</v>
      </c>
    </row>
    <row r="481" spans="1:25" ht="60" customHeight="1" x14ac:dyDescent="0.25">
      <c r="A481"/>
      <c r="B481" t="s">
        <v>5</v>
      </c>
      <c r="C481" t="s">
        <v>3374</v>
      </c>
      <c r="D481" t="s">
        <v>643</v>
      </c>
      <c r="E481" t="s">
        <v>3389</v>
      </c>
      <c r="F481" t="s">
        <v>3390</v>
      </c>
      <c r="G481" t="s">
        <v>668</v>
      </c>
      <c r="H481" s="30">
        <v>21.58</v>
      </c>
      <c r="I481" s="29">
        <f>H481*(1-IFERROR(VLOOKUP(G481,Rabat!$D$10:$E$41,2,FALSE),0))</f>
        <v>21.58</v>
      </c>
      <c r="J481" t="s">
        <v>1902</v>
      </c>
      <c r="K481" t="s">
        <v>3404</v>
      </c>
      <c r="L481" t="s">
        <v>1901</v>
      </c>
      <c r="M481">
        <v>100</v>
      </c>
      <c r="N481"/>
      <c r="O481" t="s">
        <v>3434</v>
      </c>
      <c r="P481" s="31" t="str">
        <f>HYPERLINK("https://b2b.kobi.pl/pl/product/10386,pierscien-ozdobny-oh20-chrom-kobi?currency=PLN")</f>
        <v>https://b2b.kobi.pl/pl/product/10386,pierscien-ozdobny-oh20-chrom-kobi?currency=PLN</v>
      </c>
      <c r="Q481" t="s">
        <v>15</v>
      </c>
      <c r="R481" t="s">
        <v>2035</v>
      </c>
      <c r="S481" t="s">
        <v>2678</v>
      </c>
      <c r="T481"/>
      <c r="U481">
        <v>4.5999999999999999E-2</v>
      </c>
      <c r="V481">
        <v>7.0000000000000007E-2</v>
      </c>
      <c r="W481">
        <v>8.1999999999999993</v>
      </c>
      <c r="X481">
        <v>10.5</v>
      </c>
      <c r="Y481">
        <v>3.2</v>
      </c>
    </row>
    <row r="482" spans="1:25" ht="60" customHeight="1" x14ac:dyDescent="0.25">
      <c r="A482"/>
      <c r="B482" t="s">
        <v>5</v>
      </c>
      <c r="C482" t="s">
        <v>3374</v>
      </c>
      <c r="D482" t="s">
        <v>643</v>
      </c>
      <c r="E482" t="s">
        <v>1867</v>
      </c>
      <c r="F482" t="s">
        <v>1868</v>
      </c>
      <c r="G482" t="s">
        <v>668</v>
      </c>
      <c r="H482" s="30">
        <v>16.78</v>
      </c>
      <c r="I482" s="29">
        <f>H482*(1-IFERROR(VLOOKUP(G482,Rabat!$D$10:$E$41,2,FALSE),0))</f>
        <v>16.78</v>
      </c>
      <c r="J482" t="s">
        <v>1902</v>
      </c>
      <c r="K482" t="s">
        <v>2013</v>
      </c>
      <c r="L482" t="s">
        <v>1901</v>
      </c>
      <c r="M482">
        <v>100</v>
      </c>
      <c r="N482"/>
      <c r="O482" t="s">
        <v>3434</v>
      </c>
      <c r="P482" s="31" t="str">
        <f>HYPERLINK("https://b2b.kobi.pl/pl/product/10387,pierscien-ozdobny-oh20-czarny-kobi?currency=PLN")</f>
        <v>https://b2b.kobi.pl/pl/product/10387,pierscien-ozdobny-oh20-czarny-kobi?currency=PLN</v>
      </c>
      <c r="Q482" t="s">
        <v>15</v>
      </c>
      <c r="R482" t="s">
        <v>2035</v>
      </c>
      <c r="S482" t="s">
        <v>2678</v>
      </c>
      <c r="T482"/>
      <c r="U482">
        <v>4.5999999999999999E-2</v>
      </c>
      <c r="V482">
        <v>7.0000000000000007E-2</v>
      </c>
      <c r="W482">
        <v>8.1999999999999993</v>
      </c>
      <c r="X482">
        <v>10.5</v>
      </c>
      <c r="Y482">
        <v>3.2</v>
      </c>
    </row>
    <row r="483" spans="1:25" ht="60" customHeight="1" x14ac:dyDescent="0.25">
      <c r="A483"/>
      <c r="B483" t="s">
        <v>5</v>
      </c>
      <c r="C483" t="s">
        <v>3374</v>
      </c>
      <c r="D483" t="s">
        <v>643</v>
      </c>
      <c r="E483" t="s">
        <v>1316</v>
      </c>
      <c r="F483" t="s">
        <v>1317</v>
      </c>
      <c r="G483" t="s">
        <v>668</v>
      </c>
      <c r="H483" s="30">
        <v>18.89</v>
      </c>
      <c r="I483" s="29">
        <f>H483*(1-IFERROR(VLOOKUP(G483,Rabat!$D$10:$E$41,2,FALSE),0))</f>
        <v>18.89</v>
      </c>
      <c r="J483" t="s">
        <v>1902</v>
      </c>
      <c r="K483" t="s">
        <v>350</v>
      </c>
      <c r="L483" t="s">
        <v>1901</v>
      </c>
      <c r="M483">
        <v>100</v>
      </c>
      <c r="N483">
        <v>4000</v>
      </c>
      <c r="O483" t="s">
        <v>3434</v>
      </c>
      <c r="P483" s="31" t="str">
        <f>HYPERLINK("https://b2b.kobi.pl/pl/product/10388,pierscien-ozdobny-oh21-chrom-kobi?currency=PLN")</f>
        <v>https://b2b.kobi.pl/pl/product/10388,pierscien-ozdobny-oh21-chrom-kobi?currency=PLN</v>
      </c>
      <c r="Q483" t="s">
        <v>15</v>
      </c>
      <c r="R483"/>
      <c r="S483" t="s">
        <v>2678</v>
      </c>
      <c r="T483"/>
      <c r="U483">
        <v>3.2000000000000001E-2</v>
      </c>
      <c r="V483">
        <v>5.3999999999999999E-2</v>
      </c>
      <c r="W483">
        <v>8</v>
      </c>
      <c r="X483">
        <v>8.5</v>
      </c>
      <c r="Y483">
        <v>3.5</v>
      </c>
    </row>
    <row r="484" spans="1:25" ht="60" customHeight="1" x14ac:dyDescent="0.25">
      <c r="A484"/>
      <c r="B484" t="s">
        <v>5</v>
      </c>
      <c r="C484" t="s">
        <v>3374</v>
      </c>
      <c r="D484" t="s">
        <v>643</v>
      </c>
      <c r="E484" t="s">
        <v>1318</v>
      </c>
      <c r="F484" t="s">
        <v>1319</v>
      </c>
      <c r="G484" t="s">
        <v>668</v>
      </c>
      <c r="H484" s="30">
        <v>18.89</v>
      </c>
      <c r="I484" s="29">
        <f>H484*(1-IFERROR(VLOOKUP(G484,Rabat!$D$10:$E$41,2,FALSE),0))</f>
        <v>18.89</v>
      </c>
      <c r="J484" t="s">
        <v>1902</v>
      </c>
      <c r="K484" t="s">
        <v>351</v>
      </c>
      <c r="L484" t="s">
        <v>1901</v>
      </c>
      <c r="M484">
        <v>100</v>
      </c>
      <c r="N484">
        <v>4000</v>
      </c>
      <c r="O484" t="s">
        <v>3434</v>
      </c>
      <c r="P484" s="31" t="str">
        <f>HYPERLINK("https://b2b.kobi.pl/pl/product/10389,pierscien-ozdobny-oh21-czarny-kobi?currency=PLN")</f>
        <v>https://b2b.kobi.pl/pl/product/10389,pierscien-ozdobny-oh21-czarny-kobi?currency=PLN</v>
      </c>
      <c r="Q484" t="s">
        <v>15</v>
      </c>
      <c r="R484"/>
      <c r="S484" t="s">
        <v>2678</v>
      </c>
      <c r="T484"/>
      <c r="U484">
        <v>3.2000000000000001E-2</v>
      </c>
      <c r="V484">
        <v>5.3999999999999999E-2</v>
      </c>
      <c r="W484">
        <v>8</v>
      </c>
      <c r="X484">
        <v>8.5</v>
      </c>
      <c r="Y484">
        <v>3.5</v>
      </c>
    </row>
    <row r="485" spans="1:25" ht="60" customHeight="1" x14ac:dyDescent="0.25">
      <c r="A485"/>
      <c r="B485" t="s">
        <v>5</v>
      </c>
      <c r="C485" t="s">
        <v>3374</v>
      </c>
      <c r="D485" t="s">
        <v>643</v>
      </c>
      <c r="E485" t="s">
        <v>1324</v>
      </c>
      <c r="F485" t="s">
        <v>1325</v>
      </c>
      <c r="G485" t="s">
        <v>668</v>
      </c>
      <c r="H485" s="30">
        <v>16.670000000000002</v>
      </c>
      <c r="I485" s="29">
        <f>H485*(1-IFERROR(VLOOKUP(G485,Rabat!$D$10:$E$41,2,FALSE),0))</f>
        <v>16.670000000000002</v>
      </c>
      <c r="J485" t="s">
        <v>1902</v>
      </c>
      <c r="K485" t="s">
        <v>354</v>
      </c>
      <c r="L485" t="s">
        <v>1901</v>
      </c>
      <c r="M485">
        <v>50</v>
      </c>
      <c r="N485">
        <v>2450</v>
      </c>
      <c r="O485" t="s">
        <v>3434</v>
      </c>
      <c r="P485" s="31" t="str">
        <f>HYPERLINK("https://b2b.kobi.pl/pl/product/10402,pierscien-ozdobny-oh26n-przezroczysty-kobi?currency=PLN")</f>
        <v>https://b2b.kobi.pl/pl/product/10402,pierscien-ozdobny-oh26n-przezroczysty-kobi?currency=PLN</v>
      </c>
      <c r="Q485" t="s">
        <v>15</v>
      </c>
      <c r="R485"/>
      <c r="S485" t="s">
        <v>2710</v>
      </c>
      <c r="T485"/>
      <c r="U485">
        <v>0.11</v>
      </c>
      <c r="V485">
        <v>0.13800000000000001</v>
      </c>
      <c r="W485">
        <v>10</v>
      </c>
      <c r="X485">
        <v>10</v>
      </c>
      <c r="Y485">
        <v>3.5</v>
      </c>
    </row>
    <row r="486" spans="1:25" ht="60" customHeight="1" x14ac:dyDescent="0.25">
      <c r="A486"/>
      <c r="B486" t="s">
        <v>5</v>
      </c>
      <c r="C486" t="s">
        <v>3374</v>
      </c>
      <c r="D486" t="s">
        <v>643</v>
      </c>
      <c r="E486" t="s">
        <v>1326</v>
      </c>
      <c r="F486" t="s">
        <v>1327</v>
      </c>
      <c r="G486" t="s">
        <v>668</v>
      </c>
      <c r="H486" s="30">
        <v>16.670000000000002</v>
      </c>
      <c r="I486" s="29">
        <f>H486*(1-IFERROR(VLOOKUP(G486,Rabat!$D$10:$E$41,2,FALSE),0))</f>
        <v>16.670000000000002</v>
      </c>
      <c r="J486" t="s">
        <v>1902</v>
      </c>
      <c r="K486" t="s">
        <v>353</v>
      </c>
      <c r="L486" t="s">
        <v>1901</v>
      </c>
      <c r="M486">
        <v>50</v>
      </c>
      <c r="N486">
        <v>2450</v>
      </c>
      <c r="O486" t="s">
        <v>3434</v>
      </c>
      <c r="P486" s="31" t="str">
        <f>HYPERLINK("https://b2b.kobi.pl/pl/product/10403,pierscien-ozdobny-oh26n-czarny-kobi?currency=PLN")</f>
        <v>https://b2b.kobi.pl/pl/product/10403,pierscien-ozdobny-oh26n-czarny-kobi?currency=PLN</v>
      </c>
      <c r="Q486" t="s">
        <v>15</v>
      </c>
      <c r="R486"/>
      <c r="S486" t="s">
        <v>2710</v>
      </c>
      <c r="T486"/>
      <c r="U486">
        <v>0.11</v>
      </c>
      <c r="V486">
        <v>0.13800000000000001</v>
      </c>
      <c r="W486">
        <v>10</v>
      </c>
      <c r="X486">
        <v>10</v>
      </c>
      <c r="Y486">
        <v>3.5</v>
      </c>
    </row>
    <row r="487" spans="1:25" ht="60" customHeight="1" x14ac:dyDescent="0.25">
      <c r="A487"/>
      <c r="B487" t="s">
        <v>5</v>
      </c>
      <c r="C487" t="s">
        <v>3374</v>
      </c>
      <c r="D487" t="s">
        <v>643</v>
      </c>
      <c r="E487" t="s">
        <v>1322</v>
      </c>
      <c r="F487" t="s">
        <v>1323</v>
      </c>
      <c r="G487" t="s">
        <v>668</v>
      </c>
      <c r="H487" s="30">
        <v>17.64</v>
      </c>
      <c r="I487" s="29">
        <f>H487*(1-IFERROR(VLOOKUP(G487,Rabat!$D$10:$E$41,2,FALSE),0))</f>
        <v>17.64</v>
      </c>
      <c r="J487" t="s">
        <v>1902</v>
      </c>
      <c r="K487" t="s">
        <v>352</v>
      </c>
      <c r="L487" t="s">
        <v>1901</v>
      </c>
      <c r="M487">
        <v>50</v>
      </c>
      <c r="N487">
        <v>3150</v>
      </c>
      <c r="O487" t="s">
        <v>3434</v>
      </c>
      <c r="P487" s="31" t="str">
        <f>HYPERLINK("https://b2b.kobi.pl/pl/product/10401,pierscien-ozdobny-oh26-czarny-kobi?currency=PLN")</f>
        <v>https://b2b.kobi.pl/pl/product/10401,pierscien-ozdobny-oh26-czarny-kobi?currency=PLN</v>
      </c>
      <c r="Q487" t="s">
        <v>15</v>
      </c>
      <c r="R487" t="s">
        <v>2035</v>
      </c>
      <c r="S487" t="s">
        <v>2710</v>
      </c>
      <c r="T487"/>
      <c r="U487">
        <v>0.126</v>
      </c>
      <c r="V487">
        <v>0.16</v>
      </c>
      <c r="W487">
        <v>10</v>
      </c>
      <c r="X487">
        <v>10</v>
      </c>
      <c r="Y487">
        <v>3</v>
      </c>
    </row>
    <row r="488" spans="1:25" ht="60" customHeight="1" x14ac:dyDescent="0.25">
      <c r="A488"/>
      <c r="B488" t="s">
        <v>5</v>
      </c>
      <c r="C488" t="s">
        <v>3374</v>
      </c>
      <c r="D488" t="s">
        <v>643</v>
      </c>
      <c r="E488" t="s">
        <v>1328</v>
      </c>
      <c r="F488" t="s">
        <v>1329</v>
      </c>
      <c r="G488" t="s">
        <v>668</v>
      </c>
      <c r="H488" s="30">
        <v>18.02</v>
      </c>
      <c r="I488" s="29">
        <f>H488*(1-IFERROR(VLOOKUP(G488,Rabat!$D$10:$E$41,2,FALSE),0))</f>
        <v>18.02</v>
      </c>
      <c r="J488" t="s">
        <v>1902</v>
      </c>
      <c r="K488" t="s">
        <v>355</v>
      </c>
      <c r="L488" t="s">
        <v>1901</v>
      </c>
      <c r="M488">
        <v>50</v>
      </c>
      <c r="N488">
        <v>3150</v>
      </c>
      <c r="O488" t="s">
        <v>3434</v>
      </c>
      <c r="P488" s="31" t="str">
        <f>HYPERLINK("https://b2b.kobi.pl/pl/product/10405,pierscien-ozdobny-oh27-czarny-kobi?currency=PLN")</f>
        <v>https://b2b.kobi.pl/pl/product/10405,pierscien-ozdobny-oh27-czarny-kobi?currency=PLN</v>
      </c>
      <c r="Q488" t="s">
        <v>15</v>
      </c>
      <c r="R488" t="s">
        <v>2035</v>
      </c>
      <c r="S488" t="s">
        <v>2710</v>
      </c>
      <c r="T488"/>
      <c r="U488">
        <v>0.13800000000000001</v>
      </c>
      <c r="V488">
        <v>0.19</v>
      </c>
      <c r="W488">
        <v>10.5</v>
      </c>
      <c r="X488">
        <v>10.5</v>
      </c>
      <c r="Y488">
        <v>3</v>
      </c>
    </row>
    <row r="489" spans="1:25" ht="60" customHeight="1" x14ac:dyDescent="0.25">
      <c r="A489"/>
      <c r="B489" t="s">
        <v>5</v>
      </c>
      <c r="C489" t="s">
        <v>3374</v>
      </c>
      <c r="D489" t="s">
        <v>643</v>
      </c>
      <c r="E489" t="s">
        <v>1330</v>
      </c>
      <c r="F489" t="s">
        <v>1331</v>
      </c>
      <c r="G489" t="s">
        <v>668</v>
      </c>
      <c r="H489" s="30">
        <v>16.87</v>
      </c>
      <c r="I489" s="29">
        <f>H489*(1-IFERROR(VLOOKUP(G489,Rabat!$D$10:$E$41,2,FALSE),0))</f>
        <v>16.87</v>
      </c>
      <c r="J489" t="s">
        <v>1902</v>
      </c>
      <c r="K489" t="s">
        <v>357</v>
      </c>
      <c r="L489" t="s">
        <v>1901</v>
      </c>
      <c r="M489">
        <v>50</v>
      </c>
      <c r="N489">
        <v>2450</v>
      </c>
      <c r="O489" t="s">
        <v>3434</v>
      </c>
      <c r="P489" s="31" t="str">
        <f>HYPERLINK("https://b2b.kobi.pl/pl/product/10406,pierscien-ozdobny-oh27n-przezroczysty-kobi?currency=PLN")</f>
        <v>https://b2b.kobi.pl/pl/product/10406,pierscien-ozdobny-oh27n-przezroczysty-kobi?currency=PLN</v>
      </c>
      <c r="Q489" t="s">
        <v>15</v>
      </c>
      <c r="R489"/>
      <c r="S489" t="s">
        <v>2710</v>
      </c>
      <c r="T489"/>
      <c r="U489">
        <v>0.14000000000000001</v>
      </c>
      <c r="V489">
        <v>0.17499999999999999</v>
      </c>
      <c r="W489">
        <v>10</v>
      </c>
      <c r="X489">
        <v>10</v>
      </c>
      <c r="Y489">
        <v>3.5</v>
      </c>
    </row>
    <row r="490" spans="1:25" ht="60" customHeight="1" x14ac:dyDescent="0.25">
      <c r="A490"/>
      <c r="B490" t="s">
        <v>5</v>
      </c>
      <c r="C490" t="s">
        <v>3374</v>
      </c>
      <c r="D490" t="s">
        <v>643</v>
      </c>
      <c r="E490" t="s">
        <v>1332</v>
      </c>
      <c r="F490" t="s">
        <v>1333</v>
      </c>
      <c r="G490" t="s">
        <v>668</v>
      </c>
      <c r="H490" s="30">
        <v>16.87</v>
      </c>
      <c r="I490" s="29">
        <f>H490*(1-IFERROR(VLOOKUP(G490,Rabat!$D$10:$E$41,2,FALSE),0))</f>
        <v>16.87</v>
      </c>
      <c r="J490" t="s">
        <v>1902</v>
      </c>
      <c r="K490" t="s">
        <v>356</v>
      </c>
      <c r="L490" t="s">
        <v>1901</v>
      </c>
      <c r="M490">
        <v>50</v>
      </c>
      <c r="N490">
        <v>2450</v>
      </c>
      <c r="O490" t="s">
        <v>3434</v>
      </c>
      <c r="P490" s="31" t="str">
        <f>HYPERLINK("https://b2b.kobi.pl/pl/product/10407,pierscien-ozdobny-oh27n-czarny-kobi?currency=PLN")</f>
        <v>https://b2b.kobi.pl/pl/product/10407,pierscien-ozdobny-oh27n-czarny-kobi?currency=PLN</v>
      </c>
      <c r="Q490" t="s">
        <v>15</v>
      </c>
      <c r="R490"/>
      <c r="S490" t="s">
        <v>2710</v>
      </c>
      <c r="T490"/>
      <c r="U490">
        <v>0.14000000000000001</v>
      </c>
      <c r="V490">
        <v>0.17499999999999999</v>
      </c>
      <c r="W490">
        <v>10</v>
      </c>
      <c r="X490">
        <v>10</v>
      </c>
      <c r="Y490">
        <v>3.5</v>
      </c>
    </row>
    <row r="491" spans="1:25" ht="60" customHeight="1" x14ac:dyDescent="0.25">
      <c r="A491"/>
      <c r="B491" t="s">
        <v>5</v>
      </c>
      <c r="C491" t="s">
        <v>3374</v>
      </c>
      <c r="D491" t="s">
        <v>643</v>
      </c>
      <c r="E491" t="s">
        <v>1334</v>
      </c>
      <c r="F491" t="s">
        <v>1335</v>
      </c>
      <c r="G491" t="s">
        <v>668</v>
      </c>
      <c r="H491" s="30">
        <v>24</v>
      </c>
      <c r="I491" s="29">
        <f>H491*(1-IFERROR(VLOOKUP(G491,Rabat!$D$10:$E$41,2,FALSE),0))</f>
        <v>24</v>
      </c>
      <c r="J491" t="s">
        <v>1902</v>
      </c>
      <c r="K491" t="s">
        <v>367</v>
      </c>
      <c r="L491" t="s">
        <v>1901</v>
      </c>
      <c r="M491">
        <v>100</v>
      </c>
      <c r="N491">
        <v>2800</v>
      </c>
      <c r="O491" t="s">
        <v>3434</v>
      </c>
      <c r="P491" s="31" t="str">
        <f>HYPERLINK("https://b2b.kobi.pl/pl/product/10408,pierscien-ozdobny-oh28-chrom-kobi?currency=PLN")</f>
        <v>https://b2b.kobi.pl/pl/product/10408,pierscien-ozdobny-oh28-chrom-kobi?currency=PLN</v>
      </c>
      <c r="Q491" t="s">
        <v>15</v>
      </c>
      <c r="R491"/>
      <c r="S491" t="s">
        <v>2678</v>
      </c>
      <c r="T491"/>
      <c r="U491">
        <v>7.8E-2</v>
      </c>
      <c r="V491">
        <v>0.1</v>
      </c>
      <c r="W491">
        <v>9.5</v>
      </c>
      <c r="X491">
        <v>11.5</v>
      </c>
      <c r="Y491">
        <v>3.5</v>
      </c>
    </row>
    <row r="492" spans="1:25" ht="60" customHeight="1" x14ac:dyDescent="0.25">
      <c r="A492"/>
      <c r="B492" t="s">
        <v>5</v>
      </c>
      <c r="C492" t="s">
        <v>3374</v>
      </c>
      <c r="D492" t="s">
        <v>643</v>
      </c>
      <c r="E492" t="s">
        <v>1336</v>
      </c>
      <c r="F492" t="s">
        <v>1337</v>
      </c>
      <c r="G492" t="s">
        <v>668</v>
      </c>
      <c r="H492" s="30">
        <v>24</v>
      </c>
      <c r="I492" s="29">
        <f>H492*(1-IFERROR(VLOOKUP(G492,Rabat!$D$10:$E$41,2,FALSE),0))</f>
        <v>24</v>
      </c>
      <c r="J492" t="s">
        <v>1902</v>
      </c>
      <c r="K492" t="s">
        <v>368</v>
      </c>
      <c r="L492" t="s">
        <v>1901</v>
      </c>
      <c r="M492">
        <v>100</v>
      </c>
      <c r="N492">
        <v>2800</v>
      </c>
      <c r="O492" t="s">
        <v>3434</v>
      </c>
      <c r="P492" s="31" t="str">
        <f>HYPERLINK("https://b2b.kobi.pl/pl/product/10409,pierscien-ozdobny-oh28-czarny-kobi?currency=PLN")</f>
        <v>https://b2b.kobi.pl/pl/product/10409,pierscien-ozdobny-oh28-czarny-kobi?currency=PLN</v>
      </c>
      <c r="Q492" t="s">
        <v>15</v>
      </c>
      <c r="R492"/>
      <c r="S492" t="s">
        <v>2678</v>
      </c>
      <c r="T492"/>
      <c r="U492">
        <v>7.8E-2</v>
      </c>
      <c r="V492">
        <v>0.1</v>
      </c>
      <c r="W492">
        <v>9.5</v>
      </c>
      <c r="X492">
        <v>11.5</v>
      </c>
      <c r="Y492">
        <v>3.5</v>
      </c>
    </row>
    <row r="493" spans="1:25" ht="60" customHeight="1" x14ac:dyDescent="0.25">
      <c r="A493"/>
      <c r="B493" t="s">
        <v>5</v>
      </c>
      <c r="C493" t="s">
        <v>3374</v>
      </c>
      <c r="D493" t="s">
        <v>643</v>
      </c>
      <c r="E493" t="s">
        <v>1338</v>
      </c>
      <c r="F493" t="s">
        <v>1339</v>
      </c>
      <c r="G493" t="s">
        <v>668</v>
      </c>
      <c r="H493" s="30">
        <v>24</v>
      </c>
      <c r="I493" s="29">
        <f>H493*(1-IFERROR(VLOOKUP(G493,Rabat!$D$10:$E$41,2,FALSE),0))</f>
        <v>24</v>
      </c>
      <c r="J493" t="s">
        <v>1902</v>
      </c>
      <c r="K493" t="s">
        <v>370</v>
      </c>
      <c r="L493" t="s">
        <v>1901</v>
      </c>
      <c r="M493">
        <v>100</v>
      </c>
      <c r="N493"/>
      <c r="O493" t="s">
        <v>3434</v>
      </c>
      <c r="P493" s="31" t="str">
        <f>HYPERLINK("https://b2b.kobi.pl/pl/product/10410,pierscien-ozdobny-oh28-mat-bialy-kobi?currency=PLN")</f>
        <v>https://b2b.kobi.pl/pl/product/10410,pierscien-ozdobny-oh28-mat-bialy-kobi?currency=PLN</v>
      </c>
      <c r="Q493" t="s">
        <v>15</v>
      </c>
      <c r="R493"/>
      <c r="S493" t="s">
        <v>2678</v>
      </c>
      <c r="T493"/>
      <c r="U493">
        <v>7.8E-2</v>
      </c>
      <c r="V493">
        <v>0.1</v>
      </c>
      <c r="W493">
        <v>9.5</v>
      </c>
      <c r="X493">
        <v>11.5</v>
      </c>
      <c r="Y493">
        <v>3.5</v>
      </c>
    </row>
    <row r="494" spans="1:25" ht="60" customHeight="1" x14ac:dyDescent="0.25">
      <c r="A494"/>
      <c r="B494" t="s">
        <v>5</v>
      </c>
      <c r="C494" t="s">
        <v>3374</v>
      </c>
      <c r="D494" t="s">
        <v>643</v>
      </c>
      <c r="E494" t="s">
        <v>1340</v>
      </c>
      <c r="F494" t="s">
        <v>1341</v>
      </c>
      <c r="G494" t="s">
        <v>668</v>
      </c>
      <c r="H494" s="30">
        <v>24</v>
      </c>
      <c r="I494" s="29">
        <f>H494*(1-IFERROR(VLOOKUP(G494,Rabat!$D$10:$E$41,2,FALSE),0))</f>
        <v>24</v>
      </c>
      <c r="J494" t="s">
        <v>1902</v>
      </c>
      <c r="K494" t="s">
        <v>369</v>
      </c>
      <c r="L494" t="s">
        <v>1901</v>
      </c>
      <c r="M494">
        <v>100</v>
      </c>
      <c r="N494">
        <v>2800</v>
      </c>
      <c r="O494" t="s">
        <v>3434</v>
      </c>
      <c r="P494" s="31" t="str">
        <f>HYPERLINK("https://b2b.kobi.pl/pl/product/10411,pierscien-ozdobny-oh28-mat-czarny-kobi?currency=PLN")</f>
        <v>https://b2b.kobi.pl/pl/product/10411,pierscien-ozdobny-oh28-mat-czarny-kobi?currency=PLN</v>
      </c>
      <c r="Q494" t="s">
        <v>15</v>
      </c>
      <c r="R494"/>
      <c r="S494" t="s">
        <v>2678</v>
      </c>
      <c r="T494"/>
      <c r="U494">
        <v>7.8E-2</v>
      </c>
      <c r="V494">
        <v>0.1</v>
      </c>
      <c r="W494">
        <v>9.5</v>
      </c>
      <c r="X494">
        <v>11.5</v>
      </c>
      <c r="Y494">
        <v>3.5</v>
      </c>
    </row>
    <row r="495" spans="1:25" ht="60" customHeight="1" x14ac:dyDescent="0.25">
      <c r="A495"/>
      <c r="B495" t="s">
        <v>5</v>
      </c>
      <c r="C495" t="s">
        <v>3374</v>
      </c>
      <c r="D495" t="s">
        <v>643</v>
      </c>
      <c r="E495" t="s">
        <v>1869</v>
      </c>
      <c r="F495" t="s">
        <v>1870</v>
      </c>
      <c r="G495" t="s">
        <v>668</v>
      </c>
      <c r="H495" s="30">
        <v>35.200000000000003</v>
      </c>
      <c r="I495" s="29">
        <f>H495*(1-IFERROR(VLOOKUP(G495,Rabat!$D$10:$E$41,2,FALSE),0))</f>
        <v>35.200000000000003</v>
      </c>
      <c r="J495" t="s">
        <v>1902</v>
      </c>
      <c r="K495" t="s">
        <v>2014</v>
      </c>
      <c r="L495" t="s">
        <v>1901</v>
      </c>
      <c r="M495">
        <v>30</v>
      </c>
      <c r="N495"/>
      <c r="O495" t="s">
        <v>3434</v>
      </c>
      <c r="P495" s="31" t="str">
        <f>HYPERLINK("https://b2b.kobi.pl/pl/product/10392,pierscien-ozdobny-oh228-chrom-kobi?currency=PLN")</f>
        <v>https://b2b.kobi.pl/pl/product/10392,pierscien-ozdobny-oh228-chrom-kobi?currency=PLN</v>
      </c>
      <c r="Q495" t="s">
        <v>15</v>
      </c>
      <c r="R495" t="s">
        <v>2035</v>
      </c>
      <c r="S495" t="s">
        <v>2678</v>
      </c>
      <c r="T495"/>
      <c r="U495">
        <v>0.18</v>
      </c>
      <c r="V495">
        <v>0.2</v>
      </c>
      <c r="W495">
        <v>19</v>
      </c>
      <c r="X495">
        <v>11.5</v>
      </c>
      <c r="Y495">
        <v>3.5</v>
      </c>
    </row>
    <row r="496" spans="1:25" ht="60" customHeight="1" x14ac:dyDescent="0.25">
      <c r="A496"/>
      <c r="B496" t="s">
        <v>5</v>
      </c>
      <c r="C496" t="s">
        <v>3374</v>
      </c>
      <c r="D496" t="s">
        <v>643</v>
      </c>
      <c r="E496" t="s">
        <v>1320</v>
      </c>
      <c r="F496" t="s">
        <v>1321</v>
      </c>
      <c r="G496" t="s">
        <v>668</v>
      </c>
      <c r="H496" s="30">
        <v>35.200000000000003</v>
      </c>
      <c r="I496" s="29">
        <f>H496*(1-IFERROR(VLOOKUP(G496,Rabat!$D$10:$E$41,2,FALSE),0))</f>
        <v>35.200000000000003</v>
      </c>
      <c r="J496" t="s">
        <v>1902</v>
      </c>
      <c r="K496" t="s">
        <v>366</v>
      </c>
      <c r="L496" t="s">
        <v>1901</v>
      </c>
      <c r="M496">
        <v>30</v>
      </c>
      <c r="N496"/>
      <c r="O496" t="s">
        <v>3434</v>
      </c>
      <c r="P496" s="31" t="str">
        <f>HYPERLINK("https://b2b.kobi.pl/pl/product/10393,pierscien-ozdobny-oh228-czarny-kobi?currency=PLN")</f>
        <v>https://b2b.kobi.pl/pl/product/10393,pierscien-ozdobny-oh228-czarny-kobi?currency=PLN</v>
      </c>
      <c r="Q496" t="s">
        <v>15</v>
      </c>
      <c r="R496" t="s">
        <v>2035</v>
      </c>
      <c r="S496" t="s">
        <v>2678</v>
      </c>
      <c r="T496"/>
      <c r="U496">
        <v>0.18</v>
      </c>
      <c r="V496">
        <v>0.2</v>
      </c>
      <c r="W496">
        <v>19</v>
      </c>
      <c r="X496">
        <v>11.5</v>
      </c>
      <c r="Y496">
        <v>3.5</v>
      </c>
    </row>
    <row r="497" spans="1:25" ht="60" customHeight="1" x14ac:dyDescent="0.25">
      <c r="A497"/>
      <c r="B497" t="s">
        <v>5</v>
      </c>
      <c r="C497" t="s">
        <v>3374</v>
      </c>
      <c r="D497" t="s">
        <v>643</v>
      </c>
      <c r="E497" t="s">
        <v>1342</v>
      </c>
      <c r="F497" t="s">
        <v>1343</v>
      </c>
      <c r="G497" t="s">
        <v>668</v>
      </c>
      <c r="H497" s="30">
        <v>25.58</v>
      </c>
      <c r="I497" s="29">
        <f>H497*(1-IFERROR(VLOOKUP(G497,Rabat!$D$10:$E$41,2,FALSE),0))</f>
        <v>25.58</v>
      </c>
      <c r="J497" t="s">
        <v>1902</v>
      </c>
      <c r="K497" t="s">
        <v>371</v>
      </c>
      <c r="L497" t="s">
        <v>1901</v>
      </c>
      <c r="M497">
        <v>100</v>
      </c>
      <c r="N497">
        <v>3200</v>
      </c>
      <c r="O497" t="s">
        <v>3434</v>
      </c>
      <c r="P497" s="31" t="str">
        <f>HYPERLINK("https://b2b.kobi.pl/pl/product/10412,pierscien-ozdobny-oh29-chrom-kobi?currency=PLN")</f>
        <v>https://b2b.kobi.pl/pl/product/10412,pierscien-ozdobny-oh29-chrom-kobi?currency=PLN</v>
      </c>
      <c r="Q497" t="s">
        <v>15</v>
      </c>
      <c r="R497"/>
      <c r="S497" t="s">
        <v>2678</v>
      </c>
      <c r="T497"/>
      <c r="U497">
        <v>5.6000000000000001E-2</v>
      </c>
      <c r="V497">
        <v>7.8E-2</v>
      </c>
      <c r="W497">
        <v>8.8000000000000007</v>
      </c>
      <c r="X497">
        <v>8.8000000000000007</v>
      </c>
      <c r="Y497">
        <v>4</v>
      </c>
    </row>
    <row r="498" spans="1:25" ht="60" customHeight="1" x14ac:dyDescent="0.25">
      <c r="A498"/>
      <c r="B498" t="s">
        <v>5</v>
      </c>
      <c r="C498" t="s">
        <v>3374</v>
      </c>
      <c r="D498" t="s">
        <v>643</v>
      </c>
      <c r="E498" t="s">
        <v>1344</v>
      </c>
      <c r="F498" t="s">
        <v>1345</v>
      </c>
      <c r="G498" t="s">
        <v>668</v>
      </c>
      <c r="H498" s="30">
        <v>25.58</v>
      </c>
      <c r="I498" s="29">
        <f>H498*(1-IFERROR(VLOOKUP(G498,Rabat!$D$10:$E$41,2,FALSE),0))</f>
        <v>25.58</v>
      </c>
      <c r="J498" t="s">
        <v>1902</v>
      </c>
      <c r="K498" t="s">
        <v>372</v>
      </c>
      <c r="L498" t="s">
        <v>1901</v>
      </c>
      <c r="M498">
        <v>100</v>
      </c>
      <c r="N498">
        <v>3200</v>
      </c>
      <c r="O498" t="s">
        <v>3434</v>
      </c>
      <c r="P498" s="31" t="str">
        <f>HYPERLINK("https://b2b.kobi.pl/pl/product/10413,pierscien-ozdobny-oh29-czarny-kobi?currency=PLN")</f>
        <v>https://b2b.kobi.pl/pl/product/10413,pierscien-ozdobny-oh29-czarny-kobi?currency=PLN</v>
      </c>
      <c r="Q498" t="s">
        <v>15</v>
      </c>
      <c r="R498"/>
      <c r="S498" t="s">
        <v>2678</v>
      </c>
      <c r="T498"/>
      <c r="U498">
        <v>5.6000000000000001E-2</v>
      </c>
      <c r="V498">
        <v>7.8E-2</v>
      </c>
      <c r="W498">
        <v>8.8000000000000007</v>
      </c>
      <c r="X498">
        <v>8.8000000000000007</v>
      </c>
      <c r="Y498">
        <v>4</v>
      </c>
    </row>
    <row r="499" spans="1:25" ht="60" customHeight="1" x14ac:dyDescent="0.25">
      <c r="A499"/>
      <c r="B499" t="s">
        <v>5</v>
      </c>
      <c r="C499" t="s">
        <v>3374</v>
      </c>
      <c r="D499" t="s">
        <v>643</v>
      </c>
      <c r="E499" t="s">
        <v>1346</v>
      </c>
      <c r="F499" t="s">
        <v>1347</v>
      </c>
      <c r="G499" t="s">
        <v>668</v>
      </c>
      <c r="H499" s="30">
        <v>25.58</v>
      </c>
      <c r="I499" s="29">
        <f>H499*(1-IFERROR(VLOOKUP(G499,Rabat!$D$10:$E$41,2,FALSE),0))</f>
        <v>25.58</v>
      </c>
      <c r="J499" t="s">
        <v>1902</v>
      </c>
      <c r="K499" t="s">
        <v>373</v>
      </c>
      <c r="L499" t="s">
        <v>1901</v>
      </c>
      <c r="M499">
        <v>100</v>
      </c>
      <c r="N499">
        <v>4000</v>
      </c>
      <c r="O499" t="s">
        <v>3434</v>
      </c>
      <c r="P499" s="31" t="str">
        <f>HYPERLINK("https://b2b.kobi.pl/pl/product/10414,pierscien-ozdobny-oh29-mat-bialy-kobi?currency=PLN")</f>
        <v>https://b2b.kobi.pl/pl/product/10414,pierscien-ozdobny-oh29-mat-bialy-kobi?currency=PLN</v>
      </c>
      <c r="Q499" t="s">
        <v>15</v>
      </c>
      <c r="R499"/>
      <c r="S499" t="s">
        <v>2678</v>
      </c>
      <c r="T499"/>
      <c r="U499">
        <v>5.6000000000000001E-2</v>
      </c>
      <c r="V499">
        <v>7.8E-2</v>
      </c>
      <c r="W499">
        <v>8.8000000000000007</v>
      </c>
      <c r="X499">
        <v>8.8000000000000007</v>
      </c>
      <c r="Y499">
        <v>4</v>
      </c>
    </row>
    <row r="500" spans="1:25" ht="60" customHeight="1" x14ac:dyDescent="0.25">
      <c r="A500"/>
      <c r="B500" t="s">
        <v>5</v>
      </c>
      <c r="C500" t="s">
        <v>3374</v>
      </c>
      <c r="D500" t="s">
        <v>643</v>
      </c>
      <c r="E500" t="s">
        <v>1348</v>
      </c>
      <c r="F500" t="s">
        <v>1349</v>
      </c>
      <c r="G500" t="s">
        <v>668</v>
      </c>
      <c r="H500" s="30">
        <v>25.58</v>
      </c>
      <c r="I500" s="29">
        <f>H500*(1-IFERROR(VLOOKUP(G500,Rabat!$D$10:$E$41,2,FALSE),0))</f>
        <v>25.58</v>
      </c>
      <c r="J500" t="s">
        <v>1902</v>
      </c>
      <c r="K500" t="s">
        <v>374</v>
      </c>
      <c r="L500" t="s">
        <v>1901</v>
      </c>
      <c r="M500">
        <v>100</v>
      </c>
      <c r="N500">
        <v>3200</v>
      </c>
      <c r="O500" t="s">
        <v>3434</v>
      </c>
      <c r="P500" s="31" t="str">
        <f>HYPERLINK("https://b2b.kobi.pl/pl/product/10415,pierscien-ozdobny-oh29-mat-czarny-kobi?currency=PLN")</f>
        <v>https://b2b.kobi.pl/pl/product/10415,pierscien-ozdobny-oh29-mat-czarny-kobi?currency=PLN</v>
      </c>
      <c r="Q500" t="s">
        <v>15</v>
      </c>
      <c r="R500"/>
      <c r="S500" t="s">
        <v>2678</v>
      </c>
      <c r="T500"/>
      <c r="U500">
        <v>5.6000000000000001E-2</v>
      </c>
      <c r="V500">
        <v>7.8E-2</v>
      </c>
      <c r="W500">
        <v>8.8000000000000007</v>
      </c>
      <c r="X500">
        <v>8.8000000000000007</v>
      </c>
      <c r="Y500">
        <v>4</v>
      </c>
    </row>
    <row r="501" spans="1:25" ht="60" customHeight="1" x14ac:dyDescent="0.25">
      <c r="A501"/>
      <c r="B501" t="s">
        <v>5</v>
      </c>
      <c r="C501" t="s">
        <v>3374</v>
      </c>
      <c r="D501" t="s">
        <v>643</v>
      </c>
      <c r="E501" t="s">
        <v>1352</v>
      </c>
      <c r="F501" t="s">
        <v>1353</v>
      </c>
      <c r="G501" t="s">
        <v>668</v>
      </c>
      <c r="H501" s="30">
        <v>22.07</v>
      </c>
      <c r="I501" s="29">
        <f>H501*(1-IFERROR(VLOOKUP(G501,Rabat!$D$10:$E$41,2,FALSE),0))</f>
        <v>22.07</v>
      </c>
      <c r="J501" t="s">
        <v>1902</v>
      </c>
      <c r="K501" t="s">
        <v>358</v>
      </c>
      <c r="L501" t="s">
        <v>1901</v>
      </c>
      <c r="M501">
        <v>50</v>
      </c>
      <c r="N501">
        <v>2000</v>
      </c>
      <c r="O501" t="s">
        <v>3434</v>
      </c>
      <c r="P501" s="31" t="str">
        <f>HYPERLINK("https://b2b.kobi.pl/pl/product/10420,pierscien-ozdobny-oh34-ip44-chrom-kobi?currency=PLN")</f>
        <v>https://b2b.kobi.pl/pl/product/10420,pierscien-ozdobny-oh34-ip44-chrom-kobi?currency=PLN</v>
      </c>
      <c r="Q501" t="s">
        <v>15</v>
      </c>
      <c r="R501" t="s">
        <v>2035</v>
      </c>
      <c r="S501" t="s">
        <v>2678</v>
      </c>
      <c r="T501"/>
      <c r="U501">
        <v>0.11899999999999999</v>
      </c>
      <c r="V501">
        <v>0.14399999999999999</v>
      </c>
      <c r="W501">
        <v>8.5</v>
      </c>
      <c r="X501">
        <v>8.5</v>
      </c>
      <c r="Y501">
        <v>5</v>
      </c>
    </row>
    <row r="502" spans="1:25" ht="60" customHeight="1" x14ac:dyDescent="0.25">
      <c r="A502"/>
      <c r="B502" t="s">
        <v>5</v>
      </c>
      <c r="C502" t="s">
        <v>3374</v>
      </c>
      <c r="D502" t="s">
        <v>643</v>
      </c>
      <c r="E502" t="s">
        <v>1354</v>
      </c>
      <c r="F502" t="s">
        <v>1355</v>
      </c>
      <c r="G502" t="s">
        <v>668</v>
      </c>
      <c r="H502" s="30">
        <v>22.07</v>
      </c>
      <c r="I502" s="29">
        <f>H502*(1-IFERROR(VLOOKUP(G502,Rabat!$D$10:$E$41,2,FALSE),0))</f>
        <v>22.07</v>
      </c>
      <c r="J502" t="s">
        <v>1902</v>
      </c>
      <c r="K502" t="s">
        <v>359</v>
      </c>
      <c r="L502" t="s">
        <v>1901</v>
      </c>
      <c r="M502">
        <v>50</v>
      </c>
      <c r="N502">
        <v>2000</v>
      </c>
      <c r="O502" t="s">
        <v>3434</v>
      </c>
      <c r="P502" s="31" t="str">
        <f>HYPERLINK("https://b2b.kobi.pl/pl/product/10422,pierscien-ozdobny-oh34-ip44-mat-czarny-kobi?currency=PLN")</f>
        <v>https://b2b.kobi.pl/pl/product/10422,pierscien-ozdobny-oh34-ip44-mat-czarny-kobi?currency=PLN</v>
      </c>
      <c r="Q502" t="s">
        <v>15</v>
      </c>
      <c r="R502"/>
      <c r="S502" t="s">
        <v>2678</v>
      </c>
      <c r="T502"/>
      <c r="U502">
        <v>0.11899999999999999</v>
      </c>
      <c r="V502">
        <v>0.14399999999999999</v>
      </c>
      <c r="W502">
        <v>8.5</v>
      </c>
      <c r="X502">
        <v>8.5</v>
      </c>
      <c r="Y502">
        <v>5</v>
      </c>
    </row>
    <row r="503" spans="1:25" ht="60" customHeight="1" x14ac:dyDescent="0.25">
      <c r="A503"/>
      <c r="B503" t="s">
        <v>5</v>
      </c>
      <c r="C503" t="s">
        <v>3374</v>
      </c>
      <c r="D503" t="s">
        <v>643</v>
      </c>
      <c r="E503" t="s">
        <v>666</v>
      </c>
      <c r="F503" t="s">
        <v>667</v>
      </c>
      <c r="G503" t="s">
        <v>668</v>
      </c>
      <c r="H503" s="30">
        <v>27.78</v>
      </c>
      <c r="I503" s="29">
        <f>H503*(1-IFERROR(VLOOKUP(G503,Rabat!$D$10:$E$41,2,FALSE),0))</f>
        <v>27.78</v>
      </c>
      <c r="J503" t="s">
        <v>1903</v>
      </c>
      <c r="K503" t="s">
        <v>375</v>
      </c>
      <c r="L503" t="s">
        <v>1901</v>
      </c>
      <c r="M503">
        <v>50</v>
      </c>
      <c r="N503">
        <v>2850</v>
      </c>
      <c r="O503" t="s">
        <v>3434</v>
      </c>
      <c r="P503" s="31" t="str">
        <f>HYPERLINK("https://b2b.kobi.pl/pl/product/10465,downlight-led-halo-5w-3000k-kobi?currency=PLN")</f>
        <v>https://b2b.kobi.pl/pl/product/10465,downlight-led-halo-5w-3000k-kobi?currency=PLN</v>
      </c>
      <c r="Q503" s="31" t="str">
        <f>HYPERLINK("https://eprel.ec.europa.eu/qr/807386")</f>
        <v>https://eprel.ec.europa.eu/qr/807386</v>
      </c>
      <c r="R503"/>
      <c r="S503" t="s">
        <v>2711</v>
      </c>
      <c r="T503"/>
      <c r="U503">
        <v>8.7999999999999995E-2</v>
      </c>
      <c r="V503">
        <v>0.107</v>
      </c>
      <c r="W503">
        <v>8.5</v>
      </c>
      <c r="X503">
        <v>4.5</v>
      </c>
      <c r="Y503">
        <v>8.5</v>
      </c>
    </row>
    <row r="504" spans="1:25" ht="60" customHeight="1" x14ac:dyDescent="0.25">
      <c r="A504"/>
      <c r="B504" t="s">
        <v>5</v>
      </c>
      <c r="C504" t="s">
        <v>3374</v>
      </c>
      <c r="D504" t="s">
        <v>643</v>
      </c>
      <c r="E504" t="s">
        <v>669</v>
      </c>
      <c r="F504" t="s">
        <v>670</v>
      </c>
      <c r="G504" t="s">
        <v>668</v>
      </c>
      <c r="H504" s="30">
        <v>27.78</v>
      </c>
      <c r="I504" s="29">
        <f>H504*(1-IFERROR(VLOOKUP(G504,Rabat!$D$10:$E$41,2,FALSE),0))</f>
        <v>27.78</v>
      </c>
      <c r="J504" t="s">
        <v>1903</v>
      </c>
      <c r="K504" t="s">
        <v>376</v>
      </c>
      <c r="L504" t="s">
        <v>1901</v>
      </c>
      <c r="M504">
        <v>50</v>
      </c>
      <c r="N504">
        <v>2850</v>
      </c>
      <c r="O504" t="s">
        <v>3434</v>
      </c>
      <c r="P504" s="31" t="str">
        <f>HYPERLINK("https://b2b.kobi.pl/pl/product/10466,downlight-led-halo-5w-4000k-kobi?currency=PLN")</f>
        <v>https://b2b.kobi.pl/pl/product/10466,downlight-led-halo-5w-4000k-kobi?currency=PLN</v>
      </c>
      <c r="Q504" s="31" t="str">
        <f>HYPERLINK("https://eprel.ec.europa.eu/qr/807424")</f>
        <v>https://eprel.ec.europa.eu/qr/807424</v>
      </c>
      <c r="R504"/>
      <c r="S504" t="s">
        <v>2711</v>
      </c>
      <c r="T504"/>
      <c r="U504">
        <v>8.7999999999999995E-2</v>
      </c>
      <c r="V504">
        <v>0.107</v>
      </c>
      <c r="W504">
        <v>8.5</v>
      </c>
      <c r="X504">
        <v>8.5</v>
      </c>
      <c r="Y504">
        <v>4.5</v>
      </c>
    </row>
    <row r="505" spans="1:25" ht="60" customHeight="1" x14ac:dyDescent="0.25">
      <c r="A505"/>
      <c r="B505" t="s">
        <v>5</v>
      </c>
      <c r="C505" t="s">
        <v>3374</v>
      </c>
      <c r="D505" t="s">
        <v>643</v>
      </c>
      <c r="E505" t="s">
        <v>1360</v>
      </c>
      <c r="F505" t="s">
        <v>1361</v>
      </c>
      <c r="G505" t="s">
        <v>668</v>
      </c>
      <c r="H505" s="30">
        <v>29.78</v>
      </c>
      <c r="I505" s="29">
        <f>H505*(1-IFERROR(VLOOKUP(G505,Rabat!$D$10:$E$41,2,FALSE),0))</f>
        <v>29.78</v>
      </c>
      <c r="J505" t="s">
        <v>1902</v>
      </c>
      <c r="K505" t="s">
        <v>1955</v>
      </c>
      <c r="L505" t="s">
        <v>1901</v>
      </c>
      <c r="M505">
        <v>50</v>
      </c>
      <c r="N505"/>
      <c r="O505" t="s">
        <v>3434</v>
      </c>
      <c r="P505" s="31" t="str">
        <f>HYPERLINK("https://b2b.kobi.pl/pl/product/10453,pierscien-ozdobny-oh50-czarny-kobi?currency=PLN")</f>
        <v>https://b2b.kobi.pl/pl/product/10453,pierscien-ozdobny-oh50-czarny-kobi?currency=PLN</v>
      </c>
      <c r="Q505" t="s">
        <v>15</v>
      </c>
      <c r="R505" t="s">
        <v>2035</v>
      </c>
      <c r="S505" t="s">
        <v>2710</v>
      </c>
      <c r="T505"/>
      <c r="U505">
        <v>0.114</v>
      </c>
      <c r="V505">
        <v>0.14000000000000001</v>
      </c>
      <c r="W505">
        <v>10.5</v>
      </c>
      <c r="X505">
        <v>10.5</v>
      </c>
      <c r="Y505">
        <v>3</v>
      </c>
    </row>
    <row r="506" spans="1:25" ht="60" customHeight="1" x14ac:dyDescent="0.25">
      <c r="A506"/>
      <c r="B506" t="s">
        <v>5</v>
      </c>
      <c r="C506" t="s">
        <v>3374</v>
      </c>
      <c r="D506" t="s">
        <v>643</v>
      </c>
      <c r="E506" t="s">
        <v>1364</v>
      </c>
      <c r="F506" t="s">
        <v>1365</v>
      </c>
      <c r="G506" t="s">
        <v>668</v>
      </c>
      <c r="H506" s="30">
        <v>22</v>
      </c>
      <c r="I506" s="29">
        <f>H506*(1-IFERROR(VLOOKUP(G506,Rabat!$D$10:$E$41,2,FALSE),0))</f>
        <v>22</v>
      </c>
      <c r="J506" t="s">
        <v>1902</v>
      </c>
      <c r="K506" t="s">
        <v>360</v>
      </c>
      <c r="L506" t="s">
        <v>1901</v>
      </c>
      <c r="M506">
        <v>50</v>
      </c>
      <c r="N506"/>
      <c r="O506" t="s">
        <v>3434</v>
      </c>
      <c r="P506" s="31" t="str">
        <f>HYPERLINK("https://b2b.kobi.pl/pl/product/10454,pierscien-ozdobny-oh51-przezroczysty-kobi?currency=PLN")</f>
        <v>https://b2b.kobi.pl/pl/product/10454,pierscien-ozdobny-oh51-przezroczysty-kobi?currency=PLN</v>
      </c>
      <c r="Q506" t="s">
        <v>15</v>
      </c>
      <c r="R506" t="s">
        <v>2035</v>
      </c>
      <c r="S506" t="s">
        <v>2710</v>
      </c>
      <c r="T506"/>
      <c r="U506">
        <v>0.14099999999999999</v>
      </c>
      <c r="V506">
        <v>0.17</v>
      </c>
      <c r="W506">
        <v>10.5</v>
      </c>
      <c r="X506">
        <v>10.5</v>
      </c>
      <c r="Y506">
        <v>3</v>
      </c>
    </row>
    <row r="507" spans="1:25" ht="60" customHeight="1" x14ac:dyDescent="0.25">
      <c r="A507"/>
      <c r="B507" t="s">
        <v>5</v>
      </c>
      <c r="C507" t="s">
        <v>3374</v>
      </c>
      <c r="D507" t="s">
        <v>643</v>
      </c>
      <c r="E507" t="s">
        <v>1350</v>
      </c>
      <c r="F507" t="s">
        <v>1351</v>
      </c>
      <c r="G507" t="s">
        <v>668</v>
      </c>
      <c r="H507" s="30">
        <v>22</v>
      </c>
      <c r="I507" s="29">
        <f>H507*(1-IFERROR(VLOOKUP(G507,Rabat!$D$10:$E$41,2,FALSE),0))</f>
        <v>22</v>
      </c>
      <c r="J507" t="s">
        <v>1902</v>
      </c>
      <c r="K507" t="s">
        <v>1953</v>
      </c>
      <c r="L507" t="s">
        <v>1901</v>
      </c>
      <c r="M507">
        <v>100</v>
      </c>
      <c r="N507"/>
      <c r="O507" t="s">
        <v>3434</v>
      </c>
      <c r="P507" s="31" t="str">
        <f>HYPERLINK("https://b2b.kobi.pl/pl/product/10418,oprawka-halogenowa-oh33-bialy-kobi?currency=PLN")</f>
        <v>https://b2b.kobi.pl/pl/product/10418,oprawka-halogenowa-oh33-bialy-kobi?currency=PLN</v>
      </c>
      <c r="Q507" t="s">
        <v>15</v>
      </c>
      <c r="R507" t="s">
        <v>2035</v>
      </c>
      <c r="S507" t="s">
        <v>2678</v>
      </c>
      <c r="T507"/>
      <c r="U507">
        <v>0.05</v>
      </c>
      <c r="V507">
        <v>5.5E-2</v>
      </c>
      <c r="W507">
        <v>0</v>
      </c>
      <c r="X507">
        <v>0</v>
      </c>
      <c r="Y507">
        <v>0</v>
      </c>
    </row>
    <row r="508" spans="1:25" ht="60" customHeight="1" x14ac:dyDescent="0.25">
      <c r="A508"/>
      <c r="B508" t="s">
        <v>5</v>
      </c>
      <c r="C508" t="s">
        <v>3374</v>
      </c>
      <c r="D508" t="s">
        <v>643</v>
      </c>
      <c r="E508" t="s">
        <v>1871</v>
      </c>
      <c r="F508" t="s">
        <v>1872</v>
      </c>
      <c r="G508" t="s">
        <v>668</v>
      </c>
      <c r="H508" s="30">
        <v>61.4</v>
      </c>
      <c r="I508" s="29">
        <f>H508*(1-IFERROR(VLOOKUP(G508,Rabat!$D$10:$E$41,2,FALSE),0))</f>
        <v>61.4</v>
      </c>
      <c r="J508" t="s">
        <v>1902</v>
      </c>
      <c r="K508" t="s">
        <v>344</v>
      </c>
      <c r="L508" t="s">
        <v>1901</v>
      </c>
      <c r="M508">
        <v>20</v>
      </c>
      <c r="N508">
        <v>420</v>
      </c>
      <c r="O508" t="s">
        <v>3434</v>
      </c>
      <c r="P508" s="31" t="str">
        <f>HYPERLINK("https://b2b.kobi.pl/pl/product/10528,oprawa-sufitowa-nuuk-pt-1xgu10-bialy-kobi?currency=PLN")</f>
        <v>https://b2b.kobi.pl/pl/product/10528,oprawa-sufitowa-nuuk-pt-1xgu10-bialy-kobi?currency=PLN</v>
      </c>
      <c r="Q508" t="s">
        <v>15</v>
      </c>
      <c r="R508" t="s">
        <v>2035</v>
      </c>
      <c r="S508" t="s">
        <v>2706</v>
      </c>
      <c r="T508"/>
      <c r="U508">
        <v>0.27600000000000002</v>
      </c>
      <c r="V508">
        <v>0.34</v>
      </c>
      <c r="W508">
        <v>14.5</v>
      </c>
      <c r="X508">
        <v>14.5</v>
      </c>
      <c r="Y508">
        <v>9.3000000000000007</v>
      </c>
    </row>
    <row r="509" spans="1:25" ht="60" customHeight="1" x14ac:dyDescent="0.25">
      <c r="A509"/>
      <c r="B509" t="s">
        <v>5</v>
      </c>
      <c r="C509" t="s">
        <v>3374</v>
      </c>
      <c r="D509" t="s">
        <v>1827</v>
      </c>
      <c r="E509" t="s">
        <v>1828</v>
      </c>
      <c r="F509" t="s">
        <v>1829</v>
      </c>
      <c r="G509" t="s">
        <v>668</v>
      </c>
      <c r="H509" s="30">
        <v>9.9</v>
      </c>
      <c r="I509" s="29">
        <f>H509*(1-IFERROR(VLOOKUP(G509,Rabat!$D$10:$E$41,2,FALSE),0))</f>
        <v>9.9</v>
      </c>
      <c r="J509" t="s">
        <v>1902</v>
      </c>
      <c r="K509" t="s">
        <v>1992</v>
      </c>
      <c r="L509" t="s">
        <v>1901</v>
      </c>
      <c r="M509">
        <v>100</v>
      </c>
      <c r="N509"/>
      <c r="O509" t="s">
        <v>3434</v>
      </c>
      <c r="P509" s="31" t="str">
        <f>HYPERLINK("https://b2b.kobi.pl/pl/product/9204,pierscien-ozdobny-chrom-decoro-c-0001r?currency=PLN")</f>
        <v>https://b2b.kobi.pl/pl/product/9204,pierscien-ozdobny-chrom-decoro-c-0001r?currency=PLN</v>
      </c>
      <c r="Q509" t="s">
        <v>15</v>
      </c>
      <c r="R509" t="s">
        <v>2035</v>
      </c>
      <c r="S509" t="s">
        <v>2706</v>
      </c>
      <c r="T509"/>
      <c r="U509">
        <v>0.06</v>
      </c>
      <c r="V509">
        <v>6.6000000000000003E-2</v>
      </c>
      <c r="W509">
        <v>0</v>
      </c>
      <c r="X509">
        <v>0</v>
      </c>
      <c r="Y509">
        <v>0</v>
      </c>
    </row>
    <row r="510" spans="1:25" ht="60" customHeight="1" x14ac:dyDescent="0.25">
      <c r="A510"/>
      <c r="B510" t="s">
        <v>5</v>
      </c>
      <c r="C510" t="s">
        <v>3374</v>
      </c>
      <c r="D510" t="s">
        <v>1827</v>
      </c>
      <c r="E510" t="s">
        <v>1865</v>
      </c>
      <c r="F510" t="s">
        <v>1866</v>
      </c>
      <c r="G510" t="s">
        <v>668</v>
      </c>
      <c r="H510" s="30">
        <v>9.35</v>
      </c>
      <c r="I510" s="29">
        <f>H510*(1-IFERROR(VLOOKUP(G510,Rabat!$D$10:$E$41,2,FALSE),0))</f>
        <v>9.35</v>
      </c>
      <c r="J510" t="s">
        <v>1902</v>
      </c>
      <c r="K510" t="s">
        <v>2012</v>
      </c>
      <c r="L510" t="s">
        <v>1901</v>
      </c>
      <c r="M510">
        <v>30</v>
      </c>
      <c r="N510"/>
      <c r="O510" t="s">
        <v>3434</v>
      </c>
      <c r="P510" s="31" t="str">
        <f>HYPERLINK("https://b2b.kobi.pl/pl/product/10359,downlight-esf-001-r-1xgu10-mat-chrom-jvs?currency=PLN")</f>
        <v>https://b2b.kobi.pl/pl/product/10359,downlight-esf-001-r-1xgu10-mat-chrom-jvs?currency=PLN</v>
      </c>
      <c r="Q510" t="s">
        <v>15</v>
      </c>
      <c r="R510" t="s">
        <v>2035</v>
      </c>
      <c r="S510" t="s">
        <v>2706</v>
      </c>
      <c r="T510"/>
      <c r="U510">
        <v>0.04</v>
      </c>
      <c r="V510">
        <v>4.3999999999999997E-2</v>
      </c>
      <c r="W510">
        <v>0</v>
      </c>
      <c r="X510">
        <v>0</v>
      </c>
      <c r="Y510">
        <v>0</v>
      </c>
    </row>
    <row r="511" spans="1:25" ht="60" customHeight="1" x14ac:dyDescent="0.25">
      <c r="A511"/>
      <c r="B511" t="s">
        <v>4</v>
      </c>
      <c r="C511" t="s">
        <v>3373</v>
      </c>
      <c r="D511" t="s">
        <v>599</v>
      </c>
      <c r="E511" t="s">
        <v>1022</v>
      </c>
      <c r="F511" t="s">
        <v>1023</v>
      </c>
      <c r="G511" t="s">
        <v>1024</v>
      </c>
      <c r="H511" s="30">
        <v>886.67</v>
      </c>
      <c r="I511" s="29">
        <f>H511*(1-IFERROR(VLOOKUP(G511,Rabat!$D$10:$E$41,2,FALSE),0))</f>
        <v>886.67</v>
      </c>
      <c r="J511" t="s">
        <v>1907</v>
      </c>
      <c r="K511" t="s">
        <v>245</v>
      </c>
      <c r="L511" t="s">
        <v>1901</v>
      </c>
      <c r="M511">
        <v>4</v>
      </c>
      <c r="N511"/>
      <c r="O511" t="s">
        <v>3436</v>
      </c>
      <c r="P511" s="31" t="str">
        <f>HYPERLINK("https://b2b.kobi.pl/pl/product/9950,oprawa-parkowa-hybrid-led-fusion-14w-4000k-ip65-kobi-pro?currency=PLN")</f>
        <v>https://b2b.kobi.pl/pl/product/9950,oprawa-parkowa-hybrid-led-fusion-14w-4000k-ip65-kobi-pro?currency=PLN</v>
      </c>
      <c r="Q511" s="31" t="str">
        <f>HYPERLINK("https://eprel.ec.europa.eu/qr/1864776")</f>
        <v>https://eprel.ec.europa.eu/qr/1864776</v>
      </c>
      <c r="R511" t="s">
        <v>2035</v>
      </c>
      <c r="S511" t="s">
        <v>2677</v>
      </c>
      <c r="T511"/>
      <c r="U511">
        <v>3.85</v>
      </c>
      <c r="V511">
        <v>4.05</v>
      </c>
      <c r="W511">
        <v>41</v>
      </c>
      <c r="X511">
        <v>38.5</v>
      </c>
      <c r="Y511">
        <v>12</v>
      </c>
    </row>
    <row r="512" spans="1:25" ht="60" customHeight="1" x14ac:dyDescent="0.25">
      <c r="A512"/>
      <c r="B512" t="s">
        <v>4</v>
      </c>
      <c r="C512" t="s">
        <v>3373</v>
      </c>
      <c r="D512" t="s">
        <v>643</v>
      </c>
      <c r="E512" t="s">
        <v>1169</v>
      </c>
      <c r="F512" t="s">
        <v>1170</v>
      </c>
      <c r="G512" t="s">
        <v>1024</v>
      </c>
      <c r="H512" s="30">
        <v>315.56</v>
      </c>
      <c r="I512" s="29">
        <f>H512*(1-IFERROR(VLOOKUP(G512,Rabat!$D$10:$E$41,2,FALSE),0))</f>
        <v>315.56</v>
      </c>
      <c r="J512" t="s">
        <v>1902</v>
      </c>
      <c r="K512" t="s">
        <v>228</v>
      </c>
      <c r="L512" t="s">
        <v>1901</v>
      </c>
      <c r="M512">
        <v>6</v>
      </c>
      <c r="N512">
        <v>72</v>
      </c>
      <c r="O512" t="s">
        <v>3434</v>
      </c>
      <c r="P512" s="31" t="str">
        <f>HYPERLINK("https://b2b.kobi.pl/pl/product/10156,oprawa-drogowa-z-czujnikiem-ruchu-solar-led-street-15w-4000k-ip65-kobi?currency=PLN")</f>
        <v>https://b2b.kobi.pl/pl/product/10156,oprawa-drogowa-z-czujnikiem-ruchu-solar-led-street-15w-4000k-ip65-kobi?currency=PLN</v>
      </c>
      <c r="Q512" t="s">
        <v>15</v>
      </c>
      <c r="R512" t="s">
        <v>2035</v>
      </c>
      <c r="S512" t="s">
        <v>2712</v>
      </c>
      <c r="T512"/>
      <c r="U512">
        <v>2.2109999999999999</v>
      </c>
      <c r="V512">
        <v>2.4500000000000002</v>
      </c>
      <c r="W512">
        <v>29</v>
      </c>
      <c r="X512">
        <v>8.5</v>
      </c>
      <c r="Y512">
        <v>51.5</v>
      </c>
    </row>
    <row r="513" spans="1:25" ht="60" customHeight="1" x14ac:dyDescent="0.25">
      <c r="A513"/>
      <c r="B513" t="s">
        <v>4</v>
      </c>
      <c r="C513" t="s">
        <v>3373</v>
      </c>
      <c r="D513" t="s">
        <v>631</v>
      </c>
      <c r="E513" t="s">
        <v>3387</v>
      </c>
      <c r="F513" t="s">
        <v>3388</v>
      </c>
      <c r="G513" t="s">
        <v>1024</v>
      </c>
      <c r="H513" s="30">
        <v>315</v>
      </c>
      <c r="I513" s="29">
        <f>H513*(1-IFERROR(VLOOKUP(G513,Rabat!$D$10:$E$41,2,FALSE),0))</f>
        <v>315</v>
      </c>
      <c r="J513" t="s">
        <v>1902</v>
      </c>
      <c r="K513" t="s">
        <v>3403</v>
      </c>
      <c r="L513" t="s">
        <v>1901</v>
      </c>
      <c r="M513">
        <v>8</v>
      </c>
      <c r="N513">
        <v>96</v>
      </c>
      <c r="O513" t="s">
        <v>3435</v>
      </c>
      <c r="P513" s="31" t="str">
        <f>HYPERLINK("https://b2b.kobi.pl/pl/product/13065,oprawa-drogowa-solar-led-street-20w-3cct-ip65-kobi-premium?currency=PLN")</f>
        <v>https://b2b.kobi.pl/pl/product/13065,oprawa-drogowa-solar-led-street-20w-3cct-ip65-kobi-premium?currency=PLN</v>
      </c>
      <c r="Q513" t="s">
        <v>15</v>
      </c>
      <c r="R513"/>
      <c r="S513" t="s">
        <v>2713</v>
      </c>
      <c r="T513"/>
      <c r="U513">
        <v>1.63</v>
      </c>
      <c r="V513">
        <v>2.4</v>
      </c>
      <c r="W513">
        <v>29</v>
      </c>
      <c r="X513">
        <v>8.5</v>
      </c>
      <c r="Y513">
        <v>51.5</v>
      </c>
    </row>
    <row r="514" spans="1:25" ht="60" customHeight="1" x14ac:dyDescent="0.25">
      <c r="A514"/>
      <c r="B514" t="s">
        <v>4</v>
      </c>
      <c r="C514" t="s">
        <v>3373</v>
      </c>
      <c r="D514" t="s">
        <v>631</v>
      </c>
      <c r="E514" t="s">
        <v>1218</v>
      </c>
      <c r="F514" t="s">
        <v>1219</v>
      </c>
      <c r="G514" t="s">
        <v>1024</v>
      </c>
      <c r="H514" s="30">
        <v>666.44</v>
      </c>
      <c r="I514" s="29">
        <f>H514*(1-IFERROR(VLOOKUP(G514,Rabat!$D$10:$E$41,2,FALSE),0))</f>
        <v>666.44</v>
      </c>
      <c r="J514" t="s">
        <v>1902</v>
      </c>
      <c r="K514" t="s">
        <v>1944</v>
      </c>
      <c r="L514" t="s">
        <v>1901</v>
      </c>
      <c r="M514">
        <v>4</v>
      </c>
      <c r="N514"/>
      <c r="O514" t="s">
        <v>3435</v>
      </c>
      <c r="P514" s="31" t="str">
        <f>HYPERLINK("https://b2b.kobi.pl/pl/product/10157,oprawa-drogowa-z-czujnikiem-ruchu-solar-led-street-30w-2cct-ip65-kobi-premium?currency=PLN")</f>
        <v>https://b2b.kobi.pl/pl/product/10157,oprawa-drogowa-z-czujnikiem-ruchu-solar-led-street-30w-2cct-ip65-kobi-premium?currency=PLN</v>
      </c>
      <c r="Q514" t="s">
        <v>15</v>
      </c>
      <c r="R514"/>
      <c r="S514" t="s">
        <v>2712</v>
      </c>
      <c r="T514"/>
      <c r="U514">
        <v>2.8180000000000001</v>
      </c>
      <c r="V514">
        <v>3.77</v>
      </c>
      <c r="W514">
        <v>64.2</v>
      </c>
      <c r="X514">
        <v>21</v>
      </c>
      <c r="Y514">
        <v>13.5</v>
      </c>
    </row>
    <row r="515" spans="1:25" ht="60" customHeight="1" x14ac:dyDescent="0.25">
      <c r="A515"/>
      <c r="B515" t="s">
        <v>4</v>
      </c>
      <c r="C515" t="s">
        <v>3376</v>
      </c>
      <c r="D515" t="s">
        <v>599</v>
      </c>
      <c r="E515" t="s">
        <v>603</v>
      </c>
      <c r="F515" t="s">
        <v>604</v>
      </c>
      <c r="G515" t="s">
        <v>605</v>
      </c>
      <c r="H515" s="30">
        <v>133.33000000000001</v>
      </c>
      <c r="I515" s="29">
        <f>H515*(1-IFERROR(VLOOKUP(G515,Rabat!$D$10:$E$41,2,FALSE),0))</f>
        <v>133.33000000000001</v>
      </c>
      <c r="J515" t="s">
        <v>1903</v>
      </c>
      <c r="K515" t="s">
        <v>258</v>
      </c>
      <c r="L515" t="s">
        <v>1901</v>
      </c>
      <c r="M515">
        <v>10</v>
      </c>
      <c r="N515">
        <v>200</v>
      </c>
      <c r="O515" t="s">
        <v>3436</v>
      </c>
      <c r="P515" s="31" t="str">
        <f>HYPERLINK("https://b2b.kobi.pl/pl/product/8409,plafon-led-numos-7w-4000k-lx-ip65-kobi-pro?currency=PLN")</f>
        <v>https://b2b.kobi.pl/pl/product/8409,plafon-led-numos-7w-4000k-lx-ip65-kobi-pro?currency=PLN</v>
      </c>
      <c r="Q515" s="31" t="str">
        <f>HYPERLINK("https://eprel.ec.europa.eu/qr/1057273")</f>
        <v>https://eprel.ec.europa.eu/qr/1057273</v>
      </c>
      <c r="R515" t="s">
        <v>2035</v>
      </c>
      <c r="S515" t="s">
        <v>2675</v>
      </c>
      <c r="T515"/>
      <c r="U515">
        <v>0.70099999999999996</v>
      </c>
      <c r="V515">
        <v>0.74</v>
      </c>
      <c r="W515">
        <v>30.5</v>
      </c>
      <c r="X515">
        <v>6.5</v>
      </c>
      <c r="Y515">
        <v>21</v>
      </c>
    </row>
    <row r="516" spans="1:25" ht="60" customHeight="1" x14ac:dyDescent="0.25">
      <c r="A516"/>
      <c r="B516" t="s">
        <v>4</v>
      </c>
      <c r="C516" t="s">
        <v>3376</v>
      </c>
      <c r="D516" t="s">
        <v>599</v>
      </c>
      <c r="E516" t="s">
        <v>3310</v>
      </c>
      <c r="F516" t="s">
        <v>3311</v>
      </c>
      <c r="G516" t="s">
        <v>605</v>
      </c>
      <c r="H516" s="30">
        <v>129</v>
      </c>
      <c r="I516" s="29">
        <f>H516*(1-IFERROR(VLOOKUP(G516,Rabat!$D$10:$E$41,2,FALSE),0))</f>
        <v>129</v>
      </c>
      <c r="J516" t="s">
        <v>1907</v>
      </c>
      <c r="K516" t="s">
        <v>3347</v>
      </c>
      <c r="L516" t="s">
        <v>1901</v>
      </c>
      <c r="M516">
        <v>10</v>
      </c>
      <c r="N516">
        <v>250</v>
      </c>
      <c r="O516" t="s">
        <v>3436</v>
      </c>
      <c r="P516" s="31" t="str">
        <f>HYPERLINK("https://b2b.kobi.pl/pl/product/12733,plafon-led-numos-5w-7w-10w-4000k-lx-ip65-kobi-pro?currency=PLN")</f>
        <v>https://b2b.kobi.pl/pl/product/12733,plafon-led-numos-5w-7w-10w-4000k-lx-ip65-kobi-pro?currency=PLN</v>
      </c>
      <c r="Q516" s="31" t="str">
        <f>HYPERLINK("https://eprel.ec.europa.eu/qr/2326851")</f>
        <v>https://eprel.ec.europa.eu/qr/2326851</v>
      </c>
      <c r="R516"/>
      <c r="S516" t="s">
        <v>2710</v>
      </c>
      <c r="T516"/>
      <c r="U516">
        <v>0.7</v>
      </c>
      <c r="V516">
        <v>0.87</v>
      </c>
      <c r="W516">
        <v>30.5</v>
      </c>
      <c r="X516">
        <v>6.5</v>
      </c>
      <c r="Y516">
        <v>21</v>
      </c>
    </row>
    <row r="517" spans="1:25" ht="60" customHeight="1" x14ac:dyDescent="0.25">
      <c r="A517"/>
      <c r="B517" t="s">
        <v>4</v>
      </c>
      <c r="C517" t="s">
        <v>3376</v>
      </c>
      <c r="D517" t="s">
        <v>599</v>
      </c>
      <c r="E517" t="s">
        <v>606</v>
      </c>
      <c r="F517" t="s">
        <v>607</v>
      </c>
      <c r="G517" t="s">
        <v>605</v>
      </c>
      <c r="H517" s="30">
        <v>95.56</v>
      </c>
      <c r="I517" s="29">
        <f>H517*(1-IFERROR(VLOOKUP(G517,Rabat!$D$10:$E$41,2,FALSE),0))</f>
        <v>95.56</v>
      </c>
      <c r="J517" t="s">
        <v>1903</v>
      </c>
      <c r="K517" t="s">
        <v>259</v>
      </c>
      <c r="L517" t="s">
        <v>1901</v>
      </c>
      <c r="M517">
        <v>5</v>
      </c>
      <c r="N517">
        <v>250</v>
      </c>
      <c r="O517" t="s">
        <v>3436</v>
      </c>
      <c r="P517" s="31" t="str">
        <f>HYPERLINK("https://b2b.kobi.pl/pl/product/8426,plafon-z-czujnikiem-ruchu-led-orbis-10w-4000k-lx-ip44-kobi-pro?currency=PLN")</f>
        <v>https://b2b.kobi.pl/pl/product/8426,plafon-z-czujnikiem-ruchu-led-orbis-10w-4000k-lx-ip44-kobi-pro?currency=PLN</v>
      </c>
      <c r="Q517" s="31" t="str">
        <f>HYPERLINK("https://eprel.ec.europa.eu/qr/1057303")</f>
        <v>https://eprel.ec.europa.eu/qr/1057303</v>
      </c>
      <c r="R517"/>
      <c r="S517" t="s">
        <v>2675</v>
      </c>
      <c r="T517"/>
      <c r="U517">
        <v>0.51800000000000002</v>
      </c>
      <c r="V517">
        <v>0.55000000000000004</v>
      </c>
      <c r="W517">
        <v>25.6</v>
      </c>
      <c r="X517">
        <v>6.3</v>
      </c>
      <c r="Y517">
        <v>25.6</v>
      </c>
    </row>
    <row r="518" spans="1:25" ht="60" customHeight="1" x14ac:dyDescent="0.25">
      <c r="A518"/>
      <c r="B518" t="s">
        <v>4</v>
      </c>
      <c r="C518" t="s">
        <v>3376</v>
      </c>
      <c r="D518" t="s">
        <v>599</v>
      </c>
      <c r="E518" t="s">
        <v>976</v>
      </c>
      <c r="F518" t="s">
        <v>977</v>
      </c>
      <c r="G518" t="s">
        <v>605</v>
      </c>
      <c r="H518" s="30">
        <v>185</v>
      </c>
      <c r="I518" s="29">
        <f>H518*(1-IFERROR(VLOOKUP(G518,Rabat!$D$10:$E$41,2,FALSE),0))</f>
        <v>185</v>
      </c>
      <c r="J518" t="s">
        <v>1907</v>
      </c>
      <c r="K518" t="s">
        <v>234</v>
      </c>
      <c r="L518" t="s">
        <v>1901</v>
      </c>
      <c r="M518">
        <v>4</v>
      </c>
      <c r="N518">
        <v>100</v>
      </c>
      <c r="O518" t="s">
        <v>3436</v>
      </c>
      <c r="P518" s="31" t="str">
        <f>HYPERLINK("https://b2b.kobi.pl/pl/product/9931,plafon-led-defender-24w-4000k-ip66-kobi-pro?currency=PLN")</f>
        <v>https://b2b.kobi.pl/pl/product/9931,plafon-led-defender-24w-4000k-ip66-kobi-pro?currency=PLN</v>
      </c>
      <c r="Q518" s="31" t="str">
        <f>HYPERLINK("https://eprel.ec.europa.eu/qr/1789311")</f>
        <v>https://eprel.ec.europa.eu/qr/1789311</v>
      </c>
      <c r="R518" t="s">
        <v>2035</v>
      </c>
      <c r="S518" t="s">
        <v>2675</v>
      </c>
      <c r="T518"/>
      <c r="U518">
        <v>0.78700000000000003</v>
      </c>
      <c r="V518">
        <v>0.85</v>
      </c>
      <c r="W518">
        <v>30.1</v>
      </c>
      <c r="X518">
        <v>9.4</v>
      </c>
      <c r="Y518">
        <v>30.1</v>
      </c>
    </row>
    <row r="519" spans="1:25" ht="60" customHeight="1" x14ac:dyDescent="0.25">
      <c r="A519"/>
      <c r="B519" t="s">
        <v>4</v>
      </c>
      <c r="C519" t="s">
        <v>3376</v>
      </c>
      <c r="D519" t="s">
        <v>599</v>
      </c>
      <c r="E519" t="s">
        <v>980</v>
      </c>
      <c r="F519" t="s">
        <v>981</v>
      </c>
      <c r="G519" t="s">
        <v>605</v>
      </c>
      <c r="H519" s="30">
        <v>216</v>
      </c>
      <c r="I519" s="29">
        <f>H519*(1-IFERROR(VLOOKUP(G519,Rabat!$D$10:$E$41,2,FALSE),0))</f>
        <v>216</v>
      </c>
      <c r="J519" t="s">
        <v>1907</v>
      </c>
      <c r="K519" t="s">
        <v>235</v>
      </c>
      <c r="L519" t="s">
        <v>1901</v>
      </c>
      <c r="M519">
        <v>4</v>
      </c>
      <c r="N519">
        <v>120</v>
      </c>
      <c r="O519" t="s">
        <v>3436</v>
      </c>
      <c r="P519" s="31" t="str">
        <f>HYPERLINK("https://b2b.kobi.pl/pl/product/9932,plafon-z-czujnikiem-ruchu-led-defender-18w-4000k-lx-ip66-kobi-pro?currency=PLN")</f>
        <v>https://b2b.kobi.pl/pl/product/9932,plafon-z-czujnikiem-ruchu-led-defender-18w-4000k-lx-ip66-kobi-pro?currency=PLN</v>
      </c>
      <c r="Q519" s="31" t="str">
        <f>HYPERLINK("https://eprel.ec.europa.eu/qr/1789259")</f>
        <v>https://eprel.ec.europa.eu/qr/1789259</v>
      </c>
      <c r="R519" t="s">
        <v>2035</v>
      </c>
      <c r="S519" t="s">
        <v>2675</v>
      </c>
      <c r="T519"/>
      <c r="U519">
        <v>0.82399999999999995</v>
      </c>
      <c r="V519">
        <v>0.9</v>
      </c>
      <c r="W519">
        <v>30.1</v>
      </c>
      <c r="X519">
        <v>9.4</v>
      </c>
      <c r="Y519">
        <v>30.1</v>
      </c>
    </row>
    <row r="520" spans="1:25" ht="60" customHeight="1" x14ac:dyDescent="0.25">
      <c r="A520"/>
      <c r="B520" t="s">
        <v>4</v>
      </c>
      <c r="C520" t="s">
        <v>3376</v>
      </c>
      <c r="D520" t="s">
        <v>599</v>
      </c>
      <c r="E520" t="s">
        <v>984</v>
      </c>
      <c r="F520" t="s">
        <v>985</v>
      </c>
      <c r="G520" t="s">
        <v>605</v>
      </c>
      <c r="H520" s="30">
        <v>224</v>
      </c>
      <c r="I520" s="29">
        <f>H520*(1-IFERROR(VLOOKUP(G520,Rabat!$D$10:$E$41,2,FALSE),0))</f>
        <v>224</v>
      </c>
      <c r="J520" t="s">
        <v>1907</v>
      </c>
      <c r="K520" t="s">
        <v>236</v>
      </c>
      <c r="L520" t="s">
        <v>1901</v>
      </c>
      <c r="M520">
        <v>4</v>
      </c>
      <c r="N520">
        <v>100</v>
      </c>
      <c r="O520" t="s">
        <v>3436</v>
      </c>
      <c r="P520" s="31" t="str">
        <f>HYPERLINK("https://b2b.kobi.pl/pl/product/9933,plafon-z-czujnikiem-ruchu-led-defender-24w-4000k-lx-ip66-kobi-pro?currency=PLN")</f>
        <v>https://b2b.kobi.pl/pl/product/9933,plafon-z-czujnikiem-ruchu-led-defender-24w-4000k-lx-ip66-kobi-pro?currency=PLN</v>
      </c>
      <c r="Q520" s="31" t="str">
        <f>HYPERLINK("https://eprel.ec.europa.eu/qr/1789311")</f>
        <v>https://eprel.ec.europa.eu/qr/1789311</v>
      </c>
      <c r="R520" t="s">
        <v>2035</v>
      </c>
      <c r="S520" t="s">
        <v>2675</v>
      </c>
      <c r="T520"/>
      <c r="U520">
        <v>0.84099999999999997</v>
      </c>
      <c r="V520">
        <v>0.9</v>
      </c>
      <c r="W520">
        <v>30.1</v>
      </c>
      <c r="X520">
        <v>9.4</v>
      </c>
      <c r="Y520">
        <v>30.1</v>
      </c>
    </row>
    <row r="521" spans="1:25" ht="60" customHeight="1" x14ac:dyDescent="0.25">
      <c r="A521"/>
      <c r="B521" t="s">
        <v>4</v>
      </c>
      <c r="C521" t="s">
        <v>3376</v>
      </c>
      <c r="D521" t="s">
        <v>631</v>
      </c>
      <c r="E521" t="s">
        <v>1103</v>
      </c>
      <c r="F521" t="s">
        <v>1104</v>
      </c>
      <c r="G521" t="s">
        <v>605</v>
      </c>
      <c r="H521" s="30">
        <v>68.89</v>
      </c>
      <c r="I521" s="29">
        <f>H521*(1-IFERROR(VLOOKUP(G521,Rabat!$D$10:$E$41,2,FALSE),0))</f>
        <v>68.89</v>
      </c>
      <c r="J521" t="s">
        <v>1902</v>
      </c>
      <c r="K521" t="s">
        <v>506</v>
      </c>
      <c r="L521" t="s">
        <v>1901</v>
      </c>
      <c r="M521">
        <v>20</v>
      </c>
      <c r="N521"/>
      <c r="O521" t="s">
        <v>3435</v>
      </c>
      <c r="P521" s="31" t="str">
        <f>HYPERLINK("https://b2b.kobi.pl/pl/product/10031,plafon-led-nairos-g2-12w-3cct-ip65-bialy-kobi-premium?currency=PLN")</f>
        <v>https://b2b.kobi.pl/pl/product/10031,plafon-led-nairos-g2-12w-3cct-ip65-bialy-kobi-premium?currency=PLN</v>
      </c>
      <c r="Q521" s="31" t="str">
        <f>HYPERLINK("https://eprel.ec.europa.eu/qr/2056899")</f>
        <v>https://eprel.ec.europa.eu/qr/2056899</v>
      </c>
      <c r="R521"/>
      <c r="S521" t="s">
        <v>2675</v>
      </c>
      <c r="T521"/>
      <c r="U521">
        <v>0.4</v>
      </c>
      <c r="V521">
        <v>0.5</v>
      </c>
      <c r="W521">
        <v>21.2</v>
      </c>
      <c r="X521">
        <v>5.6</v>
      </c>
      <c r="Y521">
        <v>21.2</v>
      </c>
    </row>
    <row r="522" spans="1:25" ht="60" customHeight="1" x14ac:dyDescent="0.25">
      <c r="A522"/>
      <c r="B522" t="s">
        <v>4</v>
      </c>
      <c r="C522" t="s">
        <v>3376</v>
      </c>
      <c r="D522" t="s">
        <v>631</v>
      </c>
      <c r="E522" t="s">
        <v>1105</v>
      </c>
      <c r="F522" t="s">
        <v>1106</v>
      </c>
      <c r="G522" t="s">
        <v>605</v>
      </c>
      <c r="H522" s="30">
        <v>68.89</v>
      </c>
      <c r="I522" s="29">
        <f>H522*(1-IFERROR(VLOOKUP(G522,Rabat!$D$10:$E$41,2,FALSE),0))</f>
        <v>68.89</v>
      </c>
      <c r="J522" t="s">
        <v>1902</v>
      </c>
      <c r="K522" t="s">
        <v>507</v>
      </c>
      <c r="L522" t="s">
        <v>1901</v>
      </c>
      <c r="M522">
        <v>20</v>
      </c>
      <c r="N522"/>
      <c r="O522" t="s">
        <v>3435</v>
      </c>
      <c r="P522" s="31" t="str">
        <f>HYPERLINK("https://b2b.kobi.pl/pl/product/10032,plafon-led-nairos-g2-12w-3cct-ip65-czarny-kobi-premium?currency=PLN")</f>
        <v>https://b2b.kobi.pl/pl/product/10032,plafon-led-nairos-g2-12w-3cct-ip65-czarny-kobi-premium?currency=PLN</v>
      </c>
      <c r="Q522" s="31" t="str">
        <f>HYPERLINK("https://eprel.ec.europa.eu/qr/2056899")</f>
        <v>https://eprel.ec.europa.eu/qr/2056899</v>
      </c>
      <c r="R522"/>
      <c r="S522" t="s">
        <v>2675</v>
      </c>
      <c r="T522"/>
      <c r="U522">
        <v>0.4</v>
      </c>
      <c r="V522">
        <v>0.53</v>
      </c>
      <c r="W522">
        <v>21.2</v>
      </c>
      <c r="X522">
        <v>5.6</v>
      </c>
      <c r="Y522">
        <v>21.2</v>
      </c>
    </row>
    <row r="523" spans="1:25" ht="60" customHeight="1" x14ac:dyDescent="0.25">
      <c r="A523"/>
      <c r="B523" t="s">
        <v>4</v>
      </c>
      <c r="C523" t="s">
        <v>3376</v>
      </c>
      <c r="D523" t="s">
        <v>631</v>
      </c>
      <c r="E523" t="s">
        <v>1107</v>
      </c>
      <c r="F523" t="s">
        <v>1108</v>
      </c>
      <c r="G523" t="s">
        <v>605</v>
      </c>
      <c r="H523" s="30">
        <v>106.67</v>
      </c>
      <c r="I523" s="29">
        <f>H523*(1-IFERROR(VLOOKUP(G523,Rabat!$D$10:$E$41,2,FALSE),0))</f>
        <v>106.67</v>
      </c>
      <c r="J523" t="s">
        <v>1902</v>
      </c>
      <c r="K523" t="s">
        <v>508</v>
      </c>
      <c r="L523" t="s">
        <v>1901</v>
      </c>
      <c r="M523">
        <v>10</v>
      </c>
      <c r="N523"/>
      <c r="O523" t="s">
        <v>3435</v>
      </c>
      <c r="P523" s="31" t="str">
        <f>HYPERLINK("https://b2b.kobi.pl/pl/product/10033,plafon-led-nairos-g2-18w-3cct-ip65-bialy-kobi-premium?currency=PLN")</f>
        <v>https://b2b.kobi.pl/pl/product/10033,plafon-led-nairos-g2-18w-3cct-ip65-bialy-kobi-premium?currency=PLN</v>
      </c>
      <c r="Q523" s="31" t="str">
        <f>HYPERLINK("https://eprel.ec.europa.eu/qr/2058716")</f>
        <v>https://eprel.ec.europa.eu/qr/2058716</v>
      </c>
      <c r="R523"/>
      <c r="S523" t="s">
        <v>2675</v>
      </c>
      <c r="T523"/>
      <c r="U523">
        <v>0.7</v>
      </c>
      <c r="V523">
        <v>0.85</v>
      </c>
      <c r="W523">
        <v>31.2</v>
      </c>
      <c r="X523">
        <v>6.1</v>
      </c>
      <c r="Y523">
        <v>31.1</v>
      </c>
    </row>
    <row r="524" spans="1:25" ht="60" customHeight="1" x14ac:dyDescent="0.25">
      <c r="A524"/>
      <c r="B524" t="s">
        <v>4</v>
      </c>
      <c r="C524" t="s">
        <v>3376</v>
      </c>
      <c r="D524" t="s">
        <v>631</v>
      </c>
      <c r="E524" t="s">
        <v>1109</v>
      </c>
      <c r="F524" t="s">
        <v>1110</v>
      </c>
      <c r="G524" t="s">
        <v>605</v>
      </c>
      <c r="H524" s="30">
        <v>106.67</v>
      </c>
      <c r="I524" s="29">
        <f>H524*(1-IFERROR(VLOOKUP(G524,Rabat!$D$10:$E$41,2,FALSE),0))</f>
        <v>106.67</v>
      </c>
      <c r="J524" t="s">
        <v>1902</v>
      </c>
      <c r="K524" t="s">
        <v>509</v>
      </c>
      <c r="L524" t="s">
        <v>1901</v>
      </c>
      <c r="M524">
        <v>10</v>
      </c>
      <c r="N524"/>
      <c r="O524" t="s">
        <v>3435</v>
      </c>
      <c r="P524" s="31" t="str">
        <f>HYPERLINK("https://b2b.kobi.pl/pl/product/10034,plafon-led-nairos-g2-18w-3cct-ip65-czarny-kobi-premium?currency=PLN")</f>
        <v>https://b2b.kobi.pl/pl/product/10034,plafon-led-nairos-g2-18w-3cct-ip65-czarny-kobi-premium?currency=PLN</v>
      </c>
      <c r="Q524" s="31" t="str">
        <f>HYPERLINK("https://eprel.ec.europa.eu/qr/2058716")</f>
        <v>https://eprel.ec.europa.eu/qr/2058716</v>
      </c>
      <c r="R524"/>
      <c r="S524" t="s">
        <v>2675</v>
      </c>
      <c r="T524"/>
      <c r="U524">
        <v>0.7</v>
      </c>
      <c r="V524">
        <v>0.9</v>
      </c>
      <c r="W524">
        <v>31.2</v>
      </c>
      <c r="X524">
        <v>6.1</v>
      </c>
      <c r="Y524">
        <v>31.1</v>
      </c>
    </row>
    <row r="525" spans="1:25" ht="60" customHeight="1" x14ac:dyDescent="0.25">
      <c r="A525"/>
      <c r="B525" t="s">
        <v>4</v>
      </c>
      <c r="C525" t="s">
        <v>3376</v>
      </c>
      <c r="D525" t="s">
        <v>631</v>
      </c>
      <c r="E525" t="s">
        <v>1111</v>
      </c>
      <c r="F525" t="s">
        <v>1112</v>
      </c>
      <c r="G525" t="s">
        <v>605</v>
      </c>
      <c r="H525" s="30">
        <v>117.78</v>
      </c>
      <c r="I525" s="29">
        <f>H525*(1-IFERROR(VLOOKUP(G525,Rabat!$D$10:$E$41,2,FALSE),0))</f>
        <v>117.78</v>
      </c>
      <c r="J525" t="s">
        <v>1902</v>
      </c>
      <c r="K525" t="s">
        <v>510</v>
      </c>
      <c r="L525" t="s">
        <v>1901</v>
      </c>
      <c r="M525">
        <v>10</v>
      </c>
      <c r="N525"/>
      <c r="O525" t="s">
        <v>3435</v>
      </c>
      <c r="P525" s="31" t="str">
        <f>HYPERLINK("https://b2b.kobi.pl/pl/product/10035,plafon-led-nairos-g2-24w-3cct-ip65-bialy-kobi-premium?currency=PLN")</f>
        <v>https://b2b.kobi.pl/pl/product/10035,plafon-led-nairos-g2-24w-3cct-ip65-bialy-kobi-premium?currency=PLN</v>
      </c>
      <c r="Q525" s="31" t="str">
        <f>HYPERLINK("https://eprel.ec.europa.eu/qr/2058756")</f>
        <v>https://eprel.ec.europa.eu/qr/2058756</v>
      </c>
      <c r="R525"/>
      <c r="S525" t="s">
        <v>2675</v>
      </c>
      <c r="T525"/>
      <c r="U525">
        <v>0.7</v>
      </c>
      <c r="V525">
        <v>0.85</v>
      </c>
      <c r="W525">
        <v>31.2</v>
      </c>
      <c r="X525">
        <v>6.1</v>
      </c>
      <c r="Y525">
        <v>31.2</v>
      </c>
    </row>
    <row r="526" spans="1:25" ht="60" customHeight="1" x14ac:dyDescent="0.25">
      <c r="A526"/>
      <c r="B526" t="s">
        <v>4</v>
      </c>
      <c r="C526" t="s">
        <v>3376</v>
      </c>
      <c r="D526" t="s">
        <v>631</v>
      </c>
      <c r="E526" t="s">
        <v>1113</v>
      </c>
      <c r="F526" t="s">
        <v>1114</v>
      </c>
      <c r="G526" t="s">
        <v>605</v>
      </c>
      <c r="H526" s="30">
        <v>117.78</v>
      </c>
      <c r="I526" s="29">
        <f>H526*(1-IFERROR(VLOOKUP(G526,Rabat!$D$10:$E$41,2,FALSE),0))</f>
        <v>117.78</v>
      </c>
      <c r="J526" t="s">
        <v>1902</v>
      </c>
      <c r="K526" t="s">
        <v>511</v>
      </c>
      <c r="L526" t="s">
        <v>1901</v>
      </c>
      <c r="M526">
        <v>10</v>
      </c>
      <c r="N526"/>
      <c r="O526" t="s">
        <v>3435</v>
      </c>
      <c r="P526" s="31" t="str">
        <f>HYPERLINK("https://b2b.kobi.pl/pl/product/10036,plafon-led-nairos-g2-24w-3cct-ip65-czarny-kobi-premium?currency=PLN")</f>
        <v>https://b2b.kobi.pl/pl/product/10036,plafon-led-nairos-g2-24w-3cct-ip65-czarny-kobi-premium?currency=PLN</v>
      </c>
      <c r="Q526" s="31" t="str">
        <f>HYPERLINK("https://eprel.ec.europa.eu/qr/2058756")</f>
        <v>https://eprel.ec.europa.eu/qr/2058756</v>
      </c>
      <c r="R526"/>
      <c r="S526" t="s">
        <v>2675</v>
      </c>
      <c r="T526"/>
      <c r="U526">
        <v>0.7</v>
      </c>
      <c r="V526">
        <v>0.9</v>
      </c>
      <c r="W526">
        <v>31.2</v>
      </c>
      <c r="X526">
        <v>6.1</v>
      </c>
      <c r="Y526">
        <v>31.2</v>
      </c>
    </row>
    <row r="527" spans="1:25" ht="60" customHeight="1" x14ac:dyDescent="0.25">
      <c r="A527"/>
      <c r="B527" t="s">
        <v>4</v>
      </c>
      <c r="C527" t="s">
        <v>3376</v>
      </c>
      <c r="D527" t="s">
        <v>631</v>
      </c>
      <c r="E527" t="s">
        <v>1115</v>
      </c>
      <c r="F527" t="s">
        <v>1116</v>
      </c>
      <c r="G527" t="s">
        <v>605</v>
      </c>
      <c r="H527" s="30">
        <v>195.56</v>
      </c>
      <c r="I527" s="29">
        <f>H527*(1-IFERROR(VLOOKUP(G527,Rabat!$D$10:$E$41,2,FALSE),0))</f>
        <v>195.56</v>
      </c>
      <c r="J527" t="s">
        <v>1902</v>
      </c>
      <c r="K527" t="s">
        <v>512</v>
      </c>
      <c r="L527" t="s">
        <v>1901</v>
      </c>
      <c r="M527">
        <v>10</v>
      </c>
      <c r="N527"/>
      <c r="O527" t="s">
        <v>3435</v>
      </c>
      <c r="P527" s="31" t="str">
        <f>HYPERLINK("https://b2b.kobi.pl/pl/product/10037,plafon-led-nairos-g2-36w-3cct-ip65-bialy-kobi-premium?currency=PLN")</f>
        <v>https://b2b.kobi.pl/pl/product/10037,plafon-led-nairos-g2-36w-3cct-ip65-bialy-kobi-premium?currency=PLN</v>
      </c>
      <c r="Q527" s="31" t="str">
        <f>HYPERLINK("https://eprel.ec.europa.eu/qr/2058805")</f>
        <v>https://eprel.ec.europa.eu/qr/2058805</v>
      </c>
      <c r="R527"/>
      <c r="S527" t="s">
        <v>2675</v>
      </c>
      <c r="T527"/>
      <c r="U527">
        <v>1.2</v>
      </c>
      <c r="V527">
        <v>1.3</v>
      </c>
      <c r="W527">
        <v>41.2</v>
      </c>
      <c r="X527">
        <v>6.1</v>
      </c>
      <c r="Y527">
        <v>41.2</v>
      </c>
    </row>
    <row r="528" spans="1:25" ht="60" customHeight="1" x14ac:dyDescent="0.25">
      <c r="A528"/>
      <c r="B528" t="s">
        <v>4</v>
      </c>
      <c r="C528" t="s">
        <v>3376</v>
      </c>
      <c r="D528" t="s">
        <v>631</v>
      </c>
      <c r="E528" t="s">
        <v>1117</v>
      </c>
      <c r="F528" t="s">
        <v>1118</v>
      </c>
      <c r="G528" t="s">
        <v>605</v>
      </c>
      <c r="H528" s="30">
        <v>140</v>
      </c>
      <c r="I528" s="29">
        <f>H528*(1-IFERROR(VLOOKUP(G528,Rabat!$D$10:$E$41,2,FALSE),0))</f>
        <v>140</v>
      </c>
      <c r="J528" t="s">
        <v>1902</v>
      </c>
      <c r="K528" t="s">
        <v>513</v>
      </c>
      <c r="L528" t="s">
        <v>1901</v>
      </c>
      <c r="M528">
        <v>20</v>
      </c>
      <c r="N528"/>
      <c r="O528" t="s">
        <v>3435</v>
      </c>
      <c r="P528" s="31" t="str">
        <f>HYPERLINK("https://b2b.kobi.pl/pl/product/10038,plafon-z-czujnikiem-ruchu-led-nairos-g2-12w-3cct-lx-ip65-bialy-kobi-premium?currency=PLN")</f>
        <v>https://b2b.kobi.pl/pl/product/10038,plafon-z-czujnikiem-ruchu-led-nairos-g2-12w-3cct-lx-ip65-bialy-kobi-premium?currency=PLN</v>
      </c>
      <c r="Q528" s="31" t="str">
        <f>HYPERLINK("https://eprel.ec.europa.eu/qr/2056899")</f>
        <v>https://eprel.ec.europa.eu/qr/2056899</v>
      </c>
      <c r="R528"/>
      <c r="S528" t="s">
        <v>2675</v>
      </c>
      <c r="T528"/>
      <c r="U528">
        <v>0.49</v>
      </c>
      <c r="V528">
        <v>0.5</v>
      </c>
      <c r="W528">
        <v>21.2</v>
      </c>
      <c r="X528">
        <v>5.6</v>
      </c>
      <c r="Y528">
        <v>21.2</v>
      </c>
    </row>
    <row r="529" spans="1:25" ht="60" customHeight="1" x14ac:dyDescent="0.25">
      <c r="A529"/>
      <c r="B529" t="s">
        <v>4</v>
      </c>
      <c r="C529" t="s">
        <v>3376</v>
      </c>
      <c r="D529" t="s">
        <v>631</v>
      </c>
      <c r="E529" t="s">
        <v>1119</v>
      </c>
      <c r="F529" t="s">
        <v>1120</v>
      </c>
      <c r="G529" t="s">
        <v>605</v>
      </c>
      <c r="H529" s="30">
        <v>140</v>
      </c>
      <c r="I529" s="29">
        <f>H529*(1-IFERROR(VLOOKUP(G529,Rabat!$D$10:$E$41,2,FALSE),0))</f>
        <v>140</v>
      </c>
      <c r="J529" t="s">
        <v>1902</v>
      </c>
      <c r="K529" t="s">
        <v>514</v>
      </c>
      <c r="L529" t="s">
        <v>1901</v>
      </c>
      <c r="M529">
        <v>20</v>
      </c>
      <c r="N529"/>
      <c r="O529" t="s">
        <v>3435</v>
      </c>
      <c r="P529" s="31" t="str">
        <f>HYPERLINK("https://b2b.kobi.pl/pl/product/10039,plafon-z-czujnikiem-ruchu-led-nairos-g2-12w-3cct-lx-ip65-czarny-kobi-premium?currency=PLN")</f>
        <v>https://b2b.kobi.pl/pl/product/10039,plafon-z-czujnikiem-ruchu-led-nairos-g2-12w-3cct-lx-ip65-czarny-kobi-premium?currency=PLN</v>
      </c>
      <c r="Q529" s="31" t="str">
        <f>HYPERLINK("https://eprel.ec.europa.eu/qr/2056899")</f>
        <v>https://eprel.ec.europa.eu/qr/2056899</v>
      </c>
      <c r="R529"/>
      <c r="S529" t="s">
        <v>2675</v>
      </c>
      <c r="T529"/>
      <c r="U529">
        <v>0.49</v>
      </c>
      <c r="V529">
        <v>0.53</v>
      </c>
      <c r="W529">
        <v>21.2</v>
      </c>
      <c r="X529">
        <v>5.6</v>
      </c>
      <c r="Y529">
        <v>21.2</v>
      </c>
    </row>
    <row r="530" spans="1:25" ht="60" customHeight="1" x14ac:dyDescent="0.25">
      <c r="A530"/>
      <c r="B530" t="s">
        <v>4</v>
      </c>
      <c r="C530" t="s">
        <v>3376</v>
      </c>
      <c r="D530" t="s">
        <v>631</v>
      </c>
      <c r="E530" t="s">
        <v>1121</v>
      </c>
      <c r="F530" t="s">
        <v>1122</v>
      </c>
      <c r="G530" t="s">
        <v>605</v>
      </c>
      <c r="H530" s="30">
        <v>184.44</v>
      </c>
      <c r="I530" s="29">
        <f>H530*(1-IFERROR(VLOOKUP(G530,Rabat!$D$10:$E$41,2,FALSE),0))</f>
        <v>184.44</v>
      </c>
      <c r="J530" t="s">
        <v>1902</v>
      </c>
      <c r="K530" t="s">
        <v>515</v>
      </c>
      <c r="L530" t="s">
        <v>1901</v>
      </c>
      <c r="M530">
        <v>10</v>
      </c>
      <c r="N530"/>
      <c r="O530" t="s">
        <v>3435</v>
      </c>
      <c r="P530" s="31" t="str">
        <f>HYPERLINK("https://b2b.kobi.pl/pl/product/10040,plafon-z-czujnikiem-ruchu-led-nairos-g2-18w-3cct-lx-ip65-bialy-kobi-premium?currency=PLN")</f>
        <v>https://b2b.kobi.pl/pl/product/10040,plafon-z-czujnikiem-ruchu-led-nairos-g2-18w-3cct-lx-ip65-bialy-kobi-premium?currency=PLN</v>
      </c>
      <c r="Q530" s="31" t="str">
        <f>HYPERLINK("https://eprel.ec.europa.eu/qr/2058716")</f>
        <v>https://eprel.ec.europa.eu/qr/2058716</v>
      </c>
      <c r="R530"/>
      <c r="S530" t="s">
        <v>2675</v>
      </c>
      <c r="T530"/>
      <c r="U530">
        <v>0.79</v>
      </c>
      <c r="V530">
        <v>0.85</v>
      </c>
      <c r="W530">
        <v>31.2</v>
      </c>
      <c r="X530">
        <v>6.1</v>
      </c>
      <c r="Y530">
        <v>31.1</v>
      </c>
    </row>
    <row r="531" spans="1:25" ht="60" customHeight="1" x14ac:dyDescent="0.25">
      <c r="A531"/>
      <c r="B531" t="s">
        <v>4</v>
      </c>
      <c r="C531" t="s">
        <v>3376</v>
      </c>
      <c r="D531" t="s">
        <v>631</v>
      </c>
      <c r="E531" t="s">
        <v>1123</v>
      </c>
      <c r="F531" t="s">
        <v>1124</v>
      </c>
      <c r="G531" t="s">
        <v>605</v>
      </c>
      <c r="H531" s="30">
        <v>184.44</v>
      </c>
      <c r="I531" s="29">
        <f>H531*(1-IFERROR(VLOOKUP(G531,Rabat!$D$10:$E$41,2,FALSE),0))</f>
        <v>184.44</v>
      </c>
      <c r="J531" t="s">
        <v>1902</v>
      </c>
      <c r="K531" t="s">
        <v>516</v>
      </c>
      <c r="L531" t="s">
        <v>1901</v>
      </c>
      <c r="M531">
        <v>10</v>
      </c>
      <c r="N531"/>
      <c r="O531" t="s">
        <v>3435</v>
      </c>
      <c r="P531" s="31" t="str">
        <f>HYPERLINK("https://b2b.kobi.pl/pl/product/10041,plafon-z-czujnikiem-ruchu-led-nairos-g2-18w-3cct-lx-ip65-czarny-kobi-premium?currency=PLN")</f>
        <v>https://b2b.kobi.pl/pl/product/10041,plafon-z-czujnikiem-ruchu-led-nairos-g2-18w-3cct-lx-ip65-czarny-kobi-premium?currency=PLN</v>
      </c>
      <c r="Q531" s="31" t="str">
        <f>HYPERLINK("https://eprel.ec.europa.eu/qr/2058716")</f>
        <v>https://eprel.ec.europa.eu/qr/2058716</v>
      </c>
      <c r="R531"/>
      <c r="S531" t="s">
        <v>2675</v>
      </c>
      <c r="T531"/>
      <c r="U531">
        <v>0.79</v>
      </c>
      <c r="V531">
        <v>0.9</v>
      </c>
      <c r="W531">
        <v>31.2</v>
      </c>
      <c r="X531">
        <v>6.1</v>
      </c>
      <c r="Y531">
        <v>31.1</v>
      </c>
    </row>
    <row r="532" spans="1:25" ht="60" customHeight="1" x14ac:dyDescent="0.25">
      <c r="A532"/>
      <c r="B532" t="s">
        <v>4</v>
      </c>
      <c r="C532" t="s">
        <v>3376</v>
      </c>
      <c r="D532" t="s">
        <v>631</v>
      </c>
      <c r="E532" t="s">
        <v>1125</v>
      </c>
      <c r="F532" t="s">
        <v>1126</v>
      </c>
      <c r="G532" t="s">
        <v>605</v>
      </c>
      <c r="H532" s="30">
        <v>195.56</v>
      </c>
      <c r="I532" s="29">
        <f>H532*(1-IFERROR(VLOOKUP(G532,Rabat!$D$10:$E$41,2,FALSE),0))</f>
        <v>195.56</v>
      </c>
      <c r="J532" t="s">
        <v>1902</v>
      </c>
      <c r="K532" t="s">
        <v>517</v>
      </c>
      <c r="L532" t="s">
        <v>1901</v>
      </c>
      <c r="M532">
        <v>10</v>
      </c>
      <c r="N532"/>
      <c r="O532" t="s">
        <v>3435</v>
      </c>
      <c r="P532" s="31" t="str">
        <f>HYPERLINK("https://b2b.kobi.pl/pl/product/10042,plafon-z-czujnikiem-ruchu-led-nairos-g2-24w-3cct-lx-ip65-bialy-kobi-premium?currency=PLN")</f>
        <v>https://b2b.kobi.pl/pl/product/10042,plafon-z-czujnikiem-ruchu-led-nairos-g2-24w-3cct-lx-ip65-bialy-kobi-premium?currency=PLN</v>
      </c>
      <c r="Q532" s="31" t="str">
        <f>HYPERLINK("https://eprel.ec.europa.eu/qr/2058756")</f>
        <v>https://eprel.ec.europa.eu/qr/2058756</v>
      </c>
      <c r="R532"/>
      <c r="S532" t="s">
        <v>2675</v>
      </c>
      <c r="T532"/>
      <c r="U532">
        <v>0.79</v>
      </c>
      <c r="V532">
        <v>0.9</v>
      </c>
      <c r="W532">
        <v>6.1</v>
      </c>
      <c r="X532">
        <v>31.2</v>
      </c>
      <c r="Y532">
        <v>31.2</v>
      </c>
    </row>
    <row r="533" spans="1:25" ht="60" customHeight="1" x14ac:dyDescent="0.25">
      <c r="A533"/>
      <c r="B533" t="s">
        <v>4</v>
      </c>
      <c r="C533" t="s">
        <v>3376</v>
      </c>
      <c r="D533" t="s">
        <v>631</v>
      </c>
      <c r="E533" t="s">
        <v>1127</v>
      </c>
      <c r="F533" t="s">
        <v>1128</v>
      </c>
      <c r="G533" t="s">
        <v>605</v>
      </c>
      <c r="H533" s="30">
        <v>195.56</v>
      </c>
      <c r="I533" s="29">
        <f>H533*(1-IFERROR(VLOOKUP(G533,Rabat!$D$10:$E$41,2,FALSE),0))</f>
        <v>195.56</v>
      </c>
      <c r="J533" t="s">
        <v>1902</v>
      </c>
      <c r="K533" t="s">
        <v>518</v>
      </c>
      <c r="L533" t="s">
        <v>1901</v>
      </c>
      <c r="M533">
        <v>10</v>
      </c>
      <c r="N533"/>
      <c r="O533" t="s">
        <v>3435</v>
      </c>
      <c r="P533" s="31" t="str">
        <f>HYPERLINK("https://b2b.kobi.pl/pl/product/10043,plafon-z-czujnikiem-ruchu-led-nairos-g2-24w-3cct-lx-ip65-czarny-kobi-premium?currency=PLN")</f>
        <v>https://b2b.kobi.pl/pl/product/10043,plafon-z-czujnikiem-ruchu-led-nairos-g2-24w-3cct-lx-ip65-czarny-kobi-premium?currency=PLN</v>
      </c>
      <c r="Q533" s="31" t="str">
        <f>HYPERLINK("https://eprel.ec.europa.eu/qr/2058756")</f>
        <v>https://eprel.ec.europa.eu/qr/2058756</v>
      </c>
      <c r="R533"/>
      <c r="S533" t="s">
        <v>2675</v>
      </c>
      <c r="T533"/>
      <c r="U533">
        <v>0.79</v>
      </c>
      <c r="V533">
        <v>0.9</v>
      </c>
      <c r="W533">
        <v>6.1</v>
      </c>
      <c r="X533">
        <v>31.2</v>
      </c>
      <c r="Y533">
        <v>31.2</v>
      </c>
    </row>
    <row r="534" spans="1:25" ht="60" customHeight="1" x14ac:dyDescent="0.25">
      <c r="A534"/>
      <c r="B534" t="s">
        <v>4</v>
      </c>
      <c r="C534" t="s">
        <v>3376</v>
      </c>
      <c r="D534" t="s">
        <v>631</v>
      </c>
      <c r="E534" t="s">
        <v>1129</v>
      </c>
      <c r="F534" t="s">
        <v>1130</v>
      </c>
      <c r="G534" t="s">
        <v>605</v>
      </c>
      <c r="H534" s="30">
        <v>262.22000000000003</v>
      </c>
      <c r="I534" s="29">
        <f>H534*(1-IFERROR(VLOOKUP(G534,Rabat!$D$10:$E$41,2,FALSE),0))</f>
        <v>262.22000000000003</v>
      </c>
      <c r="J534" t="s">
        <v>1902</v>
      </c>
      <c r="K534" t="s">
        <v>519</v>
      </c>
      <c r="L534" t="s">
        <v>1901</v>
      </c>
      <c r="M534">
        <v>10</v>
      </c>
      <c r="N534"/>
      <c r="O534" t="s">
        <v>3435</v>
      </c>
      <c r="P534" s="31" t="str">
        <f>HYPERLINK("https://b2b.kobi.pl/pl/product/10044,plafon-z-czujnikiem-ruchu-led-nairos-g2-36w-3cct-lx-ip65-bialy-kobi-premium?currency=PLN")</f>
        <v>https://b2b.kobi.pl/pl/product/10044,plafon-z-czujnikiem-ruchu-led-nairos-g2-36w-3cct-lx-ip65-bialy-kobi-premium?currency=PLN</v>
      </c>
      <c r="Q534" s="31" t="str">
        <f>HYPERLINK("https://eprel.ec.europa.eu/qr/2058805")</f>
        <v>https://eprel.ec.europa.eu/qr/2058805</v>
      </c>
      <c r="R534"/>
      <c r="S534" t="s">
        <v>2675</v>
      </c>
      <c r="T534"/>
      <c r="U534">
        <v>1.29</v>
      </c>
      <c r="V534">
        <v>1.35</v>
      </c>
      <c r="W534">
        <v>6.1</v>
      </c>
      <c r="X534">
        <v>31.2</v>
      </c>
      <c r="Y534">
        <v>0.85</v>
      </c>
    </row>
    <row r="535" spans="1:25" ht="60" customHeight="1" x14ac:dyDescent="0.25">
      <c r="A535"/>
      <c r="B535" t="s">
        <v>4</v>
      </c>
      <c r="C535" t="s">
        <v>3376</v>
      </c>
      <c r="D535" t="s">
        <v>631</v>
      </c>
      <c r="E535" t="s">
        <v>1197</v>
      </c>
      <c r="F535" t="s">
        <v>1198</v>
      </c>
      <c r="G535" t="s">
        <v>605</v>
      </c>
      <c r="H535" s="30">
        <v>80</v>
      </c>
      <c r="I535" s="29">
        <f>H535*(1-IFERROR(VLOOKUP(G535,Rabat!$D$10:$E$41,2,FALSE),0))</f>
        <v>80</v>
      </c>
      <c r="J535" t="s">
        <v>1902</v>
      </c>
      <c r="K535" t="s">
        <v>260</v>
      </c>
      <c r="L535" t="s">
        <v>1901</v>
      </c>
      <c r="M535">
        <v>5</v>
      </c>
      <c r="N535">
        <v>120</v>
      </c>
      <c r="O535" t="s">
        <v>3435</v>
      </c>
      <c r="P535" s="31" t="str">
        <f>HYPERLINK("https://b2b.kobi.pl/pl/product/10201,plafon-z-czujnikiem-ruchu-led-sofi-13w-4000k-lx-kobi-premium?currency=PLN")</f>
        <v>https://b2b.kobi.pl/pl/product/10201,plafon-z-czujnikiem-ruchu-led-sofi-13w-4000k-lx-kobi-premium?currency=PLN</v>
      </c>
      <c r="Q535" s="31" t="str">
        <f>HYPERLINK("https://eprel.ec.europa.eu/qr/1998293")</f>
        <v>https://eprel.ec.europa.eu/qr/1998293</v>
      </c>
      <c r="R535"/>
      <c r="S535" t="s">
        <v>2675</v>
      </c>
      <c r="T535"/>
      <c r="U535">
        <v>0.39</v>
      </c>
      <c r="V535">
        <v>0.42899999999999999</v>
      </c>
      <c r="W535">
        <v>32.5</v>
      </c>
      <c r="X535">
        <v>8.5</v>
      </c>
      <c r="Y535">
        <v>32.799999999999997</v>
      </c>
    </row>
    <row r="536" spans="1:25" ht="60" customHeight="1" x14ac:dyDescent="0.25">
      <c r="A536"/>
      <c r="B536" t="s">
        <v>4</v>
      </c>
      <c r="C536" t="s">
        <v>3376</v>
      </c>
      <c r="D536" t="s">
        <v>643</v>
      </c>
      <c r="E536" t="s">
        <v>1254</v>
      </c>
      <c r="F536" t="s">
        <v>1255</v>
      </c>
      <c r="G536" t="s">
        <v>605</v>
      </c>
      <c r="H536" s="30">
        <v>67.5</v>
      </c>
      <c r="I536" s="29">
        <f>H536*(1-IFERROR(VLOOKUP(G536,Rabat!$D$10:$E$41,2,FALSE),0))</f>
        <v>67.5</v>
      </c>
      <c r="J536" t="s">
        <v>1902</v>
      </c>
      <c r="K536" t="s">
        <v>178</v>
      </c>
      <c r="L536" t="s">
        <v>1901</v>
      </c>
      <c r="M536">
        <v>10</v>
      </c>
      <c r="N536">
        <v>80</v>
      </c>
      <c r="O536" t="s">
        <v>3434</v>
      </c>
      <c r="P536" s="31" t="str">
        <f>HYPERLINK("https://b2b.kobi.pl/pl/product/10279,plafon-romero-2xe27-chrom-kobi?currency=PLN")</f>
        <v>https://b2b.kobi.pl/pl/product/10279,plafon-romero-2xe27-chrom-kobi?currency=PLN</v>
      </c>
      <c r="Q536" t="s">
        <v>15</v>
      </c>
      <c r="R536"/>
      <c r="S536" t="s">
        <v>2709</v>
      </c>
      <c r="T536"/>
      <c r="U536">
        <v>0.64800000000000002</v>
      </c>
      <c r="V536">
        <v>0.82699999999999996</v>
      </c>
      <c r="W536">
        <v>35.299999999999997</v>
      </c>
      <c r="X536">
        <v>35</v>
      </c>
      <c r="Y536">
        <v>9.8000000000000007</v>
      </c>
    </row>
    <row r="537" spans="1:25" ht="60" customHeight="1" x14ac:dyDescent="0.25">
      <c r="A537"/>
      <c r="B537" t="s">
        <v>4</v>
      </c>
      <c r="C537" t="s">
        <v>3376</v>
      </c>
      <c r="D537" t="s">
        <v>643</v>
      </c>
      <c r="E537" t="s">
        <v>1259</v>
      </c>
      <c r="F537" t="s">
        <v>1260</v>
      </c>
      <c r="G537" t="s">
        <v>605</v>
      </c>
      <c r="H537" s="30">
        <v>72.510000000000005</v>
      </c>
      <c r="I537" s="29">
        <f>H537*(1-IFERROR(VLOOKUP(G537,Rabat!$D$10:$E$41,2,FALSE),0))</f>
        <v>72.510000000000005</v>
      </c>
      <c r="J537" t="s">
        <v>1902</v>
      </c>
      <c r="K537" t="s">
        <v>179</v>
      </c>
      <c r="L537" t="s">
        <v>1901</v>
      </c>
      <c r="M537">
        <v>10</v>
      </c>
      <c r="N537">
        <v>80</v>
      </c>
      <c r="O537" t="s">
        <v>3434</v>
      </c>
      <c r="P537" s="31" t="str">
        <f>HYPERLINK("https://b2b.kobi.pl/pl/product/10281,plafon-romero-2xe27-czarna-kobi?currency=PLN")</f>
        <v>https://b2b.kobi.pl/pl/product/10281,plafon-romero-2xe27-czarna-kobi?currency=PLN</v>
      </c>
      <c r="Q537" t="s">
        <v>15</v>
      </c>
      <c r="R537"/>
      <c r="S537" t="s">
        <v>2709</v>
      </c>
      <c r="T537"/>
      <c r="U537">
        <v>0.64800000000000002</v>
      </c>
      <c r="V537">
        <v>0.82299999999999995</v>
      </c>
      <c r="W537">
        <v>35</v>
      </c>
      <c r="X537">
        <v>34.4</v>
      </c>
      <c r="Y537">
        <v>11</v>
      </c>
    </row>
    <row r="538" spans="1:25" ht="60" customHeight="1" x14ac:dyDescent="0.25">
      <c r="A538"/>
      <c r="B538" t="s">
        <v>4</v>
      </c>
      <c r="C538" t="s">
        <v>3376</v>
      </c>
      <c r="D538" t="s">
        <v>643</v>
      </c>
      <c r="E538" t="s">
        <v>1263</v>
      </c>
      <c r="F538" t="s">
        <v>1264</v>
      </c>
      <c r="G538" t="s">
        <v>605</v>
      </c>
      <c r="H538" s="30">
        <v>102.33</v>
      </c>
      <c r="I538" s="29">
        <f>H538*(1-IFERROR(VLOOKUP(G538,Rabat!$D$10:$E$41,2,FALSE),0))</f>
        <v>102.33</v>
      </c>
      <c r="J538" t="s">
        <v>1902</v>
      </c>
      <c r="K538" t="s">
        <v>181</v>
      </c>
      <c r="L538" t="s">
        <v>1901</v>
      </c>
      <c r="M538">
        <v>10</v>
      </c>
      <c r="N538">
        <v>80</v>
      </c>
      <c r="O538" t="s">
        <v>3434</v>
      </c>
      <c r="P538" s="31" t="str">
        <f>HYPERLINK("https://b2b.kobi.pl/pl/product/10288,plafon-samira-s-2xe27-chrom-kobi?currency=PLN")</f>
        <v>https://b2b.kobi.pl/pl/product/10288,plafon-samira-s-2xe27-chrom-kobi?currency=PLN</v>
      </c>
      <c r="Q538" t="s">
        <v>15</v>
      </c>
      <c r="R538"/>
      <c r="S538" t="s">
        <v>2709</v>
      </c>
      <c r="T538"/>
      <c r="U538">
        <v>0.69</v>
      </c>
      <c r="V538">
        <v>0.79300000000000004</v>
      </c>
      <c r="W538">
        <v>33.5</v>
      </c>
      <c r="X538">
        <v>33</v>
      </c>
      <c r="Y538">
        <v>8.9</v>
      </c>
    </row>
    <row r="539" spans="1:25" ht="60" customHeight="1" x14ac:dyDescent="0.25">
      <c r="A539"/>
      <c r="B539" t="s">
        <v>4</v>
      </c>
      <c r="C539" t="s">
        <v>3376</v>
      </c>
      <c r="D539" t="s">
        <v>643</v>
      </c>
      <c r="E539" t="s">
        <v>1265</v>
      </c>
      <c r="F539" t="s">
        <v>1266</v>
      </c>
      <c r="G539" t="s">
        <v>605</v>
      </c>
      <c r="H539" s="30">
        <v>102.23</v>
      </c>
      <c r="I539" s="29">
        <f>H539*(1-IFERROR(VLOOKUP(G539,Rabat!$D$10:$E$41,2,FALSE),0))</f>
        <v>102.23</v>
      </c>
      <c r="J539" t="s">
        <v>1902</v>
      </c>
      <c r="K539" t="s">
        <v>182</v>
      </c>
      <c r="L539" t="s">
        <v>1901</v>
      </c>
      <c r="M539">
        <v>10</v>
      </c>
      <c r="N539">
        <v>80</v>
      </c>
      <c r="O539" t="s">
        <v>3434</v>
      </c>
      <c r="P539" s="31" t="str">
        <f>HYPERLINK("https://b2b.kobi.pl/pl/product/10289,plafon-samira-s-2xe27-czarny-kobi?currency=PLN")</f>
        <v>https://b2b.kobi.pl/pl/product/10289,plafon-samira-s-2xe27-czarny-kobi?currency=PLN</v>
      </c>
      <c r="Q539" t="s">
        <v>15</v>
      </c>
      <c r="R539"/>
      <c r="S539" t="s">
        <v>2709</v>
      </c>
      <c r="T539"/>
      <c r="U539">
        <v>0.69</v>
      </c>
      <c r="V539">
        <v>0.83599999999999997</v>
      </c>
      <c r="W539">
        <v>33.9</v>
      </c>
      <c r="X539">
        <v>33</v>
      </c>
      <c r="Y539">
        <v>8.5</v>
      </c>
    </row>
    <row r="540" spans="1:25" ht="60" customHeight="1" x14ac:dyDescent="0.25">
      <c r="A540"/>
      <c r="B540" t="s">
        <v>4</v>
      </c>
      <c r="C540" t="s">
        <v>3376</v>
      </c>
      <c r="D540" t="s">
        <v>643</v>
      </c>
      <c r="E540" t="s">
        <v>1261</v>
      </c>
      <c r="F540" t="s">
        <v>1262</v>
      </c>
      <c r="G540" t="s">
        <v>605</v>
      </c>
      <c r="H540" s="30">
        <v>128.9</v>
      </c>
      <c r="I540" s="29">
        <f>H540*(1-IFERROR(VLOOKUP(G540,Rabat!$D$10:$E$41,2,FALSE),0))</f>
        <v>128.9</v>
      </c>
      <c r="J540" t="s">
        <v>1902</v>
      </c>
      <c r="K540" t="s">
        <v>180</v>
      </c>
      <c r="L540" t="s">
        <v>1901</v>
      </c>
      <c r="M540">
        <v>5</v>
      </c>
      <c r="N540">
        <v>40</v>
      </c>
      <c r="O540" t="s">
        <v>3434</v>
      </c>
      <c r="P540" s="31" t="str">
        <f>HYPERLINK("https://b2b.kobi.pl/pl/product/10286,plafon-samira-b-2xe27-chrom-kobi?currency=PLN")</f>
        <v>https://b2b.kobi.pl/pl/product/10286,plafon-samira-b-2xe27-chrom-kobi?currency=PLN</v>
      </c>
      <c r="Q540" t="s">
        <v>15</v>
      </c>
      <c r="R540"/>
      <c r="S540" t="s">
        <v>2709</v>
      </c>
      <c r="T540"/>
      <c r="U540">
        <v>1.244</v>
      </c>
      <c r="V540">
        <v>2.0910000000000002</v>
      </c>
      <c r="W540">
        <v>33.4</v>
      </c>
      <c r="X540">
        <v>33</v>
      </c>
      <c r="Y540">
        <v>8.8000000000000007</v>
      </c>
    </row>
    <row r="541" spans="1:25" ht="60" customHeight="1" x14ac:dyDescent="0.25">
      <c r="A541"/>
      <c r="B541" t="s">
        <v>4</v>
      </c>
      <c r="C541" t="s">
        <v>3376</v>
      </c>
      <c r="D541" t="s">
        <v>631</v>
      </c>
      <c r="E541" t="s">
        <v>3441</v>
      </c>
      <c r="F541" t="s">
        <v>2380</v>
      </c>
      <c r="G541" t="s">
        <v>605</v>
      </c>
      <c r="H541" s="30">
        <v>84.22</v>
      </c>
      <c r="I541" s="29">
        <f>H541*(1-IFERROR(VLOOKUP(G541,Rabat!$D$10:$E$41,2,FALSE),0))</f>
        <v>84.22</v>
      </c>
      <c r="J541" t="s">
        <v>1902</v>
      </c>
      <c r="K541" t="s">
        <v>2497</v>
      </c>
      <c r="L541" t="s">
        <v>1901</v>
      </c>
      <c r="M541">
        <v>12</v>
      </c>
      <c r="N541">
        <v>672</v>
      </c>
      <c r="O541" t="s">
        <v>3435</v>
      </c>
      <c r="P541" s="31" t="str">
        <f>HYPERLINK("https://b2b.kobi.pl/pl/product/12586,plafon-elewacyjny-led-bavano-15w-3cct-lx-ip54-czarny-kobi-premium?currency=PLN")</f>
        <v>https://b2b.kobi.pl/pl/product/12586,plafon-elewacyjny-led-bavano-15w-3cct-lx-ip54-czarny-kobi-premium?currency=PLN</v>
      </c>
      <c r="Q541" s="31" t="str">
        <f>HYPERLINK("https://eprel.ec.europa.eu/qr/2365984")</f>
        <v>https://eprel.ec.europa.eu/qr/2365984</v>
      </c>
      <c r="R541"/>
      <c r="S541" t="s">
        <v>2675</v>
      </c>
      <c r="T541"/>
      <c r="U541">
        <v>0.29499999999999998</v>
      </c>
      <c r="V541">
        <v>0.36299999999999999</v>
      </c>
      <c r="W541">
        <v>12.5</v>
      </c>
      <c r="X541">
        <v>5.5</v>
      </c>
      <c r="Y541">
        <v>20.2</v>
      </c>
    </row>
    <row r="542" spans="1:25" ht="60" customHeight="1" x14ac:dyDescent="0.25">
      <c r="A542"/>
      <c r="B542" t="s">
        <v>4</v>
      </c>
      <c r="C542" t="s">
        <v>3376</v>
      </c>
      <c r="D542" t="s">
        <v>631</v>
      </c>
      <c r="E542" t="s">
        <v>2381</v>
      </c>
      <c r="F542" t="s">
        <v>2382</v>
      </c>
      <c r="G542" t="s">
        <v>605</v>
      </c>
      <c r="H542" s="30">
        <v>63.23</v>
      </c>
      <c r="I542" s="29">
        <f>H542*(1-IFERROR(VLOOKUP(G542,Rabat!$D$10:$E$41,2,FALSE),0))</f>
        <v>63.23</v>
      </c>
      <c r="J542" t="s">
        <v>1902</v>
      </c>
      <c r="K542" t="s">
        <v>2498</v>
      </c>
      <c r="L542" t="s">
        <v>1901</v>
      </c>
      <c r="M542">
        <v>20</v>
      </c>
      <c r="N542">
        <v>480</v>
      </c>
      <c r="O542" t="s">
        <v>3435</v>
      </c>
      <c r="P542" s="31" t="str">
        <f>HYPERLINK("https://b2b.kobi.pl/pl/product/12530,plafon-led-nivera-circle-12w-3cct-ip54-bialy-kobi-premium?currency=PLN")</f>
        <v>https://b2b.kobi.pl/pl/product/12530,plafon-led-nivera-circle-12w-3cct-ip54-bialy-kobi-premium?currency=PLN</v>
      </c>
      <c r="Q542" s="31" t="str">
        <f>HYPERLINK("https://eprel.ec.europa.eu/qr/2337445")</f>
        <v>https://eprel.ec.europa.eu/qr/2337445</v>
      </c>
      <c r="R542"/>
      <c r="S542" t="s">
        <v>2675</v>
      </c>
      <c r="T542"/>
      <c r="U542">
        <v>0.41</v>
      </c>
      <c r="V542">
        <v>0.51</v>
      </c>
      <c r="W542">
        <v>23.5</v>
      </c>
      <c r="X542">
        <v>23.5</v>
      </c>
      <c r="Y542">
        <v>3.3</v>
      </c>
    </row>
    <row r="543" spans="1:25" ht="60" customHeight="1" x14ac:dyDescent="0.25">
      <c r="A543"/>
      <c r="B543" t="s">
        <v>4</v>
      </c>
      <c r="C543" t="s">
        <v>3376</v>
      </c>
      <c r="D543" t="s">
        <v>631</v>
      </c>
      <c r="E543" t="s">
        <v>2383</v>
      </c>
      <c r="F543" t="s">
        <v>2384</v>
      </c>
      <c r="G543" t="s">
        <v>605</v>
      </c>
      <c r="H543" s="30">
        <v>63.23</v>
      </c>
      <c r="I543" s="29">
        <f>H543*(1-IFERROR(VLOOKUP(G543,Rabat!$D$10:$E$41,2,FALSE),0))</f>
        <v>63.23</v>
      </c>
      <c r="J543" t="s">
        <v>1902</v>
      </c>
      <c r="K543" t="s">
        <v>2499</v>
      </c>
      <c r="L543" t="s">
        <v>1901</v>
      </c>
      <c r="M543">
        <v>20</v>
      </c>
      <c r="N543">
        <v>480</v>
      </c>
      <c r="O543" t="s">
        <v>3435</v>
      </c>
      <c r="P543" s="31" t="str">
        <f>HYPERLINK("https://b2b.kobi.pl/pl/product/12531,plafon-led-nivera-circle-12w-3cct-ip54-czarny-kobi-premium?currency=PLN")</f>
        <v>https://b2b.kobi.pl/pl/product/12531,plafon-led-nivera-circle-12w-3cct-ip54-czarny-kobi-premium?currency=PLN</v>
      </c>
      <c r="Q543" s="31" t="str">
        <f>HYPERLINK("https://eprel.ec.europa.eu/qr/2337445")</f>
        <v>https://eprel.ec.europa.eu/qr/2337445</v>
      </c>
      <c r="R543"/>
      <c r="S543" t="s">
        <v>2675</v>
      </c>
      <c r="T543"/>
      <c r="U543">
        <v>0.41</v>
      </c>
      <c r="V543">
        <v>0.51</v>
      </c>
      <c r="W543">
        <v>23.5</v>
      </c>
      <c r="X543">
        <v>23.5</v>
      </c>
      <c r="Y543">
        <v>3.3</v>
      </c>
    </row>
    <row r="544" spans="1:25" ht="60" customHeight="1" x14ac:dyDescent="0.25">
      <c r="A544"/>
      <c r="B544" t="s">
        <v>4</v>
      </c>
      <c r="C544" t="s">
        <v>3376</v>
      </c>
      <c r="D544" t="s">
        <v>631</v>
      </c>
      <c r="E544" t="s">
        <v>2385</v>
      </c>
      <c r="F544" t="s">
        <v>2386</v>
      </c>
      <c r="G544" t="s">
        <v>605</v>
      </c>
      <c r="H544" s="30">
        <v>97.74</v>
      </c>
      <c r="I544" s="29">
        <f>H544*(1-IFERROR(VLOOKUP(G544,Rabat!$D$10:$E$41,2,FALSE),0))</f>
        <v>97.74</v>
      </c>
      <c r="J544" t="s">
        <v>1902</v>
      </c>
      <c r="K544" t="s">
        <v>2500</v>
      </c>
      <c r="L544" t="s">
        <v>1901</v>
      </c>
      <c r="M544">
        <v>20</v>
      </c>
      <c r="N544">
        <v>480</v>
      </c>
      <c r="O544" t="s">
        <v>3435</v>
      </c>
      <c r="P544" s="31" t="str">
        <f>HYPERLINK("https://b2b.kobi.pl/pl/product/12546,plafon-led-nivera-circle-12w-3cct-lx-ip54-bialy-kobi-premium?currency=PLN")</f>
        <v>https://b2b.kobi.pl/pl/product/12546,plafon-led-nivera-circle-12w-3cct-lx-ip54-bialy-kobi-premium?currency=PLN</v>
      </c>
      <c r="Q544" s="31" t="str">
        <f>HYPERLINK("https://eprel.ec.europa.eu/qr/2337445")</f>
        <v>https://eprel.ec.europa.eu/qr/2337445</v>
      </c>
      <c r="R544"/>
      <c r="S544" t="s">
        <v>2675</v>
      </c>
      <c r="T544"/>
      <c r="U544">
        <v>0.43</v>
      </c>
      <c r="V544">
        <v>0.51</v>
      </c>
      <c r="W544">
        <v>23.5</v>
      </c>
      <c r="X544">
        <v>23.5</v>
      </c>
      <c r="Y544">
        <v>3.3</v>
      </c>
    </row>
    <row r="545" spans="1:25" ht="60" customHeight="1" x14ac:dyDescent="0.25">
      <c r="A545"/>
      <c r="B545" t="s">
        <v>4</v>
      </c>
      <c r="C545" t="s">
        <v>3376</v>
      </c>
      <c r="D545" t="s">
        <v>631</v>
      </c>
      <c r="E545" t="s">
        <v>2387</v>
      </c>
      <c r="F545" t="s">
        <v>2388</v>
      </c>
      <c r="G545" t="s">
        <v>605</v>
      </c>
      <c r="H545" s="30">
        <v>97.74</v>
      </c>
      <c r="I545" s="29">
        <f>H545*(1-IFERROR(VLOOKUP(G545,Rabat!$D$10:$E$41,2,FALSE),0))</f>
        <v>97.74</v>
      </c>
      <c r="J545" t="s">
        <v>1902</v>
      </c>
      <c r="K545" t="s">
        <v>2501</v>
      </c>
      <c r="L545" t="s">
        <v>1901</v>
      </c>
      <c r="M545">
        <v>20</v>
      </c>
      <c r="N545">
        <v>480</v>
      </c>
      <c r="O545" t="s">
        <v>3435</v>
      </c>
      <c r="P545" s="31" t="str">
        <f>HYPERLINK("https://b2b.kobi.pl/pl/product/12547,plafon-led-nivera-circle-12w-3cct-lx-ip54-czarny-kobi-premium?currency=PLN")</f>
        <v>https://b2b.kobi.pl/pl/product/12547,plafon-led-nivera-circle-12w-3cct-lx-ip54-czarny-kobi-premium?currency=PLN</v>
      </c>
      <c r="Q545" s="31" t="str">
        <f>HYPERLINK("https://eprel.ec.europa.eu/qr/2337445")</f>
        <v>https://eprel.ec.europa.eu/qr/2337445</v>
      </c>
      <c r="R545"/>
      <c r="S545" t="s">
        <v>2675</v>
      </c>
      <c r="T545"/>
      <c r="U545">
        <v>0.43</v>
      </c>
      <c r="V545">
        <v>0.51</v>
      </c>
      <c r="W545">
        <v>23.5</v>
      </c>
      <c r="X545">
        <v>23.5</v>
      </c>
      <c r="Y545">
        <v>3.3</v>
      </c>
    </row>
    <row r="546" spans="1:25" ht="60" customHeight="1" x14ac:dyDescent="0.25">
      <c r="A546"/>
      <c r="B546" t="s">
        <v>4</v>
      </c>
      <c r="C546" t="s">
        <v>3376</v>
      </c>
      <c r="D546" t="s">
        <v>631</v>
      </c>
      <c r="E546" t="s">
        <v>2389</v>
      </c>
      <c r="F546" t="s">
        <v>2390</v>
      </c>
      <c r="G546" t="s">
        <v>605</v>
      </c>
      <c r="H546" s="30">
        <v>81.11</v>
      </c>
      <c r="I546" s="29">
        <f>H546*(1-IFERROR(VLOOKUP(G546,Rabat!$D$10:$E$41,2,FALSE),0))</f>
        <v>81.11</v>
      </c>
      <c r="J546" t="s">
        <v>1902</v>
      </c>
      <c r="K546" t="s">
        <v>2502</v>
      </c>
      <c r="L546" t="s">
        <v>1901</v>
      </c>
      <c r="M546">
        <v>20</v>
      </c>
      <c r="N546">
        <v>400</v>
      </c>
      <c r="O546" t="s">
        <v>3435</v>
      </c>
      <c r="P546" s="31" t="str">
        <f>HYPERLINK("https://b2b.kobi.pl/pl/product/12532,plafon-led-nivera-circle-18w-3cct-ip54-bialy-kobi-premium?currency=PLN")</f>
        <v>https://b2b.kobi.pl/pl/product/12532,plafon-led-nivera-circle-18w-3cct-ip54-bialy-kobi-premium?currency=PLN</v>
      </c>
      <c r="Q546" s="31" t="str">
        <f>HYPERLINK("https://eprel.ec.europa.eu/qr/2338712")</f>
        <v>https://eprel.ec.europa.eu/qr/2338712</v>
      </c>
      <c r="R546"/>
      <c r="S546" t="s">
        <v>2675</v>
      </c>
      <c r="T546"/>
      <c r="U546">
        <v>0.65</v>
      </c>
      <c r="V546">
        <v>0.8</v>
      </c>
      <c r="W546">
        <v>31</v>
      </c>
      <c r="X546">
        <v>31</v>
      </c>
      <c r="Y546">
        <v>3.3</v>
      </c>
    </row>
    <row r="547" spans="1:25" ht="60" customHeight="1" x14ac:dyDescent="0.25">
      <c r="A547"/>
      <c r="B547" t="s">
        <v>4</v>
      </c>
      <c r="C547" t="s">
        <v>3376</v>
      </c>
      <c r="D547" t="s">
        <v>631</v>
      </c>
      <c r="E547" t="s">
        <v>2391</v>
      </c>
      <c r="F547" t="s">
        <v>2392</v>
      </c>
      <c r="G547" t="s">
        <v>605</v>
      </c>
      <c r="H547" s="30">
        <v>81.11</v>
      </c>
      <c r="I547" s="29">
        <f>H547*(1-IFERROR(VLOOKUP(G547,Rabat!$D$10:$E$41,2,FALSE),0))</f>
        <v>81.11</v>
      </c>
      <c r="J547" t="s">
        <v>1902</v>
      </c>
      <c r="K547" t="s">
        <v>2503</v>
      </c>
      <c r="L547" t="s">
        <v>1901</v>
      </c>
      <c r="M547">
        <v>20</v>
      </c>
      <c r="N547">
        <v>400</v>
      </c>
      <c r="O547" t="s">
        <v>3435</v>
      </c>
      <c r="P547" s="31" t="str">
        <f>HYPERLINK("https://b2b.kobi.pl/pl/product/12533,plafon-led-nivera-circle-18w-3cct-ip54-czarny-kobi-premium?currency=PLN")</f>
        <v>https://b2b.kobi.pl/pl/product/12533,plafon-led-nivera-circle-18w-3cct-ip54-czarny-kobi-premium?currency=PLN</v>
      </c>
      <c r="Q547" s="31" t="str">
        <f>HYPERLINK("https://eprel.ec.europa.eu/qr/2338712")</f>
        <v>https://eprel.ec.europa.eu/qr/2338712</v>
      </c>
      <c r="R547"/>
      <c r="S547" t="s">
        <v>2675</v>
      </c>
      <c r="T547"/>
      <c r="U547">
        <v>0.65</v>
      </c>
      <c r="V547">
        <v>0.8</v>
      </c>
      <c r="W547">
        <v>31</v>
      </c>
      <c r="X547">
        <v>31</v>
      </c>
      <c r="Y547">
        <v>3.3</v>
      </c>
    </row>
    <row r="548" spans="1:25" ht="60" customHeight="1" x14ac:dyDescent="0.25">
      <c r="A548"/>
      <c r="B548" t="s">
        <v>4</v>
      </c>
      <c r="C548" t="s">
        <v>3376</v>
      </c>
      <c r="D548" t="s">
        <v>631</v>
      </c>
      <c r="E548" t="s">
        <v>2393</v>
      </c>
      <c r="F548" t="s">
        <v>2394</v>
      </c>
      <c r="G548" t="s">
        <v>605</v>
      </c>
      <c r="H548" s="30">
        <v>116.65</v>
      </c>
      <c r="I548" s="29">
        <f>H548*(1-IFERROR(VLOOKUP(G548,Rabat!$D$10:$E$41,2,FALSE),0))</f>
        <v>116.65</v>
      </c>
      <c r="J548" t="s">
        <v>1902</v>
      </c>
      <c r="K548" t="s">
        <v>2504</v>
      </c>
      <c r="L548" t="s">
        <v>1901</v>
      </c>
      <c r="M548">
        <v>20</v>
      </c>
      <c r="N548">
        <v>400</v>
      </c>
      <c r="O548" t="s">
        <v>3435</v>
      </c>
      <c r="P548" s="31" t="str">
        <f>HYPERLINK("https://b2b.kobi.pl/pl/product/12548,plafon-led-nivera-circle-18w-3cct-lx-ip54-bialy-kobi-premium?currency=PLN")</f>
        <v>https://b2b.kobi.pl/pl/product/12548,plafon-led-nivera-circle-18w-3cct-lx-ip54-bialy-kobi-premium?currency=PLN</v>
      </c>
      <c r="Q548" s="31" t="str">
        <f>HYPERLINK("https://eprel.ec.europa.eu/qr/2338712")</f>
        <v>https://eprel.ec.europa.eu/qr/2338712</v>
      </c>
      <c r="R548"/>
      <c r="S548" t="s">
        <v>2675</v>
      </c>
      <c r="T548"/>
      <c r="U548">
        <v>0.67</v>
      </c>
      <c r="V548">
        <v>0.8</v>
      </c>
      <c r="W548">
        <v>31</v>
      </c>
      <c r="X548">
        <v>31</v>
      </c>
      <c r="Y548">
        <v>3.3</v>
      </c>
    </row>
    <row r="549" spans="1:25" ht="60" customHeight="1" x14ac:dyDescent="0.25">
      <c r="A549"/>
      <c r="B549" t="s">
        <v>4</v>
      </c>
      <c r="C549" t="s">
        <v>3376</v>
      </c>
      <c r="D549" t="s">
        <v>631</v>
      </c>
      <c r="E549" t="s">
        <v>2395</v>
      </c>
      <c r="F549" t="s">
        <v>2396</v>
      </c>
      <c r="G549" t="s">
        <v>605</v>
      </c>
      <c r="H549" s="30">
        <v>116.65</v>
      </c>
      <c r="I549" s="29">
        <f>H549*(1-IFERROR(VLOOKUP(G549,Rabat!$D$10:$E$41,2,FALSE),0))</f>
        <v>116.65</v>
      </c>
      <c r="J549" t="s">
        <v>1902</v>
      </c>
      <c r="K549" t="s">
        <v>2505</v>
      </c>
      <c r="L549" t="s">
        <v>1901</v>
      </c>
      <c r="M549">
        <v>20</v>
      </c>
      <c r="N549">
        <v>400</v>
      </c>
      <c r="O549" t="s">
        <v>3435</v>
      </c>
      <c r="P549" s="31" t="str">
        <f>HYPERLINK("https://b2b.kobi.pl/pl/product/12549,plafon-led-nivera-circle-18w-3cct-lx-ip54-czarny-kobi-premium?currency=PLN")</f>
        <v>https://b2b.kobi.pl/pl/product/12549,plafon-led-nivera-circle-18w-3cct-lx-ip54-czarny-kobi-premium?currency=PLN</v>
      </c>
      <c r="Q549" s="31" t="str">
        <f>HYPERLINK("https://eprel.ec.europa.eu/qr/2338712")</f>
        <v>https://eprel.ec.europa.eu/qr/2338712</v>
      </c>
      <c r="R549"/>
      <c r="S549" t="s">
        <v>2675</v>
      </c>
      <c r="T549"/>
      <c r="U549">
        <v>0.67</v>
      </c>
      <c r="V549">
        <v>0.8</v>
      </c>
      <c r="W549">
        <v>31</v>
      </c>
      <c r="X549">
        <v>31</v>
      </c>
      <c r="Y549">
        <v>3.3</v>
      </c>
    </row>
    <row r="550" spans="1:25" ht="60" customHeight="1" x14ac:dyDescent="0.25">
      <c r="A550"/>
      <c r="B550" t="s">
        <v>4</v>
      </c>
      <c r="C550" t="s">
        <v>3376</v>
      </c>
      <c r="D550" t="s">
        <v>631</v>
      </c>
      <c r="E550" t="s">
        <v>2397</v>
      </c>
      <c r="F550" t="s">
        <v>2398</v>
      </c>
      <c r="G550" t="s">
        <v>605</v>
      </c>
      <c r="H550" s="30">
        <v>88.67</v>
      </c>
      <c r="I550" s="29">
        <f>H550*(1-IFERROR(VLOOKUP(G550,Rabat!$D$10:$E$41,2,FALSE),0))</f>
        <v>88.67</v>
      </c>
      <c r="J550" t="s">
        <v>1902</v>
      </c>
      <c r="K550" t="s">
        <v>2506</v>
      </c>
      <c r="L550" t="s">
        <v>1901</v>
      </c>
      <c r="M550">
        <v>20</v>
      </c>
      <c r="N550">
        <v>400</v>
      </c>
      <c r="O550" t="s">
        <v>3435</v>
      </c>
      <c r="P550" s="31" t="str">
        <f>HYPERLINK("https://b2b.kobi.pl/pl/product/12534,plafon-led-nivera-circle-24w-3cct-ip54-bialy-kobi-premium?currency=PLN")</f>
        <v>https://b2b.kobi.pl/pl/product/12534,plafon-led-nivera-circle-24w-3cct-ip54-bialy-kobi-premium?currency=PLN</v>
      </c>
      <c r="Q550" s="31" t="str">
        <f>HYPERLINK("https://eprel.ec.europa.eu/qr/2338798")</f>
        <v>https://eprel.ec.europa.eu/qr/2338798</v>
      </c>
      <c r="R550"/>
      <c r="S550" t="s">
        <v>2675</v>
      </c>
      <c r="T550"/>
      <c r="U550">
        <v>0.66</v>
      </c>
      <c r="V550">
        <v>0.8</v>
      </c>
      <c r="W550">
        <v>31</v>
      </c>
      <c r="X550">
        <v>31</v>
      </c>
      <c r="Y550">
        <v>3.3</v>
      </c>
    </row>
    <row r="551" spans="1:25" ht="60" customHeight="1" x14ac:dyDescent="0.25">
      <c r="A551"/>
      <c r="B551" t="s">
        <v>4</v>
      </c>
      <c r="C551" t="s">
        <v>3376</v>
      </c>
      <c r="D551" t="s">
        <v>631</v>
      </c>
      <c r="E551" t="s">
        <v>2399</v>
      </c>
      <c r="F551" t="s">
        <v>2400</v>
      </c>
      <c r="G551" t="s">
        <v>605</v>
      </c>
      <c r="H551" s="30">
        <v>88.67</v>
      </c>
      <c r="I551" s="29">
        <f>H551*(1-IFERROR(VLOOKUP(G551,Rabat!$D$10:$E$41,2,FALSE),0))</f>
        <v>88.67</v>
      </c>
      <c r="J551" t="s">
        <v>1902</v>
      </c>
      <c r="K551" t="s">
        <v>2507</v>
      </c>
      <c r="L551" t="s">
        <v>1901</v>
      </c>
      <c r="M551">
        <v>20</v>
      </c>
      <c r="N551">
        <v>400</v>
      </c>
      <c r="O551" t="s">
        <v>3435</v>
      </c>
      <c r="P551" s="31" t="str">
        <f>HYPERLINK("https://b2b.kobi.pl/pl/product/12535,plafon-led-nivera-circle-24w-3cct-ip54-czarny-kobi-premium?currency=PLN")</f>
        <v>https://b2b.kobi.pl/pl/product/12535,plafon-led-nivera-circle-24w-3cct-ip54-czarny-kobi-premium?currency=PLN</v>
      </c>
      <c r="Q551" s="31" t="str">
        <f>HYPERLINK("https://eprel.ec.europa.eu/qr/2338798")</f>
        <v>https://eprel.ec.europa.eu/qr/2338798</v>
      </c>
      <c r="R551"/>
      <c r="S551" t="s">
        <v>2675</v>
      </c>
      <c r="T551"/>
      <c r="U551">
        <v>0.66</v>
      </c>
      <c r="V551">
        <v>0.8</v>
      </c>
      <c r="W551">
        <v>31</v>
      </c>
      <c r="X551">
        <v>31</v>
      </c>
      <c r="Y551">
        <v>3.3</v>
      </c>
    </row>
    <row r="552" spans="1:25" ht="60" customHeight="1" x14ac:dyDescent="0.25">
      <c r="A552"/>
      <c r="B552" t="s">
        <v>4</v>
      </c>
      <c r="C552" t="s">
        <v>3376</v>
      </c>
      <c r="D552" t="s">
        <v>631</v>
      </c>
      <c r="E552" t="s">
        <v>2401</v>
      </c>
      <c r="F552" t="s">
        <v>2402</v>
      </c>
      <c r="G552" t="s">
        <v>605</v>
      </c>
      <c r="H552" s="30">
        <v>122</v>
      </c>
      <c r="I552" s="29">
        <f>H552*(1-IFERROR(VLOOKUP(G552,Rabat!$D$10:$E$41,2,FALSE),0))</f>
        <v>122</v>
      </c>
      <c r="J552" t="s">
        <v>1902</v>
      </c>
      <c r="K552" t="s">
        <v>2508</v>
      </c>
      <c r="L552" t="s">
        <v>1901</v>
      </c>
      <c r="M552">
        <v>20</v>
      </c>
      <c r="N552">
        <v>400</v>
      </c>
      <c r="O552" t="s">
        <v>3435</v>
      </c>
      <c r="P552" s="31" t="str">
        <f>HYPERLINK("https://b2b.kobi.pl/pl/product/12550,plafon-led-nivera-circle-24w-3cct-lx-ip54-bialy-kobi-premium?currency=PLN")</f>
        <v>https://b2b.kobi.pl/pl/product/12550,plafon-led-nivera-circle-24w-3cct-lx-ip54-bialy-kobi-premium?currency=PLN</v>
      </c>
      <c r="Q552" s="31" t="str">
        <f>HYPERLINK("https://eprel.ec.europa.eu/qr/2338798")</f>
        <v>https://eprel.ec.europa.eu/qr/2338798</v>
      </c>
      <c r="R552"/>
      <c r="S552" t="s">
        <v>2675</v>
      </c>
      <c r="T552"/>
      <c r="U552">
        <v>0.68</v>
      </c>
      <c r="V552">
        <v>0.8</v>
      </c>
      <c r="W552">
        <v>31</v>
      </c>
      <c r="X552">
        <v>31</v>
      </c>
      <c r="Y552">
        <v>3.3</v>
      </c>
    </row>
    <row r="553" spans="1:25" ht="60" customHeight="1" x14ac:dyDescent="0.25">
      <c r="A553"/>
      <c r="B553" t="s">
        <v>4</v>
      </c>
      <c r="C553" t="s">
        <v>3376</v>
      </c>
      <c r="D553" t="s">
        <v>631</v>
      </c>
      <c r="E553" t="s">
        <v>2403</v>
      </c>
      <c r="F553" t="s">
        <v>2404</v>
      </c>
      <c r="G553" t="s">
        <v>605</v>
      </c>
      <c r="H553" s="30">
        <v>122</v>
      </c>
      <c r="I553" s="29">
        <f>H553*(1-IFERROR(VLOOKUP(G553,Rabat!$D$10:$E$41,2,FALSE),0))</f>
        <v>122</v>
      </c>
      <c r="J553" t="s">
        <v>1902</v>
      </c>
      <c r="K553" t="s">
        <v>2509</v>
      </c>
      <c r="L553" t="s">
        <v>1901</v>
      </c>
      <c r="M553">
        <v>20</v>
      </c>
      <c r="N553">
        <v>400</v>
      </c>
      <c r="O553" t="s">
        <v>3435</v>
      </c>
      <c r="P553" s="31" t="str">
        <f>HYPERLINK("https://b2b.kobi.pl/pl/product/12551,plafon-led-nivera-circle-24w-3cct-lx-ip54-czarny-kobi-premium?currency=PLN")</f>
        <v>https://b2b.kobi.pl/pl/product/12551,plafon-led-nivera-circle-24w-3cct-lx-ip54-czarny-kobi-premium?currency=PLN</v>
      </c>
      <c r="Q553" s="31" t="str">
        <f>HYPERLINK("https://eprel.ec.europa.eu/qr/2338798")</f>
        <v>https://eprel.ec.europa.eu/qr/2338798</v>
      </c>
      <c r="R553"/>
      <c r="S553" t="s">
        <v>2675</v>
      </c>
      <c r="T553"/>
      <c r="U553">
        <v>0.68</v>
      </c>
      <c r="V553">
        <v>0.8</v>
      </c>
      <c r="W553">
        <v>31</v>
      </c>
      <c r="X553">
        <v>31</v>
      </c>
      <c r="Y553">
        <v>3.3</v>
      </c>
    </row>
    <row r="554" spans="1:25" ht="60" customHeight="1" x14ac:dyDescent="0.25">
      <c r="A554"/>
      <c r="B554" t="s">
        <v>4</v>
      </c>
      <c r="C554" t="s">
        <v>3376</v>
      </c>
      <c r="D554" t="s">
        <v>631</v>
      </c>
      <c r="E554" t="s">
        <v>2405</v>
      </c>
      <c r="F554" t="s">
        <v>2406</v>
      </c>
      <c r="G554" t="s">
        <v>605</v>
      </c>
      <c r="H554" s="30">
        <v>144.57</v>
      </c>
      <c r="I554" s="29">
        <f>H554*(1-IFERROR(VLOOKUP(G554,Rabat!$D$10:$E$41,2,FALSE),0))</f>
        <v>144.57</v>
      </c>
      <c r="J554" t="s">
        <v>1902</v>
      </c>
      <c r="K554" t="s">
        <v>2510</v>
      </c>
      <c r="L554" t="s">
        <v>1901</v>
      </c>
      <c r="M554">
        <v>10</v>
      </c>
      <c r="N554">
        <v>160</v>
      </c>
      <c r="O554" t="s">
        <v>3435</v>
      </c>
      <c r="P554" s="31" t="str">
        <f>HYPERLINK("https://b2b.kobi.pl/pl/product/12536,plafon-led-nivera-circle-32w-3cct-ip54-bialy-kobi-premium?currency=PLN")</f>
        <v>https://b2b.kobi.pl/pl/product/12536,plafon-led-nivera-circle-32w-3cct-ip54-bialy-kobi-premium?currency=PLN</v>
      </c>
      <c r="Q554" s="31" t="str">
        <f>HYPERLINK("https://eprel.ec.europa.eu/qr/2338842")</f>
        <v>https://eprel.ec.europa.eu/qr/2338842</v>
      </c>
      <c r="R554"/>
      <c r="S554" t="s">
        <v>2675</v>
      </c>
      <c r="T554"/>
      <c r="U554">
        <v>1.1000000000000001</v>
      </c>
      <c r="V554">
        <v>1.35</v>
      </c>
      <c r="W554">
        <v>42.8</v>
      </c>
      <c r="X554">
        <v>42.8</v>
      </c>
      <c r="Y554">
        <v>3.3</v>
      </c>
    </row>
    <row r="555" spans="1:25" ht="60" customHeight="1" x14ac:dyDescent="0.25">
      <c r="A555"/>
      <c r="B555" t="s">
        <v>4</v>
      </c>
      <c r="C555" t="s">
        <v>3376</v>
      </c>
      <c r="D555" t="s">
        <v>631</v>
      </c>
      <c r="E555" t="s">
        <v>2407</v>
      </c>
      <c r="F555" t="s">
        <v>2408</v>
      </c>
      <c r="G555" t="s">
        <v>605</v>
      </c>
      <c r="H555" s="30">
        <v>144.57</v>
      </c>
      <c r="I555" s="29">
        <f>H555*(1-IFERROR(VLOOKUP(G555,Rabat!$D$10:$E$41,2,FALSE),0))</f>
        <v>144.57</v>
      </c>
      <c r="J555" t="s">
        <v>1902</v>
      </c>
      <c r="K555" t="s">
        <v>2511</v>
      </c>
      <c r="L555" t="s">
        <v>1901</v>
      </c>
      <c r="M555">
        <v>10</v>
      </c>
      <c r="N555">
        <v>160</v>
      </c>
      <c r="O555" t="s">
        <v>3435</v>
      </c>
      <c r="P555" s="31" t="str">
        <f>HYPERLINK("https://b2b.kobi.pl/pl/product/12537,plafon-led-nivera-circle-32w-3cct-ip54-czarny-kobi-premium?currency=PLN")</f>
        <v>https://b2b.kobi.pl/pl/product/12537,plafon-led-nivera-circle-32w-3cct-ip54-czarny-kobi-premium?currency=PLN</v>
      </c>
      <c r="Q555" s="31" t="str">
        <f>HYPERLINK("https://eprel.ec.europa.eu/qr/2338842")</f>
        <v>https://eprel.ec.europa.eu/qr/2338842</v>
      </c>
      <c r="R555"/>
      <c r="S555" t="s">
        <v>2675</v>
      </c>
      <c r="T555"/>
      <c r="U555">
        <v>1.1000000000000001</v>
      </c>
      <c r="V555">
        <v>1.35</v>
      </c>
      <c r="W555">
        <v>42.8</v>
      </c>
      <c r="X555">
        <v>42.8</v>
      </c>
      <c r="Y555">
        <v>3.3</v>
      </c>
    </row>
    <row r="556" spans="1:25" ht="60" customHeight="1" x14ac:dyDescent="0.25">
      <c r="A556"/>
      <c r="B556" t="s">
        <v>4</v>
      </c>
      <c r="C556" t="s">
        <v>3376</v>
      </c>
      <c r="D556" t="s">
        <v>631</v>
      </c>
      <c r="E556" t="s">
        <v>2409</v>
      </c>
      <c r="F556" t="s">
        <v>2410</v>
      </c>
      <c r="G556" t="s">
        <v>605</v>
      </c>
      <c r="H556" s="30">
        <v>179.03</v>
      </c>
      <c r="I556" s="29">
        <f>H556*(1-IFERROR(VLOOKUP(G556,Rabat!$D$10:$E$41,2,FALSE),0))</f>
        <v>179.03</v>
      </c>
      <c r="J556" t="s">
        <v>1902</v>
      </c>
      <c r="K556" t="s">
        <v>2512</v>
      </c>
      <c r="L556" t="s">
        <v>1901</v>
      </c>
      <c r="M556">
        <v>10</v>
      </c>
      <c r="N556">
        <v>160</v>
      </c>
      <c r="O556" t="s">
        <v>3435</v>
      </c>
      <c r="P556" s="31" t="str">
        <f>HYPERLINK("https://b2b.kobi.pl/pl/product/12552,plafon-led-nivera-circle-32w-3cct-lx-ip54-bialy-kobi-premium?currency=PLN")</f>
        <v>https://b2b.kobi.pl/pl/product/12552,plafon-led-nivera-circle-32w-3cct-lx-ip54-bialy-kobi-premium?currency=PLN</v>
      </c>
      <c r="Q556" s="31" t="str">
        <f>HYPERLINK("https://eprel.ec.europa.eu/qr/2338842")</f>
        <v>https://eprel.ec.europa.eu/qr/2338842</v>
      </c>
      <c r="R556"/>
      <c r="S556" t="s">
        <v>2675</v>
      </c>
      <c r="T556"/>
      <c r="U556">
        <v>1.1299999999999999</v>
      </c>
      <c r="V556">
        <v>1.35</v>
      </c>
      <c r="W556">
        <v>42.8</v>
      </c>
      <c r="X556">
        <v>42.8</v>
      </c>
      <c r="Y556">
        <v>3.3</v>
      </c>
    </row>
    <row r="557" spans="1:25" ht="60" customHeight="1" x14ac:dyDescent="0.25">
      <c r="A557"/>
      <c r="B557" t="s">
        <v>4</v>
      </c>
      <c r="C557" t="s">
        <v>3376</v>
      </c>
      <c r="D557" t="s">
        <v>631</v>
      </c>
      <c r="E557" t="s">
        <v>2411</v>
      </c>
      <c r="F557" t="s">
        <v>2412</v>
      </c>
      <c r="G557" t="s">
        <v>605</v>
      </c>
      <c r="H557" s="30">
        <v>179.03</v>
      </c>
      <c r="I557" s="29">
        <f>H557*(1-IFERROR(VLOOKUP(G557,Rabat!$D$10:$E$41,2,FALSE),0))</f>
        <v>179.03</v>
      </c>
      <c r="J557" t="s">
        <v>1902</v>
      </c>
      <c r="K557" t="s">
        <v>2513</v>
      </c>
      <c r="L557" t="s">
        <v>1901</v>
      </c>
      <c r="M557">
        <v>10</v>
      </c>
      <c r="N557">
        <v>160</v>
      </c>
      <c r="O557" t="s">
        <v>3435</v>
      </c>
      <c r="P557" s="31" t="str">
        <f>HYPERLINK("https://b2b.kobi.pl/pl/product/12553,plafon-led-nivera-circle-32w-3cct-lx-ip54-czarny-kobi-premium?currency=PLN")</f>
        <v>https://b2b.kobi.pl/pl/product/12553,plafon-led-nivera-circle-32w-3cct-lx-ip54-czarny-kobi-premium?currency=PLN</v>
      </c>
      <c r="Q557" s="31" t="str">
        <f>HYPERLINK("https://eprel.ec.europa.eu/qr/2338842")</f>
        <v>https://eprel.ec.europa.eu/qr/2338842</v>
      </c>
      <c r="R557"/>
      <c r="S557" t="s">
        <v>2675</v>
      </c>
      <c r="T557"/>
      <c r="U557">
        <v>1.1299999999999999</v>
      </c>
      <c r="V557">
        <v>1.35</v>
      </c>
      <c r="W557">
        <v>42.8</v>
      </c>
      <c r="X557">
        <v>42.8</v>
      </c>
      <c r="Y557">
        <v>3.3</v>
      </c>
    </row>
    <row r="558" spans="1:25" ht="60" customHeight="1" x14ac:dyDescent="0.25">
      <c r="A558"/>
      <c r="B558" t="s">
        <v>4</v>
      </c>
      <c r="C558" t="s">
        <v>3376</v>
      </c>
      <c r="D558" t="s">
        <v>631</v>
      </c>
      <c r="E558" t="s">
        <v>2413</v>
      </c>
      <c r="F558" t="s">
        <v>2414</v>
      </c>
      <c r="G558" t="s">
        <v>605</v>
      </c>
      <c r="H558" s="30">
        <v>65.7</v>
      </c>
      <c r="I558" s="29">
        <f>H558*(1-IFERROR(VLOOKUP(G558,Rabat!$D$10:$E$41,2,FALSE),0))</f>
        <v>65.7</v>
      </c>
      <c r="J558" t="s">
        <v>1902</v>
      </c>
      <c r="K558" t="s">
        <v>2514</v>
      </c>
      <c r="L558" t="s">
        <v>1901</v>
      </c>
      <c r="M558">
        <v>20</v>
      </c>
      <c r="N558">
        <v>480</v>
      </c>
      <c r="O558" t="s">
        <v>3435</v>
      </c>
      <c r="P558" s="31" t="str">
        <f>HYPERLINK("https://b2b.kobi.pl/pl/product/12538,plafon-led-nivera-square-12w-3cct-ip54-bialy-kobi-premium?currency=PLN")</f>
        <v>https://b2b.kobi.pl/pl/product/12538,plafon-led-nivera-square-12w-3cct-ip54-bialy-kobi-premium?currency=PLN</v>
      </c>
      <c r="Q558" s="31" t="str">
        <f>HYPERLINK("https://eprel.ec.europa.eu/qr/2338861")</f>
        <v>https://eprel.ec.europa.eu/qr/2338861</v>
      </c>
      <c r="R558"/>
      <c r="S558" t="s">
        <v>2675</v>
      </c>
      <c r="T558"/>
      <c r="U558">
        <v>0.5</v>
      </c>
      <c r="V558">
        <v>0.59</v>
      </c>
      <c r="W558">
        <v>23.5</v>
      </c>
      <c r="X558">
        <v>23.5</v>
      </c>
      <c r="Y558">
        <v>3.3</v>
      </c>
    </row>
    <row r="559" spans="1:25" ht="60" customHeight="1" x14ac:dyDescent="0.25">
      <c r="A559"/>
      <c r="B559" t="s">
        <v>4</v>
      </c>
      <c r="C559" t="s">
        <v>3376</v>
      </c>
      <c r="D559" t="s">
        <v>631</v>
      </c>
      <c r="E559" t="s">
        <v>2415</v>
      </c>
      <c r="F559" t="s">
        <v>2416</v>
      </c>
      <c r="G559" t="s">
        <v>605</v>
      </c>
      <c r="H559" s="30">
        <v>65.7</v>
      </c>
      <c r="I559" s="29">
        <f>H559*(1-IFERROR(VLOOKUP(G559,Rabat!$D$10:$E$41,2,FALSE),0))</f>
        <v>65.7</v>
      </c>
      <c r="J559" t="s">
        <v>1902</v>
      </c>
      <c r="K559" t="s">
        <v>2515</v>
      </c>
      <c r="L559" t="s">
        <v>1901</v>
      </c>
      <c r="M559">
        <v>20</v>
      </c>
      <c r="N559">
        <v>480</v>
      </c>
      <c r="O559" t="s">
        <v>3435</v>
      </c>
      <c r="P559" s="31" t="str">
        <f>HYPERLINK("https://b2b.kobi.pl/pl/product/12539,plafon-led-nivera-square-12w-3cct-ip54-czarny-kobi-premium?currency=PLN")</f>
        <v>https://b2b.kobi.pl/pl/product/12539,plafon-led-nivera-square-12w-3cct-ip54-czarny-kobi-premium?currency=PLN</v>
      </c>
      <c r="Q559" s="31" t="str">
        <f>HYPERLINK("https://eprel.ec.europa.eu/qr/2338861")</f>
        <v>https://eprel.ec.europa.eu/qr/2338861</v>
      </c>
      <c r="R559"/>
      <c r="S559" t="s">
        <v>2675</v>
      </c>
      <c r="T559"/>
      <c r="U559">
        <v>0.5</v>
      </c>
      <c r="V559">
        <v>0.59</v>
      </c>
      <c r="W559">
        <v>23.5</v>
      </c>
      <c r="X559">
        <v>23.5</v>
      </c>
      <c r="Y559">
        <v>3.3</v>
      </c>
    </row>
    <row r="560" spans="1:25" ht="60" customHeight="1" x14ac:dyDescent="0.25">
      <c r="A560"/>
      <c r="B560" t="s">
        <v>4</v>
      </c>
      <c r="C560" t="s">
        <v>3376</v>
      </c>
      <c r="D560" t="s">
        <v>631</v>
      </c>
      <c r="E560" t="s">
        <v>2417</v>
      </c>
      <c r="F560" t="s">
        <v>2418</v>
      </c>
      <c r="G560" t="s">
        <v>605</v>
      </c>
      <c r="H560" s="30">
        <v>100.2</v>
      </c>
      <c r="I560" s="29">
        <f>H560*(1-IFERROR(VLOOKUP(G560,Rabat!$D$10:$E$41,2,FALSE),0))</f>
        <v>100.2</v>
      </c>
      <c r="J560" t="s">
        <v>1902</v>
      </c>
      <c r="K560" t="s">
        <v>2516</v>
      </c>
      <c r="L560" t="s">
        <v>1901</v>
      </c>
      <c r="M560">
        <v>20</v>
      </c>
      <c r="N560">
        <v>480</v>
      </c>
      <c r="O560" t="s">
        <v>3435</v>
      </c>
      <c r="P560" s="31" t="str">
        <f>HYPERLINK("https://b2b.kobi.pl/pl/product/12554,plafon-led-nivera-square-12w-3cct-lx-ip54-bialy-kobi-premium?currency=PLN")</f>
        <v>https://b2b.kobi.pl/pl/product/12554,plafon-led-nivera-square-12w-3cct-lx-ip54-bialy-kobi-premium?currency=PLN</v>
      </c>
      <c r="Q560" s="31" t="str">
        <f>HYPERLINK("https://eprel.ec.europa.eu/qr/2338861")</f>
        <v>https://eprel.ec.europa.eu/qr/2338861</v>
      </c>
      <c r="R560"/>
      <c r="S560" t="s">
        <v>2675</v>
      </c>
      <c r="T560"/>
      <c r="U560">
        <v>0.53</v>
      </c>
      <c r="V560">
        <v>0.62</v>
      </c>
      <c r="W560">
        <v>23.5</v>
      </c>
      <c r="X560">
        <v>23.5</v>
      </c>
      <c r="Y560">
        <v>3.3</v>
      </c>
    </row>
    <row r="561" spans="1:25" ht="60" customHeight="1" x14ac:dyDescent="0.25">
      <c r="A561"/>
      <c r="B561" t="s">
        <v>4</v>
      </c>
      <c r="C561" t="s">
        <v>3376</v>
      </c>
      <c r="D561" t="s">
        <v>631</v>
      </c>
      <c r="E561" t="s">
        <v>2419</v>
      </c>
      <c r="F561" t="s">
        <v>2420</v>
      </c>
      <c r="G561" t="s">
        <v>605</v>
      </c>
      <c r="H561" s="30">
        <v>100.2</v>
      </c>
      <c r="I561" s="29">
        <f>H561*(1-IFERROR(VLOOKUP(G561,Rabat!$D$10:$E$41,2,FALSE),0))</f>
        <v>100.2</v>
      </c>
      <c r="J561" t="s">
        <v>1902</v>
      </c>
      <c r="K561" t="s">
        <v>2517</v>
      </c>
      <c r="L561" t="s">
        <v>1901</v>
      </c>
      <c r="M561">
        <v>20</v>
      </c>
      <c r="N561">
        <v>480</v>
      </c>
      <c r="O561" t="s">
        <v>3435</v>
      </c>
      <c r="P561" s="31" t="str">
        <f>HYPERLINK("https://b2b.kobi.pl/pl/product/12555,plafon-led-nivera-square-12w-3cct-lx-ip54-czarny-kobi-premium?currency=PLN")</f>
        <v>https://b2b.kobi.pl/pl/product/12555,plafon-led-nivera-square-12w-3cct-lx-ip54-czarny-kobi-premium?currency=PLN</v>
      </c>
      <c r="Q561" s="31" t="str">
        <f>HYPERLINK("https://eprel.ec.europa.eu/qr/2338861")</f>
        <v>https://eprel.ec.europa.eu/qr/2338861</v>
      </c>
      <c r="R561"/>
      <c r="S561" t="s">
        <v>2675</v>
      </c>
      <c r="T561"/>
      <c r="U561">
        <v>0.53</v>
      </c>
      <c r="V561">
        <v>0.62</v>
      </c>
      <c r="W561">
        <v>23.5</v>
      </c>
      <c r="X561">
        <v>23.5</v>
      </c>
      <c r="Y561">
        <v>3.3</v>
      </c>
    </row>
    <row r="562" spans="1:25" ht="60" customHeight="1" x14ac:dyDescent="0.25">
      <c r="A562"/>
      <c r="B562" t="s">
        <v>4</v>
      </c>
      <c r="C562" t="s">
        <v>3376</v>
      </c>
      <c r="D562" t="s">
        <v>631</v>
      </c>
      <c r="E562" t="s">
        <v>2421</v>
      </c>
      <c r="F562" t="s">
        <v>2422</v>
      </c>
      <c r="G562" t="s">
        <v>605</v>
      </c>
      <c r="H562" s="30">
        <v>85.41</v>
      </c>
      <c r="I562" s="29">
        <f>H562*(1-IFERROR(VLOOKUP(G562,Rabat!$D$10:$E$41,2,FALSE),0))</f>
        <v>85.41</v>
      </c>
      <c r="J562" t="s">
        <v>1902</v>
      </c>
      <c r="K562" t="s">
        <v>2518</v>
      </c>
      <c r="L562" t="s">
        <v>1901</v>
      </c>
      <c r="M562">
        <v>20</v>
      </c>
      <c r="N562"/>
      <c r="O562" t="s">
        <v>3435</v>
      </c>
      <c r="P562" s="31" t="str">
        <f>HYPERLINK("https://b2b.kobi.pl/pl/product/12540,plafon-led-nivera-square-18w-3cct-ip54-bialy-kobi-premium?currency=PLN")</f>
        <v>https://b2b.kobi.pl/pl/product/12540,plafon-led-nivera-square-18w-3cct-ip54-bialy-kobi-premium?currency=PLN</v>
      </c>
      <c r="Q562" s="31" t="str">
        <f>HYPERLINK("https://eprel.ec.europa.eu/qr/2338868")</f>
        <v>https://eprel.ec.europa.eu/qr/2338868</v>
      </c>
      <c r="R562"/>
      <c r="S562" t="s">
        <v>2675</v>
      </c>
      <c r="T562"/>
      <c r="U562">
        <v>0.8</v>
      </c>
      <c r="V562">
        <v>0.96</v>
      </c>
      <c r="W562">
        <v>31</v>
      </c>
      <c r="X562">
        <v>31</v>
      </c>
      <c r="Y562">
        <v>3.3</v>
      </c>
    </row>
    <row r="563" spans="1:25" ht="60" customHeight="1" x14ac:dyDescent="0.25">
      <c r="A563"/>
      <c r="B563" t="s">
        <v>4</v>
      </c>
      <c r="C563" t="s">
        <v>3376</v>
      </c>
      <c r="D563" t="s">
        <v>631</v>
      </c>
      <c r="E563" t="s">
        <v>2423</v>
      </c>
      <c r="F563" t="s">
        <v>2424</v>
      </c>
      <c r="G563" t="s">
        <v>605</v>
      </c>
      <c r="H563" s="30">
        <v>85.41</v>
      </c>
      <c r="I563" s="29">
        <f>H563*(1-IFERROR(VLOOKUP(G563,Rabat!$D$10:$E$41,2,FALSE),0))</f>
        <v>85.41</v>
      </c>
      <c r="J563" t="s">
        <v>1902</v>
      </c>
      <c r="K563" t="s">
        <v>2519</v>
      </c>
      <c r="L563" t="s">
        <v>1901</v>
      </c>
      <c r="M563">
        <v>20</v>
      </c>
      <c r="N563">
        <v>400</v>
      </c>
      <c r="O563" t="s">
        <v>3435</v>
      </c>
      <c r="P563" s="31" t="str">
        <f>HYPERLINK("https://b2b.kobi.pl/pl/product/12541,plafon-led-nivera-square-18w-3cct-ip54-czarny-kobi-premium?currency=PLN")</f>
        <v>https://b2b.kobi.pl/pl/product/12541,plafon-led-nivera-square-18w-3cct-ip54-czarny-kobi-premium?currency=PLN</v>
      </c>
      <c r="Q563" s="31" t="str">
        <f>HYPERLINK("https://eprel.ec.europa.eu/qr/2338868")</f>
        <v>https://eprel.ec.europa.eu/qr/2338868</v>
      </c>
      <c r="R563"/>
      <c r="S563" t="s">
        <v>2675</v>
      </c>
      <c r="T563"/>
      <c r="U563">
        <v>0.8</v>
      </c>
      <c r="V563">
        <v>0.96</v>
      </c>
      <c r="W563">
        <v>31</v>
      </c>
      <c r="X563">
        <v>31</v>
      </c>
      <c r="Y563">
        <v>3.3</v>
      </c>
    </row>
    <row r="564" spans="1:25" ht="60" customHeight="1" x14ac:dyDescent="0.25">
      <c r="A564"/>
      <c r="B564" t="s">
        <v>4</v>
      </c>
      <c r="C564" t="s">
        <v>3376</v>
      </c>
      <c r="D564" t="s">
        <v>631</v>
      </c>
      <c r="E564" t="s">
        <v>2425</v>
      </c>
      <c r="F564" t="s">
        <v>2426</v>
      </c>
      <c r="G564" t="s">
        <v>605</v>
      </c>
      <c r="H564" s="30">
        <v>119.92</v>
      </c>
      <c r="I564" s="29">
        <f>H564*(1-IFERROR(VLOOKUP(G564,Rabat!$D$10:$E$41,2,FALSE),0))</f>
        <v>119.92</v>
      </c>
      <c r="J564" t="s">
        <v>1902</v>
      </c>
      <c r="K564" t="s">
        <v>2520</v>
      </c>
      <c r="L564" t="s">
        <v>1901</v>
      </c>
      <c r="M564">
        <v>20</v>
      </c>
      <c r="N564">
        <v>400</v>
      </c>
      <c r="O564" t="s">
        <v>3435</v>
      </c>
      <c r="P564" s="31" t="str">
        <f>HYPERLINK("https://b2b.kobi.pl/pl/product/12556,plafon-led-nivera-square-18w-3cct-lx-ip54-bialy-kobi-premium?currency=PLN")</f>
        <v>https://b2b.kobi.pl/pl/product/12556,plafon-led-nivera-square-18w-3cct-lx-ip54-bialy-kobi-premium?currency=PLN</v>
      </c>
      <c r="Q564" s="31" t="str">
        <f>HYPERLINK("https://eprel.ec.europa.eu/qr/2338868")</f>
        <v>https://eprel.ec.europa.eu/qr/2338868</v>
      </c>
      <c r="R564"/>
      <c r="S564" t="s">
        <v>2675</v>
      </c>
      <c r="T564"/>
      <c r="U564">
        <v>0.83</v>
      </c>
      <c r="V564">
        <v>0.97</v>
      </c>
      <c r="W564">
        <v>31</v>
      </c>
      <c r="X564">
        <v>31</v>
      </c>
      <c r="Y564">
        <v>3.3</v>
      </c>
    </row>
    <row r="565" spans="1:25" ht="60" customHeight="1" x14ac:dyDescent="0.25">
      <c r="A565"/>
      <c r="B565" t="s">
        <v>4</v>
      </c>
      <c r="C565" t="s">
        <v>3376</v>
      </c>
      <c r="D565" t="s">
        <v>631</v>
      </c>
      <c r="E565" t="s">
        <v>2427</v>
      </c>
      <c r="F565" t="s">
        <v>2428</v>
      </c>
      <c r="G565" t="s">
        <v>605</v>
      </c>
      <c r="H565" s="30">
        <v>119.92</v>
      </c>
      <c r="I565" s="29">
        <f>H565*(1-IFERROR(VLOOKUP(G565,Rabat!$D$10:$E$41,2,FALSE),0))</f>
        <v>119.92</v>
      </c>
      <c r="J565" t="s">
        <v>1902</v>
      </c>
      <c r="K565" t="s">
        <v>2521</v>
      </c>
      <c r="L565" t="s">
        <v>1901</v>
      </c>
      <c r="M565">
        <v>20</v>
      </c>
      <c r="N565">
        <v>400</v>
      </c>
      <c r="O565" t="s">
        <v>3435</v>
      </c>
      <c r="P565" s="31" t="str">
        <f>HYPERLINK("https://b2b.kobi.pl/pl/product/12557,plafon-led-nivera-square-18w-3cct-lx-ip54-czarny-kobi-premium?currency=PLN")</f>
        <v>https://b2b.kobi.pl/pl/product/12557,plafon-led-nivera-square-18w-3cct-lx-ip54-czarny-kobi-premium?currency=PLN</v>
      </c>
      <c r="Q565" s="31" t="str">
        <f>HYPERLINK("https://eprel.ec.europa.eu/qr/2338868")</f>
        <v>https://eprel.ec.europa.eu/qr/2338868</v>
      </c>
      <c r="R565"/>
      <c r="S565" t="s">
        <v>2675</v>
      </c>
      <c r="T565"/>
      <c r="U565">
        <v>0.83</v>
      </c>
      <c r="V565">
        <v>0.97</v>
      </c>
      <c r="W565">
        <v>31</v>
      </c>
      <c r="X565">
        <v>31</v>
      </c>
      <c r="Y565">
        <v>3.3</v>
      </c>
    </row>
    <row r="566" spans="1:25" ht="60" customHeight="1" x14ac:dyDescent="0.25">
      <c r="A566"/>
      <c r="B566" t="s">
        <v>4</v>
      </c>
      <c r="C566" t="s">
        <v>3376</v>
      </c>
      <c r="D566" t="s">
        <v>631</v>
      </c>
      <c r="E566" t="s">
        <v>2429</v>
      </c>
      <c r="F566" t="s">
        <v>2430</v>
      </c>
      <c r="G566" t="s">
        <v>605</v>
      </c>
      <c r="H566" s="30">
        <v>90</v>
      </c>
      <c r="I566" s="29">
        <f>H566*(1-IFERROR(VLOOKUP(G566,Rabat!$D$10:$E$41,2,FALSE),0))</f>
        <v>90</v>
      </c>
      <c r="J566" t="s">
        <v>1902</v>
      </c>
      <c r="K566" t="s">
        <v>2522</v>
      </c>
      <c r="L566" t="s">
        <v>1901</v>
      </c>
      <c r="M566">
        <v>20</v>
      </c>
      <c r="N566">
        <v>400</v>
      </c>
      <c r="O566" t="s">
        <v>3435</v>
      </c>
      <c r="P566" s="31" t="str">
        <f>HYPERLINK("https://b2b.kobi.pl/pl/product/12542,plafon-led-nivera-square-24w-3cct-ip54-bialy-kobi-premium?currency=PLN")</f>
        <v>https://b2b.kobi.pl/pl/product/12542,plafon-led-nivera-square-24w-3cct-ip54-bialy-kobi-premium?currency=PLN</v>
      </c>
      <c r="Q566" s="31" t="str">
        <f>HYPERLINK("https://eprel.ec.europa.eu/qr/2338876")</f>
        <v>https://eprel.ec.europa.eu/qr/2338876</v>
      </c>
      <c r="R566"/>
      <c r="S566" t="s">
        <v>2675</v>
      </c>
      <c r="T566"/>
      <c r="U566">
        <v>0.81</v>
      </c>
      <c r="V566">
        <v>0.96</v>
      </c>
      <c r="W566">
        <v>31</v>
      </c>
      <c r="X566">
        <v>31</v>
      </c>
      <c r="Y566">
        <v>3.3</v>
      </c>
    </row>
    <row r="567" spans="1:25" ht="60" customHeight="1" x14ac:dyDescent="0.25">
      <c r="A567"/>
      <c r="B567" t="s">
        <v>4</v>
      </c>
      <c r="C567" t="s">
        <v>3376</v>
      </c>
      <c r="D567" t="s">
        <v>631</v>
      </c>
      <c r="E567" t="s">
        <v>2431</v>
      </c>
      <c r="F567" t="s">
        <v>2432</v>
      </c>
      <c r="G567" t="s">
        <v>605</v>
      </c>
      <c r="H567" s="30">
        <v>90</v>
      </c>
      <c r="I567" s="29">
        <f>H567*(1-IFERROR(VLOOKUP(G567,Rabat!$D$10:$E$41,2,FALSE),0))</f>
        <v>90</v>
      </c>
      <c r="J567" t="s">
        <v>1902</v>
      </c>
      <c r="K567" t="s">
        <v>2523</v>
      </c>
      <c r="L567" t="s">
        <v>1901</v>
      </c>
      <c r="M567">
        <v>20</v>
      </c>
      <c r="N567">
        <v>400</v>
      </c>
      <c r="O567" t="s">
        <v>3435</v>
      </c>
      <c r="P567" s="31" t="str">
        <f>HYPERLINK("https://b2b.kobi.pl/pl/product/12543,plafon-led-nivera-square-24w-3cct-ip54-czarny-kobi-premium?currency=PLN")</f>
        <v>https://b2b.kobi.pl/pl/product/12543,plafon-led-nivera-square-24w-3cct-ip54-czarny-kobi-premium?currency=PLN</v>
      </c>
      <c r="Q567" s="31" t="str">
        <f>HYPERLINK("https://eprel.ec.europa.eu/qr/2338876")</f>
        <v>https://eprel.ec.europa.eu/qr/2338876</v>
      </c>
      <c r="R567"/>
      <c r="S567" t="s">
        <v>2675</v>
      </c>
      <c r="T567"/>
      <c r="U567">
        <v>0.81</v>
      </c>
      <c r="V567">
        <v>0.96</v>
      </c>
      <c r="W567">
        <v>31</v>
      </c>
      <c r="X567">
        <v>31</v>
      </c>
      <c r="Y567">
        <v>3.3</v>
      </c>
    </row>
    <row r="568" spans="1:25" ht="60" customHeight="1" x14ac:dyDescent="0.25">
      <c r="A568"/>
      <c r="B568" t="s">
        <v>4</v>
      </c>
      <c r="C568" t="s">
        <v>3376</v>
      </c>
      <c r="D568" t="s">
        <v>631</v>
      </c>
      <c r="E568" t="s">
        <v>2433</v>
      </c>
      <c r="F568" t="s">
        <v>2434</v>
      </c>
      <c r="G568" t="s">
        <v>605</v>
      </c>
      <c r="H568" s="30">
        <v>124.22</v>
      </c>
      <c r="I568" s="29">
        <f>H568*(1-IFERROR(VLOOKUP(G568,Rabat!$D$10:$E$41,2,FALSE),0))</f>
        <v>124.22</v>
      </c>
      <c r="J568" t="s">
        <v>1902</v>
      </c>
      <c r="K568" t="s">
        <v>2524</v>
      </c>
      <c r="L568" t="s">
        <v>1901</v>
      </c>
      <c r="M568">
        <v>20</v>
      </c>
      <c r="N568">
        <v>400</v>
      </c>
      <c r="O568" t="s">
        <v>3435</v>
      </c>
      <c r="P568" s="31" t="str">
        <f>HYPERLINK("https://b2b.kobi.pl/pl/product/12558,plafon-led-nivera-square-24w-3cct-lx-ip54-bialy-kobi-premium?currency=PLN")</f>
        <v>https://b2b.kobi.pl/pl/product/12558,plafon-led-nivera-square-24w-3cct-lx-ip54-bialy-kobi-premium?currency=PLN</v>
      </c>
      <c r="Q568" s="31" t="str">
        <f>HYPERLINK("https://eprel.ec.europa.eu/qr/2338876")</f>
        <v>https://eprel.ec.europa.eu/qr/2338876</v>
      </c>
      <c r="R568"/>
      <c r="S568" t="s">
        <v>2675</v>
      </c>
      <c r="T568"/>
      <c r="U568">
        <v>0.85</v>
      </c>
      <c r="V568">
        <v>0.98</v>
      </c>
      <c r="W568">
        <v>31</v>
      </c>
      <c r="X568">
        <v>31</v>
      </c>
      <c r="Y568">
        <v>3.3</v>
      </c>
    </row>
    <row r="569" spans="1:25" ht="60" customHeight="1" x14ac:dyDescent="0.25">
      <c r="A569"/>
      <c r="B569" t="s">
        <v>4</v>
      </c>
      <c r="C569" t="s">
        <v>3376</v>
      </c>
      <c r="D569" t="s">
        <v>631</v>
      </c>
      <c r="E569" t="s">
        <v>2435</v>
      </c>
      <c r="F569" t="s">
        <v>2436</v>
      </c>
      <c r="G569" t="s">
        <v>605</v>
      </c>
      <c r="H569" s="30">
        <v>124.22</v>
      </c>
      <c r="I569" s="29">
        <f>H569*(1-IFERROR(VLOOKUP(G569,Rabat!$D$10:$E$41,2,FALSE),0))</f>
        <v>124.22</v>
      </c>
      <c r="J569" t="s">
        <v>1902</v>
      </c>
      <c r="K569" t="s">
        <v>2525</v>
      </c>
      <c r="L569" t="s">
        <v>1901</v>
      </c>
      <c r="M569">
        <v>20</v>
      </c>
      <c r="N569">
        <v>400</v>
      </c>
      <c r="O569" t="s">
        <v>3435</v>
      </c>
      <c r="P569" s="31" t="str">
        <f>HYPERLINK("https://b2b.kobi.pl/pl/product/12559,plafon-led-nivera-square-24w-3cct-lx-ip54-czarny-kobi-premium?currency=PLN")</f>
        <v>https://b2b.kobi.pl/pl/product/12559,plafon-led-nivera-square-24w-3cct-lx-ip54-czarny-kobi-premium?currency=PLN</v>
      </c>
      <c r="Q569" s="31" t="str">
        <f>HYPERLINK("https://eprel.ec.europa.eu/qr/2338876")</f>
        <v>https://eprel.ec.europa.eu/qr/2338876</v>
      </c>
      <c r="R569"/>
      <c r="S569" t="s">
        <v>2675</v>
      </c>
      <c r="T569"/>
      <c r="U569">
        <v>0.85</v>
      </c>
      <c r="V569">
        <v>0.98</v>
      </c>
      <c r="W569">
        <v>31</v>
      </c>
      <c r="X569">
        <v>31</v>
      </c>
      <c r="Y569">
        <v>3.3</v>
      </c>
    </row>
    <row r="570" spans="1:25" ht="60" customHeight="1" x14ac:dyDescent="0.25">
      <c r="A570"/>
      <c r="B570" t="s">
        <v>4</v>
      </c>
      <c r="C570" t="s">
        <v>3376</v>
      </c>
      <c r="D570" t="s">
        <v>631</v>
      </c>
      <c r="E570" t="s">
        <v>2437</v>
      </c>
      <c r="F570" t="s">
        <v>2438</v>
      </c>
      <c r="G570" t="s">
        <v>605</v>
      </c>
      <c r="H570" s="30">
        <v>179.03</v>
      </c>
      <c r="I570" s="29">
        <f>H570*(1-IFERROR(VLOOKUP(G570,Rabat!$D$10:$E$41,2,FALSE),0))</f>
        <v>179.03</v>
      </c>
      <c r="J570" t="s">
        <v>1902</v>
      </c>
      <c r="K570" t="s">
        <v>2526</v>
      </c>
      <c r="L570" t="s">
        <v>1901</v>
      </c>
      <c r="M570">
        <v>5</v>
      </c>
      <c r="N570">
        <v>160</v>
      </c>
      <c r="O570" t="s">
        <v>3435</v>
      </c>
      <c r="P570" s="31" t="str">
        <f>HYPERLINK("https://b2b.kobi.pl/pl/product/12544,plafon-led-nivera-square-32w-3cct-ip54-bialy-kobi-premium?currency=PLN")</f>
        <v>https://b2b.kobi.pl/pl/product/12544,plafon-led-nivera-square-32w-3cct-ip54-bialy-kobi-premium?currency=PLN</v>
      </c>
      <c r="Q570" s="31" t="str">
        <f>HYPERLINK("https://eprel.ec.europa.eu/qr/2359915")</f>
        <v>https://eprel.ec.europa.eu/qr/2359915</v>
      </c>
      <c r="R570"/>
      <c r="S570" t="s">
        <v>2675</v>
      </c>
      <c r="T570"/>
      <c r="U570">
        <v>1.46</v>
      </c>
      <c r="V570">
        <v>1.73</v>
      </c>
      <c r="W570">
        <v>61</v>
      </c>
      <c r="X570">
        <v>31</v>
      </c>
      <c r="Y570">
        <v>3.3</v>
      </c>
    </row>
    <row r="571" spans="1:25" ht="60" customHeight="1" x14ac:dyDescent="0.25">
      <c r="A571"/>
      <c r="B571" t="s">
        <v>4</v>
      </c>
      <c r="C571" t="s">
        <v>3376</v>
      </c>
      <c r="D571" t="s">
        <v>631</v>
      </c>
      <c r="E571" t="s">
        <v>2439</v>
      </c>
      <c r="F571" t="s">
        <v>2440</v>
      </c>
      <c r="G571" t="s">
        <v>605</v>
      </c>
      <c r="H571" s="30">
        <v>179.03</v>
      </c>
      <c r="I571" s="29">
        <f>H571*(1-IFERROR(VLOOKUP(G571,Rabat!$D$10:$E$41,2,FALSE),0))</f>
        <v>179.03</v>
      </c>
      <c r="J571" t="s">
        <v>1902</v>
      </c>
      <c r="K571" t="s">
        <v>2527</v>
      </c>
      <c r="L571" t="s">
        <v>1901</v>
      </c>
      <c r="M571">
        <v>5</v>
      </c>
      <c r="N571">
        <v>160</v>
      </c>
      <c r="O571" t="s">
        <v>3435</v>
      </c>
      <c r="P571" s="31" t="str">
        <f>HYPERLINK("https://b2b.kobi.pl/pl/product/12545,plafon-led-nivera-square-32w-3cct-ip54-czarny-kobi-premium?currency=PLN")</f>
        <v>https://b2b.kobi.pl/pl/product/12545,plafon-led-nivera-square-32w-3cct-ip54-czarny-kobi-premium?currency=PLN</v>
      </c>
      <c r="Q571" s="31" t="str">
        <f>HYPERLINK("https://eprel.ec.europa.eu/qr/2359915")</f>
        <v>https://eprel.ec.europa.eu/qr/2359915</v>
      </c>
      <c r="R571"/>
      <c r="S571" t="s">
        <v>2675</v>
      </c>
      <c r="T571"/>
      <c r="U571">
        <v>1.46</v>
      </c>
      <c r="V571">
        <v>1.73</v>
      </c>
      <c r="W571">
        <v>61</v>
      </c>
      <c r="X571">
        <v>31</v>
      </c>
      <c r="Y571">
        <v>3.3</v>
      </c>
    </row>
    <row r="572" spans="1:25" ht="60" customHeight="1" x14ac:dyDescent="0.25">
      <c r="A572"/>
      <c r="B572" t="s">
        <v>4</v>
      </c>
      <c r="C572" t="s">
        <v>3376</v>
      </c>
      <c r="D572" t="s">
        <v>643</v>
      </c>
      <c r="E572" t="s">
        <v>3236</v>
      </c>
      <c r="F572" t="s">
        <v>3237</v>
      </c>
      <c r="G572" t="s">
        <v>605</v>
      </c>
      <c r="H572" s="30">
        <v>31.11</v>
      </c>
      <c r="I572" s="29">
        <f>H572*(1-IFERROR(VLOOKUP(G572,Rabat!$D$10:$E$41,2,FALSE),0))</f>
        <v>31.11</v>
      </c>
      <c r="J572" t="s">
        <v>1902</v>
      </c>
      <c r="K572" t="s">
        <v>3244</v>
      </c>
      <c r="L572" t="s">
        <v>1901</v>
      </c>
      <c r="M572">
        <v>20</v>
      </c>
      <c r="N572"/>
      <c r="O572" t="s">
        <v>3434</v>
      </c>
      <c r="P572" s="31" t="str">
        <f>HYPERLINK("https://b2b.kobi.pl/pl/product/13103,plafon-led-sofi-12w-4000k-ip20-kobi?currency=PLN")</f>
        <v>https://b2b.kobi.pl/pl/product/13103,plafon-led-sofi-12w-4000k-ip20-kobi?currency=PLN</v>
      </c>
      <c r="Q572" s="31" t="str">
        <f>HYPERLINK("https://eprel.ec.europa.eu/qr/2483348")</f>
        <v>https://eprel.ec.europa.eu/qr/2483348</v>
      </c>
      <c r="R572"/>
      <c r="S572" t="s">
        <v>2714</v>
      </c>
      <c r="T572"/>
      <c r="U572">
        <v>0.2</v>
      </c>
      <c r="V572">
        <v>0.35</v>
      </c>
      <c r="W572">
        <v>26.5</v>
      </c>
      <c r="X572">
        <v>6.5</v>
      </c>
      <c r="Y572">
        <v>26.5</v>
      </c>
    </row>
    <row r="573" spans="1:25" ht="60" customHeight="1" x14ac:dyDescent="0.25">
      <c r="A573"/>
      <c r="B573" t="s">
        <v>4</v>
      </c>
      <c r="C573" t="s">
        <v>3376</v>
      </c>
      <c r="D573" t="s">
        <v>643</v>
      </c>
      <c r="E573" t="s">
        <v>3238</v>
      </c>
      <c r="F573" t="s">
        <v>3239</v>
      </c>
      <c r="G573" t="s">
        <v>605</v>
      </c>
      <c r="H573" s="30">
        <v>35.33</v>
      </c>
      <c r="I573" s="29">
        <f>H573*(1-IFERROR(VLOOKUP(G573,Rabat!$D$10:$E$41,2,FALSE),0))</f>
        <v>35.33</v>
      </c>
      <c r="J573" t="s">
        <v>1902</v>
      </c>
      <c r="K573" t="s">
        <v>3245</v>
      </c>
      <c r="L573" t="s">
        <v>1901</v>
      </c>
      <c r="M573">
        <v>20</v>
      </c>
      <c r="N573">
        <v>240</v>
      </c>
      <c r="O573" t="s">
        <v>3434</v>
      </c>
      <c r="P573" s="31" t="str">
        <f>HYPERLINK("https://b2b.kobi.pl/pl/product/13104,plafon-led-sofi-18w-4000k-ip20-kobi?currency=PLN")</f>
        <v>https://b2b.kobi.pl/pl/product/13104,plafon-led-sofi-18w-4000k-ip20-kobi?currency=PLN</v>
      </c>
      <c r="Q573" s="31" t="str">
        <f>HYPERLINK("https://eprel.ec.europa.eu/qr/2483367")</f>
        <v>https://eprel.ec.europa.eu/qr/2483367</v>
      </c>
      <c r="R573"/>
      <c r="S573" t="s">
        <v>2675</v>
      </c>
      <c r="T573"/>
      <c r="U573">
        <v>0.2</v>
      </c>
      <c r="V573">
        <v>0.35</v>
      </c>
      <c r="W573">
        <v>26.5</v>
      </c>
      <c r="X573">
        <v>6.5</v>
      </c>
      <c r="Y573">
        <v>26.5</v>
      </c>
    </row>
    <row r="574" spans="1:25" ht="60" customHeight="1" x14ac:dyDescent="0.25">
      <c r="A574"/>
      <c r="B574" t="s">
        <v>4</v>
      </c>
      <c r="C574" t="s">
        <v>18</v>
      </c>
      <c r="D574" t="s">
        <v>643</v>
      </c>
      <c r="E574" t="s">
        <v>1149</v>
      </c>
      <c r="F574" t="s">
        <v>1150</v>
      </c>
      <c r="G574" t="s">
        <v>602</v>
      </c>
      <c r="H574" s="30">
        <v>122.22</v>
      </c>
      <c r="I574" s="29">
        <f>H574*(1-IFERROR(VLOOKUP(G574,Rabat!$D$10:$E$41,2,FALSE),0))</f>
        <v>122.22</v>
      </c>
      <c r="J574" t="s">
        <v>1902</v>
      </c>
      <c r="K574" t="s">
        <v>226</v>
      </c>
      <c r="L574" t="s">
        <v>1901</v>
      </c>
      <c r="M574">
        <v>18</v>
      </c>
      <c r="N574">
        <v>576</v>
      </c>
      <c r="O574" t="s">
        <v>3434</v>
      </c>
      <c r="P574" s="31" t="str">
        <f>HYPERLINK("https://b2b.kobi.pl/pl/product/10144,naswietlacz-z-czujnikiem-ruchu-solar-led-mhc-5w-4000k-ip65-kobi?currency=PLN")</f>
        <v>https://b2b.kobi.pl/pl/product/10144,naswietlacz-z-czujnikiem-ruchu-solar-led-mhc-5w-4000k-ip65-kobi?currency=PLN</v>
      </c>
      <c r="Q574" t="s">
        <v>15</v>
      </c>
      <c r="R574"/>
      <c r="S574" t="s">
        <v>2713</v>
      </c>
      <c r="T574"/>
      <c r="U574">
        <v>0.65400000000000003</v>
      </c>
      <c r="V574">
        <v>0.72</v>
      </c>
      <c r="W574">
        <v>23.9</v>
      </c>
      <c r="X574">
        <v>4</v>
      </c>
      <c r="Y574">
        <v>16.2</v>
      </c>
    </row>
    <row r="575" spans="1:25" ht="60" customHeight="1" x14ac:dyDescent="0.25">
      <c r="A575"/>
      <c r="B575" t="s">
        <v>4</v>
      </c>
      <c r="C575" t="s">
        <v>18</v>
      </c>
      <c r="D575" t="s">
        <v>643</v>
      </c>
      <c r="E575" t="s">
        <v>1151</v>
      </c>
      <c r="F575" t="s">
        <v>1152</v>
      </c>
      <c r="G575" t="s">
        <v>602</v>
      </c>
      <c r="H575" s="30">
        <v>286.67</v>
      </c>
      <c r="I575" s="29">
        <f>H575*(1-IFERROR(VLOOKUP(G575,Rabat!$D$10:$E$41,2,FALSE),0))</f>
        <v>286.67</v>
      </c>
      <c r="J575" t="s">
        <v>1902</v>
      </c>
      <c r="K575" t="s">
        <v>227</v>
      </c>
      <c r="L575" t="s">
        <v>1901</v>
      </c>
      <c r="M575">
        <v>8</v>
      </c>
      <c r="N575">
        <v>240</v>
      </c>
      <c r="O575" t="s">
        <v>3434</v>
      </c>
      <c r="P575" s="31" t="str">
        <f>HYPERLINK("https://b2b.kobi.pl/pl/product/10142,naswietlacz-z-czujnikiem-ruchu-solar-led-mhc-10w-4000k-ip65-kobi?currency=PLN")</f>
        <v>https://b2b.kobi.pl/pl/product/10142,naswietlacz-z-czujnikiem-ruchu-solar-led-mhc-10w-4000k-ip65-kobi?currency=PLN</v>
      </c>
      <c r="Q575" t="s">
        <v>15</v>
      </c>
      <c r="R575"/>
      <c r="S575" t="s">
        <v>2713</v>
      </c>
      <c r="T575"/>
      <c r="U575">
        <v>1.395</v>
      </c>
      <c r="V575">
        <v>1.65</v>
      </c>
      <c r="W575">
        <v>30.5</v>
      </c>
      <c r="X575">
        <v>5.2</v>
      </c>
      <c r="Y575">
        <v>23</v>
      </c>
    </row>
    <row r="576" spans="1:25" ht="60" customHeight="1" x14ac:dyDescent="0.25">
      <c r="A576"/>
      <c r="B576" t="s">
        <v>4</v>
      </c>
      <c r="C576" t="s">
        <v>18</v>
      </c>
      <c r="D576" t="s">
        <v>643</v>
      </c>
      <c r="E576" t="s">
        <v>1147</v>
      </c>
      <c r="F576" t="s">
        <v>1148</v>
      </c>
      <c r="G576" t="s">
        <v>602</v>
      </c>
      <c r="H576" s="30">
        <v>219.12</v>
      </c>
      <c r="I576" s="29">
        <f>H576*(1-IFERROR(VLOOKUP(G576,Rabat!$D$10:$E$41,2,FALSE),0))</f>
        <v>219.12</v>
      </c>
      <c r="J576" t="s">
        <v>1902</v>
      </c>
      <c r="K576" t="s">
        <v>489</v>
      </c>
      <c r="L576" t="s">
        <v>1901</v>
      </c>
      <c r="M576">
        <v>8</v>
      </c>
      <c r="N576">
        <v>288</v>
      </c>
      <c r="O576" t="s">
        <v>3434</v>
      </c>
      <c r="P576" s="31" t="str">
        <f>HYPERLINK("https://b2b.kobi.pl/pl/product/10147,naswietlacz-z-czujnikiem-ruchu-solar-led-kobi-new-phoenix-13w-4000k-ip65-kobi?currency=PLN")</f>
        <v>https://b2b.kobi.pl/pl/product/10147,naswietlacz-z-czujnikiem-ruchu-solar-led-kobi-new-phoenix-13w-4000k-ip65-kobi?currency=PLN</v>
      </c>
      <c r="Q576" t="s">
        <v>15</v>
      </c>
      <c r="R576"/>
      <c r="S576" t="s">
        <v>2713</v>
      </c>
      <c r="T576"/>
      <c r="U576">
        <v>0.59</v>
      </c>
      <c r="V576">
        <v>0.7</v>
      </c>
      <c r="W576">
        <v>22.8</v>
      </c>
      <c r="X576">
        <v>9.9</v>
      </c>
      <c r="Y576">
        <v>13.3</v>
      </c>
    </row>
    <row r="577" spans="1:25" ht="60" customHeight="1" x14ac:dyDescent="0.25">
      <c r="A577"/>
      <c r="B577" t="s">
        <v>5</v>
      </c>
      <c r="C577" t="s">
        <v>3375</v>
      </c>
      <c r="D577" t="s">
        <v>671</v>
      </c>
      <c r="E577" t="s">
        <v>778</v>
      </c>
      <c r="F577" t="s">
        <v>779</v>
      </c>
      <c r="G577" t="s">
        <v>674</v>
      </c>
      <c r="H577" s="30">
        <v>168.67</v>
      </c>
      <c r="I577" s="29">
        <f>H577*(1-IFERROR(VLOOKUP(G577,Rabat!$D$10:$E$41,2,FALSE),0))</f>
        <v>168.67</v>
      </c>
      <c r="J577" t="s">
        <v>1902</v>
      </c>
      <c r="K577" t="s">
        <v>315</v>
      </c>
      <c r="L577" t="s">
        <v>1901</v>
      </c>
      <c r="M577">
        <v>4</v>
      </c>
      <c r="N577"/>
      <c r="O577" t="s">
        <v>3434</v>
      </c>
      <c r="P577" s="31" t="str">
        <f>HYPERLINK("https://b2b.kobi.pl/pl/product/9773,lampa-biurkowa-led-venezia-s-2w-2700k-kobi-design?currency=PLN")</f>
        <v>https://b2b.kobi.pl/pl/product/9773,lampa-biurkowa-led-venezia-s-2w-2700k-kobi-design?currency=PLN</v>
      </c>
      <c r="Q577" t="s">
        <v>15</v>
      </c>
      <c r="R577" t="s">
        <v>2035</v>
      </c>
      <c r="S577" t="s">
        <v>2673</v>
      </c>
      <c r="T577"/>
      <c r="U577">
        <v>1.08</v>
      </c>
      <c r="V577">
        <v>1.34</v>
      </c>
      <c r="W577">
        <v>23</v>
      </c>
      <c r="X577">
        <v>23</v>
      </c>
      <c r="Y577">
        <v>43</v>
      </c>
    </row>
    <row r="578" spans="1:25" ht="60" customHeight="1" x14ac:dyDescent="0.25">
      <c r="A578"/>
      <c r="B578" t="s">
        <v>5</v>
      </c>
      <c r="C578" t="s">
        <v>3375</v>
      </c>
      <c r="D578" t="s">
        <v>671</v>
      </c>
      <c r="E578" t="s">
        <v>672</v>
      </c>
      <c r="F578" t="s">
        <v>673</v>
      </c>
      <c r="G578" t="s">
        <v>674</v>
      </c>
      <c r="H578" s="30">
        <v>175</v>
      </c>
      <c r="I578" s="29">
        <f>H578*(1-IFERROR(VLOOKUP(G578,Rabat!$D$10:$E$41,2,FALSE),0))</f>
        <v>175</v>
      </c>
      <c r="J578" t="s">
        <v>1902</v>
      </c>
      <c r="K578" t="s">
        <v>316</v>
      </c>
      <c r="L578" t="s">
        <v>1901</v>
      </c>
      <c r="M578">
        <v>4</v>
      </c>
      <c r="N578">
        <v>100</v>
      </c>
      <c r="O578" t="s">
        <v>3434</v>
      </c>
      <c r="P578" s="31" t="str">
        <f>HYPERLINK("https://b2b.kobi.pl/pl/product/10555,girlanda-baja-led-set-10x1w-10m-e27-kobi-design?currency=PLN")</f>
        <v>https://b2b.kobi.pl/pl/product/10555,girlanda-baja-led-set-10x1w-10m-e27-kobi-design?currency=PLN</v>
      </c>
      <c r="Q578" t="s">
        <v>15</v>
      </c>
      <c r="R578"/>
      <c r="S578" t="s">
        <v>2709</v>
      </c>
      <c r="T578"/>
      <c r="U578">
        <v>1.74</v>
      </c>
      <c r="V578">
        <v>2</v>
      </c>
      <c r="W578">
        <v>30</v>
      </c>
      <c r="X578">
        <v>21</v>
      </c>
      <c r="Y578">
        <v>14.5</v>
      </c>
    </row>
    <row r="579" spans="1:25" ht="60" customHeight="1" x14ac:dyDescent="0.25">
      <c r="A579"/>
      <c r="B579" t="s">
        <v>5</v>
      </c>
      <c r="C579" t="s">
        <v>3375</v>
      </c>
      <c r="D579" t="s">
        <v>671</v>
      </c>
      <c r="E579" t="s">
        <v>679</v>
      </c>
      <c r="F579" t="s">
        <v>680</v>
      </c>
      <c r="G579" t="s">
        <v>674</v>
      </c>
      <c r="H579" s="30">
        <v>272.5</v>
      </c>
      <c r="I579" s="29">
        <f>H579*(1-IFERROR(VLOOKUP(G579,Rabat!$D$10:$E$41,2,FALSE),0))</f>
        <v>272.5</v>
      </c>
      <c r="J579" t="s">
        <v>1902</v>
      </c>
      <c r="K579" t="s">
        <v>317</v>
      </c>
      <c r="L579" t="s">
        <v>1901</v>
      </c>
      <c r="M579">
        <v>4</v>
      </c>
      <c r="N579">
        <v>96</v>
      </c>
      <c r="O579" t="s">
        <v>3434</v>
      </c>
      <c r="P579" s="31" t="str">
        <f>HYPERLINK("https://b2b.kobi.pl/pl/product/10556,girlanda-baja-led-set-20x1w-e27-10m-kobi-design?currency=PLN")</f>
        <v>https://b2b.kobi.pl/pl/product/10556,girlanda-baja-led-set-20x1w-e27-10m-kobi-design?currency=PLN</v>
      </c>
      <c r="Q579" t="s">
        <v>15</v>
      </c>
      <c r="R579"/>
      <c r="S579" t="s">
        <v>2709</v>
      </c>
      <c r="T579"/>
      <c r="U579">
        <v>2.6</v>
      </c>
      <c r="V579">
        <v>3.1</v>
      </c>
      <c r="W579">
        <v>25</v>
      </c>
      <c r="X579">
        <v>30</v>
      </c>
      <c r="Y579">
        <v>21.5</v>
      </c>
    </row>
    <row r="580" spans="1:25" ht="60" customHeight="1" x14ac:dyDescent="0.25">
      <c r="A580"/>
      <c r="B580" t="s">
        <v>5</v>
      </c>
      <c r="C580" t="s">
        <v>3375</v>
      </c>
      <c r="D580" t="s">
        <v>671</v>
      </c>
      <c r="E580" t="s">
        <v>675</v>
      </c>
      <c r="F580" t="s">
        <v>676</v>
      </c>
      <c r="G580" t="s">
        <v>674</v>
      </c>
      <c r="H580" s="30">
        <v>230</v>
      </c>
      <c r="I580" s="29">
        <f>H580*(1-IFERROR(VLOOKUP(G580,Rabat!$D$10:$E$41,2,FALSE),0))</f>
        <v>230</v>
      </c>
      <c r="J580" t="s">
        <v>1902</v>
      </c>
      <c r="K580" t="s">
        <v>318</v>
      </c>
      <c r="L580" t="s">
        <v>1901</v>
      </c>
      <c r="M580">
        <v>4</v>
      </c>
      <c r="N580"/>
      <c r="O580" t="s">
        <v>3434</v>
      </c>
      <c r="P580" s="31" t="str">
        <f>HYPERLINK("https://b2b.kobi.pl/pl/product/10557,girlanda-baja-led-set-15x1w-15m-e27-kobi-design?currency=PLN")</f>
        <v>https://b2b.kobi.pl/pl/product/10557,girlanda-baja-led-set-15x1w-15m-e27-kobi-design?currency=PLN</v>
      </c>
      <c r="Q580" t="s">
        <v>15</v>
      </c>
      <c r="R580"/>
      <c r="S580" t="s">
        <v>2709</v>
      </c>
      <c r="T580"/>
      <c r="U580">
        <v>2.5499999999999998</v>
      </c>
      <c r="V580">
        <v>2.58</v>
      </c>
      <c r="W580">
        <v>30</v>
      </c>
      <c r="X580">
        <v>21</v>
      </c>
      <c r="Y580">
        <v>18.5</v>
      </c>
    </row>
    <row r="581" spans="1:25" ht="60" customHeight="1" x14ac:dyDescent="0.25">
      <c r="A581"/>
      <c r="B581" t="s">
        <v>5</v>
      </c>
      <c r="C581" t="s">
        <v>3375</v>
      </c>
      <c r="D581" t="s">
        <v>671</v>
      </c>
      <c r="E581" t="s">
        <v>677</v>
      </c>
      <c r="F581" t="s">
        <v>678</v>
      </c>
      <c r="G581" t="s">
        <v>674</v>
      </c>
      <c r="H581" s="30">
        <v>307.5</v>
      </c>
      <c r="I581" s="29">
        <f>H581*(1-IFERROR(VLOOKUP(G581,Rabat!$D$10:$E$41,2,FALSE),0))</f>
        <v>307.5</v>
      </c>
      <c r="J581" t="s">
        <v>1902</v>
      </c>
      <c r="K581" t="s">
        <v>319</v>
      </c>
      <c r="L581" t="s">
        <v>1901</v>
      </c>
      <c r="M581">
        <v>4</v>
      </c>
      <c r="N581">
        <v>60</v>
      </c>
      <c r="O581" t="s">
        <v>3434</v>
      </c>
      <c r="P581" s="31" t="str">
        <f>HYPERLINK("https://b2b.kobi.pl/pl/product/10558,girlanda-baja-led-set-20x1w-20m-e27-kobi-design?currency=PLN")</f>
        <v>https://b2b.kobi.pl/pl/product/10558,girlanda-baja-led-set-20x1w-20m-e27-kobi-design?currency=PLN</v>
      </c>
      <c r="Q581" t="s">
        <v>15</v>
      </c>
      <c r="R581"/>
      <c r="S581" t="s">
        <v>2709</v>
      </c>
      <c r="T581"/>
      <c r="U581">
        <v>3.1</v>
      </c>
      <c r="V581">
        <v>3.4750000000000001</v>
      </c>
      <c r="W581">
        <v>20</v>
      </c>
      <c r="X581">
        <v>22</v>
      </c>
      <c r="Y581">
        <v>25</v>
      </c>
    </row>
    <row r="582" spans="1:25" ht="60" customHeight="1" x14ac:dyDescent="0.25">
      <c r="A582"/>
      <c r="B582" t="s">
        <v>5</v>
      </c>
      <c r="C582" t="s">
        <v>3375</v>
      </c>
      <c r="D582" t="s">
        <v>643</v>
      </c>
      <c r="E582" t="s">
        <v>687</v>
      </c>
      <c r="F582" t="s">
        <v>688</v>
      </c>
      <c r="G582" t="s">
        <v>674</v>
      </c>
      <c r="H582" s="30">
        <v>175</v>
      </c>
      <c r="I582" s="29">
        <f>H582*(1-IFERROR(VLOOKUP(G582,Rabat!$D$10:$E$41,2,FALSE),0))</f>
        <v>175</v>
      </c>
      <c r="J582" t="s">
        <v>1902</v>
      </c>
      <c r="K582" t="s">
        <v>312</v>
      </c>
      <c r="L582" t="s">
        <v>1901</v>
      </c>
      <c r="M582">
        <v>4</v>
      </c>
      <c r="N582"/>
      <c r="O582" t="s">
        <v>3434</v>
      </c>
      <c r="P582" s="31" t="str">
        <f>HYPERLINK("https://b2b.kobi.pl/pl/product/10658,girlanda-mimosa-led-set-10m-10x1w-e27-kobi?currency=PLN")</f>
        <v>https://b2b.kobi.pl/pl/product/10658,girlanda-mimosa-led-set-10m-10x1w-e27-kobi?currency=PLN</v>
      </c>
      <c r="Q582" t="s">
        <v>15</v>
      </c>
      <c r="R582" t="s">
        <v>2035</v>
      </c>
      <c r="S582" t="s">
        <v>2709</v>
      </c>
      <c r="T582"/>
      <c r="U582">
        <v>1.74</v>
      </c>
      <c r="V582">
        <v>1.79</v>
      </c>
      <c r="W582">
        <v>14.5</v>
      </c>
      <c r="X582">
        <v>21</v>
      </c>
      <c r="Y582">
        <v>30</v>
      </c>
    </row>
    <row r="583" spans="1:25" ht="60" customHeight="1" x14ac:dyDescent="0.25">
      <c r="A583"/>
      <c r="B583" t="s">
        <v>5</v>
      </c>
      <c r="C583" t="s">
        <v>3375</v>
      </c>
      <c r="D583" t="s">
        <v>643</v>
      </c>
      <c r="E583" t="s">
        <v>683</v>
      </c>
      <c r="F583" t="s">
        <v>684</v>
      </c>
      <c r="G583" t="s">
        <v>674</v>
      </c>
      <c r="H583" s="30">
        <v>186.67</v>
      </c>
      <c r="I583" s="29">
        <f>H583*(1-IFERROR(VLOOKUP(G583,Rabat!$D$10:$E$41,2,FALSE),0))</f>
        <v>186.67</v>
      </c>
      <c r="J583" t="s">
        <v>1902</v>
      </c>
      <c r="K583" t="s">
        <v>310</v>
      </c>
      <c r="L583" t="s">
        <v>1901</v>
      </c>
      <c r="M583">
        <v>8</v>
      </c>
      <c r="N583">
        <v>128</v>
      </c>
      <c r="O583" t="s">
        <v>3434</v>
      </c>
      <c r="P583" s="31" t="str">
        <f>HYPERLINK("https://b2b.kobi.pl/pl/product/10659,girlanda-mimosa-10m-20xe27-kobi?currency=PLN")</f>
        <v>https://b2b.kobi.pl/pl/product/10659,girlanda-mimosa-10m-20xe27-kobi?currency=PLN</v>
      </c>
      <c r="Q583" t="s">
        <v>15</v>
      </c>
      <c r="R583"/>
      <c r="S583" t="s">
        <v>2709</v>
      </c>
      <c r="T583"/>
      <c r="U583">
        <v>1.93</v>
      </c>
      <c r="V583">
        <v>2.1</v>
      </c>
      <c r="W583">
        <v>30.5</v>
      </c>
      <c r="X583">
        <v>16.5</v>
      </c>
      <c r="Y583">
        <v>20</v>
      </c>
    </row>
    <row r="584" spans="1:25" ht="60" customHeight="1" x14ac:dyDescent="0.25">
      <c r="A584"/>
      <c r="B584" t="s">
        <v>5</v>
      </c>
      <c r="C584" t="s">
        <v>3375</v>
      </c>
      <c r="D584" t="s">
        <v>643</v>
      </c>
      <c r="E584" t="s">
        <v>685</v>
      </c>
      <c r="F584" t="s">
        <v>686</v>
      </c>
      <c r="G584" t="s">
        <v>674</v>
      </c>
      <c r="H584" s="30">
        <v>251.11</v>
      </c>
      <c r="I584" s="29">
        <f>H584*(1-IFERROR(VLOOKUP(G584,Rabat!$D$10:$E$41,2,FALSE),0))</f>
        <v>251.11</v>
      </c>
      <c r="J584" t="s">
        <v>1902</v>
      </c>
      <c r="K584" t="s">
        <v>311</v>
      </c>
      <c r="L584" t="s">
        <v>1901</v>
      </c>
      <c r="M584">
        <v>8</v>
      </c>
      <c r="N584">
        <v>96</v>
      </c>
      <c r="O584" t="s">
        <v>3434</v>
      </c>
      <c r="P584" s="31" t="str">
        <f>HYPERLINK("https://b2b.kobi.pl/pl/product/10661,girlanda-mimosa-20m-20xe27-kobi?currency=PLN")</f>
        <v>https://b2b.kobi.pl/pl/product/10661,girlanda-mimosa-20m-20xe27-kobi?currency=PLN</v>
      </c>
      <c r="Q584" t="s">
        <v>15</v>
      </c>
      <c r="R584"/>
      <c r="S584" t="s">
        <v>2709</v>
      </c>
      <c r="T584"/>
      <c r="U584">
        <v>2.5979999999999999</v>
      </c>
      <c r="V584">
        <v>2.9329999999999998</v>
      </c>
      <c r="W584">
        <v>31</v>
      </c>
      <c r="X584">
        <v>16.5</v>
      </c>
      <c r="Y584">
        <v>18</v>
      </c>
    </row>
    <row r="585" spans="1:25" ht="60" customHeight="1" x14ac:dyDescent="0.25">
      <c r="A585"/>
      <c r="B585" t="s">
        <v>5</v>
      </c>
      <c r="C585" t="s">
        <v>3375</v>
      </c>
      <c r="D585" t="s">
        <v>643</v>
      </c>
      <c r="E585" t="s">
        <v>689</v>
      </c>
      <c r="F585" t="s">
        <v>690</v>
      </c>
      <c r="G585" t="s">
        <v>674</v>
      </c>
      <c r="H585" s="30">
        <v>307.51</v>
      </c>
      <c r="I585" s="29">
        <f>H585*(1-IFERROR(VLOOKUP(G585,Rabat!$D$10:$E$41,2,FALSE),0))</f>
        <v>307.51</v>
      </c>
      <c r="J585" t="s">
        <v>1902</v>
      </c>
      <c r="K585" t="s">
        <v>313</v>
      </c>
      <c r="L585" t="s">
        <v>1901</v>
      </c>
      <c r="M585">
        <v>4</v>
      </c>
      <c r="N585">
        <v>60</v>
      </c>
      <c r="O585" t="s">
        <v>3434</v>
      </c>
      <c r="P585" s="31" t="str">
        <f>HYPERLINK("https://b2b.kobi.pl/pl/product/10662,girlanda-mimosa-led-set-20m-20x1w-e27-kobi?currency=PLN")</f>
        <v>https://b2b.kobi.pl/pl/product/10662,girlanda-mimosa-led-set-20m-20x1w-e27-kobi?currency=PLN</v>
      </c>
      <c r="Q585" t="s">
        <v>15</v>
      </c>
      <c r="R585" t="s">
        <v>2035</v>
      </c>
      <c r="S585" t="s">
        <v>2709</v>
      </c>
      <c r="T585"/>
      <c r="U585">
        <v>3.1</v>
      </c>
      <c r="V585">
        <v>3.15</v>
      </c>
      <c r="W585">
        <v>25</v>
      </c>
      <c r="X585">
        <v>30</v>
      </c>
      <c r="Y585">
        <v>21.5</v>
      </c>
    </row>
    <row r="586" spans="1:25" ht="60" customHeight="1" x14ac:dyDescent="0.25">
      <c r="A586"/>
      <c r="B586" t="s">
        <v>5</v>
      </c>
      <c r="C586" t="s">
        <v>3375</v>
      </c>
      <c r="D586" t="s">
        <v>643</v>
      </c>
      <c r="E586" t="s">
        <v>681</v>
      </c>
      <c r="F586" t="s">
        <v>682</v>
      </c>
      <c r="G586" t="s">
        <v>674</v>
      </c>
      <c r="H586" s="30">
        <v>160</v>
      </c>
      <c r="I586" s="29">
        <f>H586*(1-IFERROR(VLOOKUP(G586,Rabat!$D$10:$E$41,2,FALSE),0))</f>
        <v>160</v>
      </c>
      <c r="J586" t="s">
        <v>1902</v>
      </c>
      <c r="K586" t="s">
        <v>314</v>
      </c>
      <c r="L586" t="s">
        <v>1901</v>
      </c>
      <c r="M586">
        <v>8</v>
      </c>
      <c r="N586">
        <v>160</v>
      </c>
      <c r="O586" t="s">
        <v>3434</v>
      </c>
      <c r="P586" s="31" t="str">
        <f>HYPERLINK("https://b2b.kobi.pl/pl/product/10663,girlanda-mimosa-2-10m-10xe27-kobi?currency=PLN")</f>
        <v>https://b2b.kobi.pl/pl/product/10663,girlanda-mimosa-2-10m-10xe27-kobi?currency=PLN</v>
      </c>
      <c r="Q586" t="s">
        <v>15</v>
      </c>
      <c r="R586"/>
      <c r="S586" t="s">
        <v>2709</v>
      </c>
      <c r="T586"/>
      <c r="U586">
        <v>1.462</v>
      </c>
      <c r="V586">
        <v>1.63</v>
      </c>
      <c r="W586">
        <v>22.5</v>
      </c>
      <c r="X586">
        <v>16.5</v>
      </c>
      <c r="Y586">
        <v>18.5</v>
      </c>
    </row>
    <row r="587" spans="1:25" ht="60" customHeight="1" x14ac:dyDescent="0.25">
      <c r="A587"/>
      <c r="B587" t="s">
        <v>5</v>
      </c>
      <c r="C587" t="s">
        <v>3375</v>
      </c>
      <c r="D587" t="s">
        <v>671</v>
      </c>
      <c r="E587" t="s">
        <v>2585</v>
      </c>
      <c r="F587" t="s">
        <v>2586</v>
      </c>
      <c r="G587" t="s">
        <v>674</v>
      </c>
      <c r="H587" s="30">
        <v>242.22</v>
      </c>
      <c r="I587" s="29">
        <f>H587*(1-IFERROR(VLOOKUP(G587,Rabat!$D$10:$E$41,2,FALSE),0))</f>
        <v>242.22</v>
      </c>
      <c r="J587" t="s">
        <v>1902</v>
      </c>
      <c r="K587" t="s">
        <v>2592</v>
      </c>
      <c r="L587" t="s">
        <v>1901</v>
      </c>
      <c r="M587">
        <v>8</v>
      </c>
      <c r="N587">
        <v>96</v>
      </c>
      <c r="O587" t="s">
        <v>3434</v>
      </c>
      <c r="P587" s="31" t="str">
        <f>HYPERLINK("https://b2b.kobi.pl/pl/product/9774,lampa-wiszaca-led-venezia-h-1-5w-2500k-kobi-design?currency=PLN")</f>
        <v>https://b2b.kobi.pl/pl/product/9774,lampa-wiszaca-led-venezia-h-1-5w-2500k-kobi-design?currency=PLN</v>
      </c>
      <c r="Q587" t="s">
        <v>15</v>
      </c>
      <c r="R587" t="s">
        <v>2035</v>
      </c>
      <c r="S587" t="s">
        <v>2673</v>
      </c>
      <c r="T587"/>
      <c r="U587">
        <v>0.73</v>
      </c>
      <c r="V587">
        <v>0.8</v>
      </c>
      <c r="W587">
        <v>23.5</v>
      </c>
      <c r="X587">
        <v>23.5</v>
      </c>
      <c r="Y587">
        <v>20</v>
      </c>
    </row>
    <row r="588" spans="1:25" ht="60" customHeight="1" x14ac:dyDescent="0.25">
      <c r="A588"/>
      <c r="B588" t="s">
        <v>4</v>
      </c>
      <c r="C588" t="s">
        <v>3376</v>
      </c>
      <c r="D588" t="s">
        <v>599</v>
      </c>
      <c r="E588" t="s">
        <v>632</v>
      </c>
      <c r="F588" t="s">
        <v>633</v>
      </c>
      <c r="G588" t="s">
        <v>634</v>
      </c>
      <c r="H588" s="30">
        <v>97.78</v>
      </c>
      <c r="I588" s="29">
        <f>H588*(1-IFERROR(VLOOKUP(G588,Rabat!$D$10:$E$41,2,FALSE),0))</f>
        <v>97.78</v>
      </c>
      <c r="J588" t="s">
        <v>1900</v>
      </c>
      <c r="K588" t="s">
        <v>161</v>
      </c>
      <c r="L588" t="s">
        <v>1901</v>
      </c>
      <c r="M588">
        <v>24</v>
      </c>
      <c r="N588">
        <v>384</v>
      </c>
      <c r="O588" t="s">
        <v>3436</v>
      </c>
      <c r="P588" s="31" t="str">
        <f>HYPERLINK("https://b2b.kobi.pl/pl/product/8398,downlight-led-nexeye-ne1-15w-4000k-ip44-kobi-pro?currency=PLN")</f>
        <v>https://b2b.kobi.pl/pl/product/8398,downlight-led-nexeye-ne1-15w-4000k-ip44-kobi-pro?currency=PLN</v>
      </c>
      <c r="Q588" s="31" t="str">
        <f>HYPERLINK("https://eprel.ec.europa.eu/qr/669368")</f>
        <v>https://eprel.ec.europa.eu/qr/669368</v>
      </c>
      <c r="R588" t="s">
        <v>2035</v>
      </c>
      <c r="S588" t="s">
        <v>2714</v>
      </c>
      <c r="T588"/>
      <c r="U588">
        <v>0.34</v>
      </c>
      <c r="V588">
        <v>0.37</v>
      </c>
      <c r="W588">
        <v>15</v>
      </c>
      <c r="X588">
        <v>9</v>
      </c>
      <c r="Y588">
        <v>15.5</v>
      </c>
    </row>
    <row r="589" spans="1:25" ht="60" customHeight="1" x14ac:dyDescent="0.25">
      <c r="A589"/>
      <c r="B589" t="s">
        <v>4</v>
      </c>
      <c r="C589" t="s">
        <v>3376</v>
      </c>
      <c r="D589" t="s">
        <v>599</v>
      </c>
      <c r="E589" t="s">
        <v>2832</v>
      </c>
      <c r="F589" t="s">
        <v>2833</v>
      </c>
      <c r="G589" t="s">
        <v>634</v>
      </c>
      <c r="H589" s="30">
        <v>99.78</v>
      </c>
      <c r="I589" s="29">
        <f>H589*(1-IFERROR(VLOOKUP(G589,Rabat!$D$10:$E$41,2,FALSE),0))</f>
        <v>99.78</v>
      </c>
      <c r="J589" t="s">
        <v>1902</v>
      </c>
      <c r="K589" t="s">
        <v>2836</v>
      </c>
      <c r="L589" t="s">
        <v>1901</v>
      </c>
      <c r="M589">
        <v>24</v>
      </c>
      <c r="N589">
        <v>576</v>
      </c>
      <c r="O589" t="s">
        <v>3436</v>
      </c>
      <c r="P589" s="31" t="str">
        <f>HYPERLINK("https://b2b.kobi.pl/pl/product/12855,downlight-led-nexeye-15w-3cct-ip44-kobi-pro?currency=PLN")</f>
        <v>https://b2b.kobi.pl/pl/product/12855,downlight-led-nexeye-15w-3cct-ip44-kobi-pro?currency=PLN</v>
      </c>
      <c r="Q589" s="31" t="str">
        <f>HYPERLINK("https://eprel.ec.europa.eu/qr/2480123")</f>
        <v>https://eprel.ec.europa.eu/qr/2480123</v>
      </c>
      <c r="R589"/>
      <c r="S589" t="s">
        <v>2714</v>
      </c>
      <c r="T589"/>
      <c r="U589">
        <v>0.30499999999999999</v>
      </c>
      <c r="V589">
        <v>0.374</v>
      </c>
      <c r="W589">
        <v>15</v>
      </c>
      <c r="X589">
        <v>6.5</v>
      </c>
      <c r="Y589">
        <v>16.5</v>
      </c>
    </row>
    <row r="590" spans="1:25" ht="60" customHeight="1" x14ac:dyDescent="0.25">
      <c r="A590"/>
      <c r="B590" t="s">
        <v>4</v>
      </c>
      <c r="C590" t="s">
        <v>3376</v>
      </c>
      <c r="D590" t="s">
        <v>599</v>
      </c>
      <c r="E590" t="s">
        <v>2834</v>
      </c>
      <c r="F590" t="s">
        <v>2835</v>
      </c>
      <c r="G590" t="s">
        <v>634</v>
      </c>
      <c r="H590" s="30">
        <v>144.22</v>
      </c>
      <c r="I590" s="29">
        <f>H590*(1-IFERROR(VLOOKUP(G590,Rabat!$D$10:$E$41,2,FALSE),0))</f>
        <v>144.22</v>
      </c>
      <c r="J590" t="s">
        <v>1902</v>
      </c>
      <c r="K590" t="s">
        <v>2837</v>
      </c>
      <c r="L590" t="s">
        <v>1901</v>
      </c>
      <c r="M590">
        <v>16</v>
      </c>
      <c r="N590">
        <v>288</v>
      </c>
      <c r="O590" t="s">
        <v>3436</v>
      </c>
      <c r="P590" s="31" t="str">
        <f>HYPERLINK("https://b2b.kobi.pl/pl/product/12856,downlight-led-nexeye-20w-3cct-ip44-kobi-pro?currency=PLN")</f>
        <v>https://b2b.kobi.pl/pl/product/12856,downlight-led-nexeye-20w-3cct-ip44-kobi-pro?currency=PLN</v>
      </c>
      <c r="Q590" s="31" t="str">
        <f>HYPERLINK("https://eprel.ec.europa.eu/qr/2480111")</f>
        <v>https://eprel.ec.europa.eu/qr/2480111</v>
      </c>
      <c r="R590"/>
      <c r="S590" t="s">
        <v>2714</v>
      </c>
      <c r="T590"/>
      <c r="U590">
        <v>0.48399999999999999</v>
      </c>
      <c r="V590">
        <v>0.56799999999999995</v>
      </c>
      <c r="W590">
        <v>20</v>
      </c>
      <c r="X590">
        <v>6.5</v>
      </c>
      <c r="Y590">
        <v>21.5</v>
      </c>
    </row>
    <row r="591" spans="1:25" ht="60" customHeight="1" x14ac:dyDescent="0.25">
      <c r="A591"/>
      <c r="B591" t="s">
        <v>4</v>
      </c>
      <c r="C591" t="s">
        <v>3376</v>
      </c>
      <c r="D591" t="s">
        <v>599</v>
      </c>
      <c r="E591" t="s">
        <v>635</v>
      </c>
      <c r="F591" t="s">
        <v>636</v>
      </c>
      <c r="G591" t="s">
        <v>634</v>
      </c>
      <c r="H591" s="30">
        <v>188.89</v>
      </c>
      <c r="I591" s="29">
        <f>H591*(1-IFERROR(VLOOKUP(G591,Rabat!$D$10:$E$41,2,FALSE),0))</f>
        <v>188.89</v>
      </c>
      <c r="J591" t="s">
        <v>1900</v>
      </c>
      <c r="K591" t="s">
        <v>162</v>
      </c>
      <c r="L591" t="s">
        <v>1901</v>
      </c>
      <c r="M591">
        <v>10</v>
      </c>
      <c r="N591">
        <v>190</v>
      </c>
      <c r="O591" t="s">
        <v>3436</v>
      </c>
      <c r="P591" s="31" t="str">
        <f>HYPERLINK("https://b2b.kobi.pl/pl/product/8402,downlight-led-nexeye-ne1-30w-4000k-ip44-kobi-pro?currency=PLN")</f>
        <v>https://b2b.kobi.pl/pl/product/8402,downlight-led-nexeye-ne1-30w-4000k-ip44-kobi-pro?currency=PLN</v>
      </c>
      <c r="Q591" s="31" t="str">
        <f>HYPERLINK("https://eprel.ec.europa.eu/qr/669371")</f>
        <v>https://eprel.ec.europa.eu/qr/669371</v>
      </c>
      <c r="R591" t="s">
        <v>2035</v>
      </c>
      <c r="S591" t="s">
        <v>2714</v>
      </c>
      <c r="T591"/>
      <c r="U591">
        <v>0.79</v>
      </c>
      <c r="V591">
        <v>0.8</v>
      </c>
      <c r="W591">
        <v>24</v>
      </c>
      <c r="X591">
        <v>9</v>
      </c>
      <c r="Y591">
        <v>25.5</v>
      </c>
    </row>
    <row r="592" spans="1:25" ht="60" customHeight="1" x14ac:dyDescent="0.25">
      <c r="A592"/>
      <c r="B592" t="s">
        <v>4</v>
      </c>
      <c r="C592" t="s">
        <v>3376</v>
      </c>
      <c r="D592" t="s">
        <v>631</v>
      </c>
      <c r="E592" t="s">
        <v>1177</v>
      </c>
      <c r="F592" t="s">
        <v>1178</v>
      </c>
      <c r="G592" t="s">
        <v>634</v>
      </c>
      <c r="H592" s="30">
        <v>48.67</v>
      </c>
      <c r="I592" s="29">
        <f>H592*(1-IFERROR(VLOOKUP(G592,Rabat!$D$10:$E$41,2,FALSE),0))</f>
        <v>48.67</v>
      </c>
      <c r="J592" t="s">
        <v>1903</v>
      </c>
      <c r="K592" t="s">
        <v>252</v>
      </c>
      <c r="L592" t="s">
        <v>1901</v>
      </c>
      <c r="M592">
        <v>20</v>
      </c>
      <c r="N592">
        <v>400</v>
      </c>
      <c r="O592" t="s">
        <v>3435</v>
      </c>
      <c r="P592" s="31" t="str">
        <f>HYPERLINK("https://b2b.kobi.pl/pl/product/10185,plafon-led-sigaro-circle-24w-4000k-kobi-premium?currency=PLN")</f>
        <v>https://b2b.kobi.pl/pl/product/10185,plafon-led-sigaro-circle-24w-4000k-kobi-premium?currency=PLN</v>
      </c>
      <c r="Q592" s="31" t="str">
        <f>HYPERLINK("https://eprel.ec.europa.eu/qr/850598")</f>
        <v>https://eprel.ec.europa.eu/qr/850598</v>
      </c>
      <c r="R592"/>
      <c r="S592" t="s">
        <v>2714</v>
      </c>
      <c r="T592"/>
      <c r="U592">
        <v>0.3</v>
      </c>
      <c r="V592">
        <v>0.374</v>
      </c>
      <c r="W592">
        <v>23</v>
      </c>
      <c r="X592">
        <v>23</v>
      </c>
      <c r="Y592">
        <v>3.5</v>
      </c>
    </row>
    <row r="593" spans="1:25" ht="60" customHeight="1" x14ac:dyDescent="0.25">
      <c r="A593"/>
      <c r="B593" t="s">
        <v>4</v>
      </c>
      <c r="C593" t="s">
        <v>3376</v>
      </c>
      <c r="D593" t="s">
        <v>631</v>
      </c>
      <c r="E593" t="s">
        <v>637</v>
      </c>
      <c r="F593" t="s">
        <v>638</v>
      </c>
      <c r="G593" t="s">
        <v>634</v>
      </c>
      <c r="H593" s="30">
        <v>19.78</v>
      </c>
      <c r="I593" s="29">
        <f>H593*(1-IFERROR(VLOOKUP(G593,Rabat!$D$10:$E$41,2,FALSE),0))</f>
        <v>19.78</v>
      </c>
      <c r="J593" t="s">
        <v>1903</v>
      </c>
      <c r="K593" t="s">
        <v>255</v>
      </c>
      <c r="L593" t="s">
        <v>1901</v>
      </c>
      <c r="M593">
        <v>40</v>
      </c>
      <c r="N593">
        <v>1000</v>
      </c>
      <c r="O593" t="s">
        <v>3435</v>
      </c>
      <c r="P593" s="31" t="str">
        <f>HYPERLINK("https://b2b.kobi.pl/pl/product/10189,downlight-led-sigaro-circle-pt-6w-4000k-kobi-premium?currency=PLN")</f>
        <v>https://b2b.kobi.pl/pl/product/10189,downlight-led-sigaro-circle-pt-6w-4000k-kobi-premium?currency=PLN</v>
      </c>
      <c r="Q593" s="31" t="str">
        <f>HYPERLINK("https://eprel.ec.europa.eu/qr/850354")</f>
        <v>https://eprel.ec.europa.eu/qr/850354</v>
      </c>
      <c r="R593"/>
      <c r="S593" t="s">
        <v>2714</v>
      </c>
      <c r="T593"/>
      <c r="U593">
        <v>7.9000000000000001E-2</v>
      </c>
      <c r="V593">
        <v>0.113</v>
      </c>
      <c r="W593">
        <v>13</v>
      </c>
      <c r="X593">
        <v>13</v>
      </c>
      <c r="Y593">
        <v>3.5</v>
      </c>
    </row>
    <row r="594" spans="1:25" ht="60" customHeight="1" x14ac:dyDescent="0.25">
      <c r="A594"/>
      <c r="B594" t="s">
        <v>4</v>
      </c>
      <c r="C594" t="s">
        <v>3376</v>
      </c>
      <c r="D594" t="s">
        <v>631</v>
      </c>
      <c r="E594" t="s">
        <v>639</v>
      </c>
      <c r="F594" t="s">
        <v>640</v>
      </c>
      <c r="G594" t="s">
        <v>634</v>
      </c>
      <c r="H594" s="30">
        <v>28.67</v>
      </c>
      <c r="I594" s="29">
        <f>H594*(1-IFERROR(VLOOKUP(G594,Rabat!$D$10:$E$41,2,FALSE),0))</f>
        <v>28.67</v>
      </c>
      <c r="J594" t="s">
        <v>1903</v>
      </c>
      <c r="K594" t="s">
        <v>256</v>
      </c>
      <c r="L594" t="s">
        <v>1901</v>
      </c>
      <c r="M594">
        <v>20</v>
      </c>
      <c r="N594">
        <v>960</v>
      </c>
      <c r="O594" t="s">
        <v>3435</v>
      </c>
      <c r="P594" s="31" t="str">
        <f>HYPERLINK("https://b2b.kobi.pl/pl/product/10186,downlight-led-sigaro-circle-pt-12w-4000k-kobi-premium?currency=PLN")</f>
        <v>https://b2b.kobi.pl/pl/product/10186,downlight-led-sigaro-circle-pt-12w-4000k-kobi-premium?currency=PLN</v>
      </c>
      <c r="Q594" s="31" t="str">
        <f>HYPERLINK("https://eprel.ec.europa.eu/qr/850485")</f>
        <v>https://eprel.ec.europa.eu/qr/850485</v>
      </c>
      <c r="R594"/>
      <c r="S594" t="s">
        <v>2714</v>
      </c>
      <c r="T594"/>
      <c r="U594">
        <v>0.14199999999999999</v>
      </c>
      <c r="V594">
        <v>0.187</v>
      </c>
      <c r="W594">
        <v>17</v>
      </c>
      <c r="X594">
        <v>17</v>
      </c>
      <c r="Y594">
        <v>4</v>
      </c>
    </row>
    <row r="595" spans="1:25" ht="60" customHeight="1" x14ac:dyDescent="0.25">
      <c r="A595"/>
      <c r="B595" t="s">
        <v>4</v>
      </c>
      <c r="C595" t="s">
        <v>3376</v>
      </c>
      <c r="D595" t="s">
        <v>631</v>
      </c>
      <c r="E595" t="s">
        <v>641</v>
      </c>
      <c r="F595" t="s">
        <v>642</v>
      </c>
      <c r="G595" t="s">
        <v>634</v>
      </c>
      <c r="H595" s="30">
        <v>45.56</v>
      </c>
      <c r="I595" s="29">
        <f>H595*(1-IFERROR(VLOOKUP(G595,Rabat!$D$10:$E$41,2,FALSE),0))</f>
        <v>45.56</v>
      </c>
      <c r="J595" t="s">
        <v>1903</v>
      </c>
      <c r="K595" t="s">
        <v>257</v>
      </c>
      <c r="L595" t="s">
        <v>1901</v>
      </c>
      <c r="M595">
        <v>20</v>
      </c>
      <c r="N595">
        <v>520</v>
      </c>
      <c r="O595" t="s">
        <v>3435</v>
      </c>
      <c r="P595" s="31" t="str">
        <f>HYPERLINK("https://b2b.kobi.pl/pl/product/10188,downlight-led-sigaro-circle-pt-24w-4000k-kobi-premium?currency=PLN")</f>
        <v>https://b2b.kobi.pl/pl/product/10188,downlight-led-sigaro-circle-pt-24w-4000k-kobi-premium?currency=PLN</v>
      </c>
      <c r="Q595" s="31" t="str">
        <f>HYPERLINK("https://eprel.ec.europa.eu/qr/850541")</f>
        <v>https://eprel.ec.europa.eu/qr/850541</v>
      </c>
      <c r="R595"/>
      <c r="S595" t="s">
        <v>2714</v>
      </c>
      <c r="T595"/>
      <c r="U595">
        <v>0.251</v>
      </c>
      <c r="V595">
        <v>0.33</v>
      </c>
      <c r="W595">
        <v>23</v>
      </c>
      <c r="X595">
        <v>23</v>
      </c>
      <c r="Y595">
        <v>3.5</v>
      </c>
    </row>
    <row r="596" spans="1:25" ht="60" customHeight="1" x14ac:dyDescent="0.25">
      <c r="A596"/>
      <c r="B596" t="s">
        <v>4</v>
      </c>
      <c r="C596" t="s">
        <v>3376</v>
      </c>
      <c r="D596" t="s">
        <v>631</v>
      </c>
      <c r="E596" t="s">
        <v>1191</v>
      </c>
      <c r="F596" t="s">
        <v>1192</v>
      </c>
      <c r="G596" t="s">
        <v>634</v>
      </c>
      <c r="H596" s="30">
        <v>46.44</v>
      </c>
      <c r="I596" s="29">
        <f>H596*(1-IFERROR(VLOOKUP(G596,Rabat!$D$10:$E$41,2,FALSE),0))</f>
        <v>46.44</v>
      </c>
      <c r="J596" t="s">
        <v>1903</v>
      </c>
      <c r="K596" t="s">
        <v>253</v>
      </c>
      <c r="L596" t="s">
        <v>1901</v>
      </c>
      <c r="M596">
        <v>20</v>
      </c>
      <c r="N596">
        <v>520</v>
      </c>
      <c r="O596" t="s">
        <v>3435</v>
      </c>
      <c r="P596" s="31" t="str">
        <f>HYPERLINK("https://b2b.kobi.pl/pl/product/10199,plafon-led-sigaro-square-18w-4000k-kobi-premium?currency=PLN")</f>
        <v>https://b2b.kobi.pl/pl/product/10199,plafon-led-sigaro-square-18w-4000k-kobi-premium?currency=PLN</v>
      </c>
      <c r="Q596" s="31" t="str">
        <f>HYPERLINK("https://eprel.ec.europa.eu/qr/850607")</f>
        <v>https://eprel.ec.europa.eu/qr/850607</v>
      </c>
      <c r="R596"/>
      <c r="S596" t="s">
        <v>2714</v>
      </c>
      <c r="T596"/>
      <c r="U596">
        <v>0.28699999999999998</v>
      </c>
      <c r="V596">
        <v>0.37</v>
      </c>
      <c r="W596">
        <v>23</v>
      </c>
      <c r="X596">
        <v>23</v>
      </c>
      <c r="Y596">
        <v>3.5</v>
      </c>
    </row>
    <row r="597" spans="1:25" ht="60" customHeight="1" x14ac:dyDescent="0.25">
      <c r="A597"/>
      <c r="B597" t="s">
        <v>4</v>
      </c>
      <c r="C597" t="s">
        <v>3376</v>
      </c>
      <c r="D597" t="s">
        <v>631</v>
      </c>
      <c r="E597" t="s">
        <v>1193</v>
      </c>
      <c r="F597" t="s">
        <v>1194</v>
      </c>
      <c r="G597" t="s">
        <v>634</v>
      </c>
      <c r="H597" s="30">
        <v>50</v>
      </c>
      <c r="I597" s="29">
        <f>H597*(1-IFERROR(VLOOKUP(G597,Rabat!$D$10:$E$41,2,FALSE),0))</f>
        <v>50</v>
      </c>
      <c r="J597" t="s">
        <v>1903</v>
      </c>
      <c r="K597" t="s">
        <v>254</v>
      </c>
      <c r="L597" t="s">
        <v>1901</v>
      </c>
      <c r="M597">
        <v>20</v>
      </c>
      <c r="N597">
        <v>400</v>
      </c>
      <c r="O597" t="s">
        <v>3435</v>
      </c>
      <c r="P597" s="31" t="str">
        <f>HYPERLINK("https://b2b.kobi.pl/pl/product/10200,plafon-led-sigaro-square-24w-4000k-kobi-premium?currency=PLN")</f>
        <v>https://b2b.kobi.pl/pl/product/10200,plafon-led-sigaro-square-24w-4000k-kobi-premium?currency=PLN</v>
      </c>
      <c r="Q597" s="31" t="str">
        <f>HYPERLINK("https://eprel.ec.europa.eu/qr/850609")</f>
        <v>https://eprel.ec.europa.eu/qr/850609</v>
      </c>
      <c r="R597"/>
      <c r="S597" t="s">
        <v>2714</v>
      </c>
      <c r="T597"/>
      <c r="U597">
        <v>0.32400000000000001</v>
      </c>
      <c r="V597">
        <v>0.40200000000000002</v>
      </c>
      <c r="W597">
        <v>23</v>
      </c>
      <c r="X597">
        <v>23</v>
      </c>
      <c r="Y597">
        <v>3</v>
      </c>
    </row>
    <row r="598" spans="1:25" ht="60" customHeight="1" x14ac:dyDescent="0.25">
      <c r="A598"/>
      <c r="B598" t="s">
        <v>5</v>
      </c>
      <c r="C598" t="s">
        <v>3374</v>
      </c>
      <c r="D598" t="s">
        <v>643</v>
      </c>
      <c r="E598" t="s">
        <v>3057</v>
      </c>
      <c r="F598" t="s">
        <v>3058</v>
      </c>
      <c r="G598" t="s">
        <v>634</v>
      </c>
      <c r="H598" s="30">
        <v>15.11</v>
      </c>
      <c r="I598" s="29">
        <f>H598*(1-IFERROR(VLOOKUP(G598,Rabat!$D$10:$E$41,2,FALSE),0))</f>
        <v>15.11</v>
      </c>
      <c r="J598" t="s">
        <v>1905</v>
      </c>
      <c r="K598" t="s">
        <v>3085</v>
      </c>
      <c r="L598" t="s">
        <v>1901</v>
      </c>
      <c r="M598">
        <v>100</v>
      </c>
      <c r="N598">
        <v>2300</v>
      </c>
      <c r="O598" t="s">
        <v>3434</v>
      </c>
      <c r="P598" s="31" t="str">
        <f>HYPERLINK("https://b2b.kobi.pl/pl/product/12790,downlight-led-brino-3-5-7w-3cct-bialy-kobi?currency=PLN")</f>
        <v>https://b2b.kobi.pl/pl/product/12790,downlight-led-brino-3-5-7w-3cct-bialy-kobi?currency=PLN</v>
      </c>
      <c r="Q598" s="31" t="str">
        <f>HYPERLINK("https://eprel.ec.europa.eu/qr/2370303")</f>
        <v>https://eprel.ec.europa.eu/qr/2370303</v>
      </c>
      <c r="R598"/>
      <c r="S598" t="s">
        <v>2714</v>
      </c>
      <c r="T598"/>
      <c r="U598">
        <v>5.8000000000000003E-2</v>
      </c>
      <c r="V598">
        <v>6.9000000000000006E-2</v>
      </c>
      <c r="W598">
        <v>9.1999999999999993</v>
      </c>
      <c r="X598">
        <v>4</v>
      </c>
      <c r="Y598">
        <v>9.1999999999999993</v>
      </c>
    </row>
    <row r="599" spans="1:25" ht="60" customHeight="1" x14ac:dyDescent="0.25">
      <c r="A599"/>
      <c r="B599" t="s">
        <v>5</v>
      </c>
      <c r="C599" t="s">
        <v>3374</v>
      </c>
      <c r="D599" t="s">
        <v>643</v>
      </c>
      <c r="E599" t="s">
        <v>3059</v>
      </c>
      <c r="F599" t="s">
        <v>3060</v>
      </c>
      <c r="G599" t="s">
        <v>634</v>
      </c>
      <c r="H599" s="30">
        <v>15.11</v>
      </c>
      <c r="I599" s="29">
        <f>H599*(1-IFERROR(VLOOKUP(G599,Rabat!$D$10:$E$41,2,FALSE),0))</f>
        <v>15.11</v>
      </c>
      <c r="J599" t="s">
        <v>1905</v>
      </c>
      <c r="K599" t="s">
        <v>3086</v>
      </c>
      <c r="L599" t="s">
        <v>1901</v>
      </c>
      <c r="M599">
        <v>100</v>
      </c>
      <c r="N599">
        <v>2300</v>
      </c>
      <c r="O599" t="s">
        <v>3434</v>
      </c>
      <c r="P599" s="31" t="str">
        <f>HYPERLINK("https://b2b.kobi.pl/pl/product/12791,downlight-led-brino-3-5-7w-3cct-czarny-kobi?currency=PLN")</f>
        <v>https://b2b.kobi.pl/pl/product/12791,downlight-led-brino-3-5-7w-3cct-czarny-kobi?currency=PLN</v>
      </c>
      <c r="Q599" s="31" t="str">
        <f>HYPERLINK("https://eprel.ec.europa.eu/qr/2370361")</f>
        <v>https://eprel.ec.europa.eu/qr/2370361</v>
      </c>
      <c r="R599"/>
      <c r="S599" t="s">
        <v>2714</v>
      </c>
      <c r="T599"/>
      <c r="U599">
        <v>5.8000000000000003E-2</v>
      </c>
      <c r="V599">
        <v>6.9000000000000006E-2</v>
      </c>
      <c r="W599">
        <v>9.1999999999999993</v>
      </c>
      <c r="X599">
        <v>4</v>
      </c>
      <c r="Y599">
        <v>9.1999999999999993</v>
      </c>
    </row>
    <row r="600" spans="1:25" ht="60" customHeight="1" x14ac:dyDescent="0.25">
      <c r="A600"/>
      <c r="B600" t="s">
        <v>5</v>
      </c>
      <c r="C600" t="s">
        <v>16</v>
      </c>
      <c r="D600" t="s">
        <v>643</v>
      </c>
      <c r="E600" t="s">
        <v>1281</v>
      </c>
      <c r="F600" t="s">
        <v>1282</v>
      </c>
      <c r="G600" t="s">
        <v>1283</v>
      </c>
      <c r="H600" s="30">
        <v>37.56</v>
      </c>
      <c r="I600" s="29">
        <f>H600*(1-IFERROR(VLOOKUP(G600,Rabat!$D$10:$E$41,2,FALSE),0))</f>
        <v>37.56</v>
      </c>
      <c r="J600" t="s">
        <v>1902</v>
      </c>
      <c r="K600" t="s">
        <v>291</v>
      </c>
      <c r="L600" t="s">
        <v>1901</v>
      </c>
      <c r="M600">
        <v>20</v>
      </c>
      <c r="N600">
        <v>1400</v>
      </c>
      <c r="O600" t="s">
        <v>3434</v>
      </c>
      <c r="P600" s="31" t="str">
        <f>HYPERLINK("https://b2b.kobi.pl/pl/product/10321,oprawa-meblowa-led-correa-3-4w-3000k-lx-kobi?currency=PLN")</f>
        <v>https://b2b.kobi.pl/pl/product/10321,oprawa-meblowa-led-correa-3-4w-3000k-lx-kobi?currency=PLN</v>
      </c>
      <c r="Q600" t="s">
        <v>15</v>
      </c>
      <c r="R600"/>
      <c r="S600" t="s">
        <v>2711</v>
      </c>
      <c r="T600"/>
      <c r="U600">
        <v>0.05</v>
      </c>
      <c r="V600">
        <v>0.1</v>
      </c>
      <c r="W600">
        <v>15</v>
      </c>
      <c r="X600">
        <v>21</v>
      </c>
      <c r="Y600">
        <v>4</v>
      </c>
    </row>
    <row r="601" spans="1:25" ht="60" customHeight="1" x14ac:dyDescent="0.25">
      <c r="A601"/>
      <c r="B601" t="s">
        <v>5</v>
      </c>
      <c r="C601" t="s">
        <v>16</v>
      </c>
      <c r="D601" t="s">
        <v>631</v>
      </c>
      <c r="E601" t="s">
        <v>1284</v>
      </c>
      <c r="F601" t="s">
        <v>1285</v>
      </c>
      <c r="G601" t="s">
        <v>1283</v>
      </c>
      <c r="H601" s="30">
        <v>49.2</v>
      </c>
      <c r="I601" s="29">
        <f>H601*(1-IFERROR(VLOOKUP(G601,Rabat!$D$10:$E$41,2,FALSE),0))</f>
        <v>49.2</v>
      </c>
      <c r="J601" t="s">
        <v>1902</v>
      </c>
      <c r="K601" t="s">
        <v>292</v>
      </c>
      <c r="L601" t="s">
        <v>1901</v>
      </c>
      <c r="M601">
        <v>50</v>
      </c>
      <c r="N601">
        <v>1200</v>
      </c>
      <c r="O601" t="s">
        <v>3435</v>
      </c>
      <c r="P601" s="31" t="str">
        <f>HYPERLINK("https://b2b.kobi.pl/pl/product/10323,oprawa-meblowa-led-click-1-5w-cct-kobi-premium?currency=PLN")</f>
        <v>https://b2b.kobi.pl/pl/product/10323,oprawa-meblowa-led-click-1-5w-cct-kobi-premium?currency=PLN</v>
      </c>
      <c r="Q601" t="s">
        <v>15</v>
      </c>
      <c r="R601" t="s">
        <v>2035</v>
      </c>
      <c r="S601" t="s">
        <v>2715</v>
      </c>
      <c r="T601"/>
      <c r="U601">
        <v>0.15</v>
      </c>
      <c r="V601">
        <v>0.2</v>
      </c>
      <c r="W601">
        <v>27.7</v>
      </c>
      <c r="X601">
        <v>7.5</v>
      </c>
      <c r="Y601">
        <v>4.0999999999999996</v>
      </c>
    </row>
    <row r="602" spans="1:25" ht="60" customHeight="1" x14ac:dyDescent="0.25">
      <c r="A602"/>
      <c r="B602" t="s">
        <v>5</v>
      </c>
      <c r="C602" t="s">
        <v>3375</v>
      </c>
      <c r="D602" t="s">
        <v>643</v>
      </c>
      <c r="E602" t="s">
        <v>798</v>
      </c>
      <c r="F602" t="s">
        <v>799</v>
      </c>
      <c r="G602" t="s">
        <v>727</v>
      </c>
      <c r="H602" s="30">
        <v>35.33</v>
      </c>
      <c r="I602" s="29">
        <f>H602*(1-IFERROR(VLOOKUP(G602,Rabat!$D$10:$E$41,2,FALSE),0))</f>
        <v>35.33</v>
      </c>
      <c r="J602" t="s">
        <v>1902</v>
      </c>
      <c r="K602" t="s">
        <v>305</v>
      </c>
      <c r="L602" t="s">
        <v>1901</v>
      </c>
      <c r="M602">
        <v>24</v>
      </c>
      <c r="N602">
        <v>600</v>
      </c>
      <c r="O602" t="s">
        <v>3434</v>
      </c>
      <c r="P602" s="31" t="str">
        <f>HYPERLINK("https://b2b.kobi.pl/pl/product/10600,lampa-ogrodowa-blake-2-1xgu10-ip65-czarna-kobi?currency=PLN")</f>
        <v>https://b2b.kobi.pl/pl/product/10600,lampa-ogrodowa-blake-2-1xgu10-ip65-czarna-kobi?currency=PLN</v>
      </c>
      <c r="Q602" t="s">
        <v>15</v>
      </c>
      <c r="R602"/>
      <c r="S602" t="s">
        <v>2709</v>
      </c>
      <c r="T602"/>
      <c r="U602">
        <v>0.29499999999999998</v>
      </c>
      <c r="V602">
        <v>0.36499999999999999</v>
      </c>
      <c r="W602">
        <v>10.6</v>
      </c>
      <c r="X602">
        <v>10.6</v>
      </c>
      <c r="Y602">
        <v>14.5</v>
      </c>
    </row>
    <row r="603" spans="1:25" ht="60" customHeight="1" x14ac:dyDescent="0.25">
      <c r="A603"/>
      <c r="B603" t="s">
        <v>5</v>
      </c>
      <c r="C603" t="s">
        <v>3375</v>
      </c>
      <c r="D603" t="s">
        <v>643</v>
      </c>
      <c r="E603" t="s">
        <v>2913</v>
      </c>
      <c r="F603" t="s">
        <v>2914</v>
      </c>
      <c r="G603" t="s">
        <v>727</v>
      </c>
      <c r="H603" s="30">
        <v>22.48</v>
      </c>
      <c r="I603" s="29">
        <f>H603*(1-IFERROR(VLOOKUP(G603,Rabat!$D$10:$E$41,2,FALSE),0))</f>
        <v>22.48</v>
      </c>
      <c r="J603" t="s">
        <v>1902</v>
      </c>
      <c r="K603" t="s">
        <v>2931</v>
      </c>
      <c r="L603" t="s">
        <v>1901</v>
      </c>
      <c r="M603">
        <v>50</v>
      </c>
      <c r="N603">
        <v>1500</v>
      </c>
      <c r="O603" t="s">
        <v>3434</v>
      </c>
      <c r="P603" s="31" t="str">
        <f>HYPERLINK("https://b2b.kobi.pl/pl/product/12925,lampa-ogrodowa-led-blake-5w-4000k-ip65-czarna-kobi?currency=PLN")</f>
        <v>https://b2b.kobi.pl/pl/product/12925,lampa-ogrodowa-led-blake-5w-4000k-ip65-czarna-kobi?currency=PLN</v>
      </c>
      <c r="Q603" s="31" t="str">
        <f>HYPERLINK("https://eprel.ec.europa.eu/qr/2426911")</f>
        <v>https://eprel.ec.europa.eu/qr/2426911</v>
      </c>
      <c r="R603"/>
      <c r="S603" t="s">
        <v>2714</v>
      </c>
      <c r="T603"/>
      <c r="U603">
        <v>0.129</v>
      </c>
      <c r="V603">
        <v>0.185</v>
      </c>
      <c r="W603">
        <v>7.2</v>
      </c>
      <c r="X603">
        <v>7.2</v>
      </c>
      <c r="Y603">
        <v>15.8</v>
      </c>
    </row>
    <row r="604" spans="1:25" ht="60" customHeight="1" x14ac:dyDescent="0.25">
      <c r="A604"/>
      <c r="B604" t="s">
        <v>5</v>
      </c>
      <c r="C604" t="s">
        <v>3375</v>
      </c>
      <c r="D604" t="s">
        <v>643</v>
      </c>
      <c r="E604" t="s">
        <v>2915</v>
      </c>
      <c r="F604" t="s">
        <v>2916</v>
      </c>
      <c r="G604" t="s">
        <v>727</v>
      </c>
      <c r="H604" s="30">
        <v>22.48</v>
      </c>
      <c r="I604" s="29">
        <f>H604*(1-IFERROR(VLOOKUP(G604,Rabat!$D$10:$E$41,2,FALSE),0))</f>
        <v>22.48</v>
      </c>
      <c r="J604" t="s">
        <v>1902</v>
      </c>
      <c r="K604" t="s">
        <v>2932</v>
      </c>
      <c r="L604" t="s">
        <v>1901</v>
      </c>
      <c r="M604">
        <v>50</v>
      </c>
      <c r="N604">
        <v>1500</v>
      </c>
      <c r="O604" t="s">
        <v>3434</v>
      </c>
      <c r="P604" s="31" t="str">
        <f>HYPERLINK("https://b2b.kobi.pl/pl/product/12926,lampa-ogrodowa-led-blake-5w-3000k-ip65-czarna-kobi?currency=PLN")</f>
        <v>https://b2b.kobi.pl/pl/product/12926,lampa-ogrodowa-led-blake-5w-3000k-ip65-czarna-kobi?currency=PLN</v>
      </c>
      <c r="Q604" t="s">
        <v>15</v>
      </c>
      <c r="R604"/>
      <c r="S604" t="s">
        <v>2714</v>
      </c>
      <c r="T604"/>
      <c r="U604">
        <v>0.129</v>
      </c>
      <c r="V604">
        <v>0.185</v>
      </c>
      <c r="W604">
        <v>7.2</v>
      </c>
      <c r="X604">
        <v>7.2</v>
      </c>
      <c r="Y604">
        <v>15.8</v>
      </c>
    </row>
    <row r="605" spans="1:25" ht="60" customHeight="1" x14ac:dyDescent="0.25">
      <c r="A605"/>
      <c r="B605" t="s">
        <v>5</v>
      </c>
      <c r="C605" t="s">
        <v>3375</v>
      </c>
      <c r="D605" t="s">
        <v>643</v>
      </c>
      <c r="E605" t="s">
        <v>2917</v>
      </c>
      <c r="F605" t="s">
        <v>2918</v>
      </c>
      <c r="G605" t="s">
        <v>727</v>
      </c>
      <c r="H605" s="30">
        <v>27.25</v>
      </c>
      <c r="I605" s="29">
        <f>H605*(1-IFERROR(VLOOKUP(G605,Rabat!$D$10:$E$41,2,FALSE),0))</f>
        <v>27.25</v>
      </c>
      <c r="J605" t="s">
        <v>1902</v>
      </c>
      <c r="K605" t="s">
        <v>2933</v>
      </c>
      <c r="L605" t="s">
        <v>1901</v>
      </c>
      <c r="M605">
        <v>50</v>
      </c>
      <c r="N605">
        <v>1500</v>
      </c>
      <c r="O605" t="s">
        <v>3434</v>
      </c>
      <c r="P605" s="31" t="str">
        <f>HYPERLINK("https://b2b.kobi.pl/pl/product/12927,lampa-ogrodowa-blake-uno-1xgu10-ip65-czarna-kobi?currency=PLN")</f>
        <v>https://b2b.kobi.pl/pl/product/12927,lampa-ogrodowa-blake-uno-1xgu10-ip65-czarna-kobi?currency=PLN</v>
      </c>
      <c r="Q605" t="s">
        <v>15</v>
      </c>
      <c r="R605"/>
      <c r="S605" t="s">
        <v>2709</v>
      </c>
      <c r="T605"/>
      <c r="U605">
        <v>0.20100000000000001</v>
      </c>
      <c r="V605">
        <v>0.255</v>
      </c>
      <c r="W605">
        <v>7.2</v>
      </c>
      <c r="X605">
        <v>7.2</v>
      </c>
      <c r="Y605">
        <v>15.8</v>
      </c>
    </row>
    <row r="606" spans="1:25" ht="60" customHeight="1" x14ac:dyDescent="0.25">
      <c r="A606"/>
      <c r="B606" t="s">
        <v>5</v>
      </c>
      <c r="C606" t="s">
        <v>3375</v>
      </c>
      <c r="D606" t="s">
        <v>643</v>
      </c>
      <c r="E606" t="s">
        <v>1288</v>
      </c>
      <c r="F606" t="s">
        <v>1289</v>
      </c>
      <c r="G606" t="s">
        <v>727</v>
      </c>
      <c r="H606" s="30">
        <v>81.25</v>
      </c>
      <c r="I606" s="29">
        <f>H606*(1-IFERROR(VLOOKUP(G606,Rabat!$D$10:$E$41,2,FALSE),0))</f>
        <v>81.25</v>
      </c>
      <c r="J606" t="s">
        <v>1902</v>
      </c>
      <c r="K606" t="s">
        <v>306</v>
      </c>
      <c r="L606" t="s">
        <v>1901</v>
      </c>
      <c r="M606">
        <v>18</v>
      </c>
      <c r="N606">
        <v>540</v>
      </c>
      <c r="O606" t="s">
        <v>3434</v>
      </c>
      <c r="P606" s="31" t="str">
        <f>HYPERLINK("https://b2b.kobi.pl/pl/product/10669,oprawa-najazdowa-entrada-1-1xgu10-kwadrat-kobi?currency=PLN")</f>
        <v>https://b2b.kobi.pl/pl/product/10669,oprawa-najazdowa-entrada-1-1xgu10-kwadrat-kobi?currency=PLN</v>
      </c>
      <c r="Q606" t="s">
        <v>15</v>
      </c>
      <c r="R606"/>
      <c r="S606" t="s">
        <v>2709</v>
      </c>
      <c r="T606"/>
      <c r="U606">
        <v>0.58899999999999997</v>
      </c>
      <c r="V606">
        <v>0.64400000000000002</v>
      </c>
      <c r="W606">
        <v>11.6</v>
      </c>
      <c r="X606">
        <v>11.7</v>
      </c>
      <c r="Y606">
        <v>13</v>
      </c>
    </row>
    <row r="607" spans="1:25" ht="60" customHeight="1" x14ac:dyDescent="0.25">
      <c r="A607"/>
      <c r="B607" t="s">
        <v>5</v>
      </c>
      <c r="C607" t="s">
        <v>3375</v>
      </c>
      <c r="D607" t="s">
        <v>643</v>
      </c>
      <c r="E607" t="s">
        <v>1290</v>
      </c>
      <c r="F607" t="s">
        <v>1291</v>
      </c>
      <c r="G607" t="s">
        <v>727</v>
      </c>
      <c r="H607" s="30">
        <v>74.98</v>
      </c>
      <c r="I607" s="29">
        <f>H607*(1-IFERROR(VLOOKUP(G607,Rabat!$D$10:$E$41,2,FALSE),0))</f>
        <v>74.98</v>
      </c>
      <c r="J607" t="s">
        <v>1902</v>
      </c>
      <c r="K607" t="s">
        <v>307</v>
      </c>
      <c r="L607" t="s">
        <v>1901</v>
      </c>
      <c r="M607">
        <v>18</v>
      </c>
      <c r="N607">
        <v>540</v>
      </c>
      <c r="O607" t="s">
        <v>3434</v>
      </c>
      <c r="P607" s="31" t="str">
        <f>HYPERLINK("https://b2b.kobi.pl/pl/product/10670,oprawa-najazdowa-entrada-2-1xgu10-okragla-kobi?currency=PLN")</f>
        <v>https://b2b.kobi.pl/pl/product/10670,oprawa-najazdowa-entrada-2-1xgu10-okragla-kobi?currency=PLN</v>
      </c>
      <c r="Q607" t="s">
        <v>15</v>
      </c>
      <c r="R607"/>
      <c r="S607" t="s">
        <v>2709</v>
      </c>
      <c r="T607"/>
      <c r="U607">
        <v>0.51100000000000001</v>
      </c>
      <c r="V607">
        <v>0.62</v>
      </c>
      <c r="W607">
        <v>11.6</v>
      </c>
      <c r="X607">
        <v>11.5</v>
      </c>
      <c r="Y607">
        <v>13</v>
      </c>
    </row>
    <row r="608" spans="1:25" ht="60" customHeight="1" x14ac:dyDescent="0.25">
      <c r="A608"/>
      <c r="B608" t="s">
        <v>4</v>
      </c>
      <c r="C608" t="s">
        <v>3373</v>
      </c>
      <c r="D608" t="s">
        <v>643</v>
      </c>
      <c r="E608" t="s">
        <v>2887</v>
      </c>
      <c r="F608" t="s">
        <v>1495</v>
      </c>
      <c r="G608" t="s">
        <v>645</v>
      </c>
      <c r="H608" s="30">
        <v>162.5</v>
      </c>
      <c r="I608" s="29">
        <f>H608*(1-IFERROR(VLOOKUP(G608,Rabat!$D$10:$E$41,2,FALSE),0))</f>
        <v>162.5</v>
      </c>
      <c r="J608" t="s">
        <v>1902</v>
      </c>
      <c r="K608" t="s">
        <v>1984</v>
      </c>
      <c r="L608" t="s">
        <v>1901</v>
      </c>
      <c r="M608">
        <v>11</v>
      </c>
      <c r="N608">
        <v>198</v>
      </c>
      <c r="O608" t="s">
        <v>3434</v>
      </c>
      <c r="P608" s="31" t="str">
        <f>HYPERLINK("https://b2b.kobi.pl/pl/product/12135,uchwyt-montazowy-base-tp-360mm-fi-60mm-kobi?currency=PLN")</f>
        <v>https://b2b.kobi.pl/pl/product/12135,uchwyt-montazowy-base-tp-360mm-fi-60mm-kobi?currency=PLN</v>
      </c>
      <c r="Q608" t="s">
        <v>15</v>
      </c>
      <c r="R608"/>
      <c r="S608" t="s">
        <v>2678</v>
      </c>
      <c r="T608"/>
      <c r="U608">
        <v>1.284</v>
      </c>
      <c r="V608">
        <v>1.306</v>
      </c>
      <c r="W608">
        <v>36</v>
      </c>
      <c r="X608">
        <v>18</v>
      </c>
      <c r="Y608">
        <v>6</v>
      </c>
    </row>
    <row r="609" spans="1:25" ht="60" customHeight="1" x14ac:dyDescent="0.25">
      <c r="A609"/>
      <c r="B609" t="s">
        <v>5</v>
      </c>
      <c r="C609" t="s">
        <v>3375</v>
      </c>
      <c r="D609" t="s">
        <v>17</v>
      </c>
      <c r="E609" t="s">
        <v>1298</v>
      </c>
      <c r="F609" t="s">
        <v>1299</v>
      </c>
      <c r="G609" t="s">
        <v>727</v>
      </c>
      <c r="H609" s="30">
        <v>49.75</v>
      </c>
      <c r="I609" s="29">
        <f>H609*(1-IFERROR(VLOOKUP(G609,Rabat!$D$10:$E$41,2,FALSE),0))</f>
        <v>49.75</v>
      </c>
      <c r="J609" t="s">
        <v>1902</v>
      </c>
      <c r="K609" t="s">
        <v>308</v>
      </c>
      <c r="L609" t="s">
        <v>1901</v>
      </c>
      <c r="M609">
        <v>20</v>
      </c>
      <c r="N609"/>
      <c r="O609" t="s">
        <v>3434</v>
      </c>
      <c r="P609" s="31" t="str">
        <f>HYPERLINK("https://b2b.kobi.pl/pl/product/10579,oprawa-najazdowa-ingress-1xgu10-okragla-ip67-led2b?currency=PLN")</f>
        <v>https://b2b.kobi.pl/pl/product/10579,oprawa-najazdowa-ingress-1xgu10-okragla-ip67-led2b?currency=PLN</v>
      </c>
      <c r="Q609" t="s">
        <v>15</v>
      </c>
      <c r="R609"/>
      <c r="S609" t="s">
        <v>2709</v>
      </c>
      <c r="T609"/>
      <c r="U609">
        <v>0.39</v>
      </c>
      <c r="V609">
        <v>0.42899999999999999</v>
      </c>
      <c r="W609">
        <v>0</v>
      </c>
      <c r="X609">
        <v>0</v>
      </c>
      <c r="Y609">
        <v>0</v>
      </c>
    </row>
    <row r="610" spans="1:25" ht="60" customHeight="1" x14ac:dyDescent="0.25">
      <c r="A610"/>
      <c r="B610" t="s">
        <v>5</v>
      </c>
      <c r="C610" t="s">
        <v>3375</v>
      </c>
      <c r="D610" t="s">
        <v>17</v>
      </c>
      <c r="E610" t="s">
        <v>1294</v>
      </c>
      <c r="F610" t="s">
        <v>1295</v>
      </c>
      <c r="G610" t="s">
        <v>727</v>
      </c>
      <c r="H610" s="30">
        <v>49.98</v>
      </c>
      <c r="I610" s="29">
        <f>H610*(1-IFERROR(VLOOKUP(G610,Rabat!$D$10:$E$41,2,FALSE),0))</f>
        <v>49.98</v>
      </c>
      <c r="J610" t="s">
        <v>1902</v>
      </c>
      <c r="K610" t="s">
        <v>309</v>
      </c>
      <c r="L610" t="s">
        <v>1901</v>
      </c>
      <c r="M610">
        <v>20</v>
      </c>
      <c r="N610">
        <v>600</v>
      </c>
      <c r="O610" t="s">
        <v>3434</v>
      </c>
      <c r="P610" s="31" t="str">
        <f>HYPERLINK("https://b2b.kobi.pl/pl/product/10580,oprawa-najazdowa-ingress-1xgu10-kwadratowa-ip67-led2b?currency=PLN")</f>
        <v>https://b2b.kobi.pl/pl/product/10580,oprawa-najazdowa-ingress-1xgu10-kwadratowa-ip67-led2b?currency=PLN</v>
      </c>
      <c r="Q610" t="s">
        <v>15</v>
      </c>
      <c r="R610"/>
      <c r="S610" t="s">
        <v>2709</v>
      </c>
      <c r="T610"/>
      <c r="U610">
        <v>0.49</v>
      </c>
      <c r="V610">
        <v>0.53</v>
      </c>
      <c r="W610">
        <v>11</v>
      </c>
      <c r="X610">
        <v>11</v>
      </c>
      <c r="Y610">
        <v>14</v>
      </c>
    </row>
    <row r="611" spans="1:25" ht="60" customHeight="1" x14ac:dyDescent="0.25">
      <c r="A611"/>
      <c r="B611" t="s">
        <v>4</v>
      </c>
      <c r="C611" t="s">
        <v>3373</v>
      </c>
      <c r="D611" t="s">
        <v>17</v>
      </c>
      <c r="E611" t="s">
        <v>1496</v>
      </c>
      <c r="F611" t="s">
        <v>1497</v>
      </c>
      <c r="G611" t="s">
        <v>645</v>
      </c>
      <c r="H611" s="30">
        <v>47.5</v>
      </c>
      <c r="I611" s="29">
        <f>H611*(1-IFERROR(VLOOKUP(G611,Rabat!$D$10:$E$41,2,FALSE),0))</f>
        <v>47.5</v>
      </c>
      <c r="J611" t="s">
        <v>1902</v>
      </c>
      <c r="K611" t="s">
        <v>1985</v>
      </c>
      <c r="L611" t="s">
        <v>1901</v>
      </c>
      <c r="M611">
        <v>10</v>
      </c>
      <c r="N611"/>
      <c r="O611" t="s">
        <v>3434</v>
      </c>
      <c r="P611" s="31" t="str">
        <f>HYPERLINK("https://b2b.kobi.pl/pl/product/12126,uchwyt-scienny-base-se-500mm-fi-48mm-led2b?currency=PLN")</f>
        <v>https://b2b.kobi.pl/pl/product/12126,uchwyt-scienny-base-se-500mm-fi-48mm-led2b?currency=PLN</v>
      </c>
      <c r="Q611" t="s">
        <v>15</v>
      </c>
      <c r="R611"/>
      <c r="S611" t="s">
        <v>2678</v>
      </c>
      <c r="T611"/>
      <c r="U611">
        <v>0.7</v>
      </c>
      <c r="V611">
        <v>0.8</v>
      </c>
      <c r="W611">
        <v>51</v>
      </c>
      <c r="X611">
        <v>14.5</v>
      </c>
      <c r="Y611">
        <v>7</v>
      </c>
    </row>
    <row r="612" spans="1:25" ht="60" customHeight="1" x14ac:dyDescent="0.25">
      <c r="A612"/>
      <c r="B612" t="s">
        <v>4</v>
      </c>
      <c r="C612" t="s">
        <v>3373</v>
      </c>
      <c r="D612" t="s">
        <v>643</v>
      </c>
      <c r="E612" t="s">
        <v>2583</v>
      </c>
      <c r="F612" t="s">
        <v>2584</v>
      </c>
      <c r="G612" t="s">
        <v>645</v>
      </c>
      <c r="H612" s="30">
        <v>74.75</v>
      </c>
      <c r="I612" s="29">
        <f>H612*(1-IFERROR(VLOOKUP(G612,Rabat!$D$10:$E$41,2,FALSE),0))</f>
        <v>74.75</v>
      </c>
      <c r="J612" t="s">
        <v>1902</v>
      </c>
      <c r="K612" t="s">
        <v>2591</v>
      </c>
      <c r="L612" t="s">
        <v>1901</v>
      </c>
      <c r="M612">
        <v>6</v>
      </c>
      <c r="N612">
        <v>144</v>
      </c>
      <c r="O612" t="s">
        <v>3434</v>
      </c>
      <c r="P612" s="31" t="str">
        <f>HYPERLINK("https://b2b.kobi.pl/pl/product/12794,modul-base-sg-1m-fi-60mm-kobi?currency=PLN")</f>
        <v>https://b2b.kobi.pl/pl/product/12794,modul-base-sg-1m-fi-60mm-kobi?currency=PLN</v>
      </c>
      <c r="Q612" t="s">
        <v>15</v>
      </c>
      <c r="R612"/>
      <c r="S612" t="s">
        <v>2678</v>
      </c>
      <c r="T612"/>
      <c r="U612">
        <v>1.81</v>
      </c>
      <c r="V612">
        <v>2.04</v>
      </c>
      <c r="W612">
        <v>111</v>
      </c>
      <c r="X612">
        <v>7.5</v>
      </c>
      <c r="Y612">
        <v>8</v>
      </c>
    </row>
    <row r="613" spans="1:25" ht="60" customHeight="1" x14ac:dyDescent="0.25">
      <c r="A613"/>
      <c r="B613" t="s">
        <v>4</v>
      </c>
      <c r="C613" t="s">
        <v>3373</v>
      </c>
      <c r="D613" t="s">
        <v>643</v>
      </c>
      <c r="E613" t="s">
        <v>1413</v>
      </c>
      <c r="F613" t="s">
        <v>1414</v>
      </c>
      <c r="G613" t="s">
        <v>645</v>
      </c>
      <c r="H613" s="30">
        <v>372.5</v>
      </c>
      <c r="I613" s="29">
        <f>H613*(1-IFERROR(VLOOKUP(G613,Rabat!$D$10:$E$41,2,FALSE),0))</f>
        <v>372.5</v>
      </c>
      <c r="J613" t="s">
        <v>1902</v>
      </c>
      <c r="K613" t="s">
        <v>1972</v>
      </c>
      <c r="L613" t="s">
        <v>1901</v>
      </c>
      <c r="M613">
        <v>1</v>
      </c>
      <c r="N613">
        <v>32</v>
      </c>
      <c r="O613" t="s">
        <v>3434</v>
      </c>
      <c r="P613" s="31" t="str">
        <f>HYPERLINK("https://b2b.kobi.pl/pl/product/12128,slup-base-sg-3m-fi-60mm-kobi?currency=PLN")</f>
        <v>https://b2b.kobi.pl/pl/product/12128,slup-base-sg-3m-fi-60mm-kobi?currency=PLN</v>
      </c>
      <c r="Q613" t="s">
        <v>15</v>
      </c>
      <c r="R613"/>
      <c r="S613" t="s">
        <v>2678</v>
      </c>
      <c r="T613"/>
      <c r="U613">
        <v>7.69</v>
      </c>
      <c r="V613">
        <v>8.69</v>
      </c>
      <c r="W613">
        <v>113.5</v>
      </c>
      <c r="X613">
        <v>17.5</v>
      </c>
      <c r="Y613">
        <v>17.5</v>
      </c>
    </row>
    <row r="614" spans="1:25" ht="60" customHeight="1" x14ac:dyDescent="0.25">
      <c r="A614"/>
      <c r="B614" t="s">
        <v>4</v>
      </c>
      <c r="C614" t="s">
        <v>3373</v>
      </c>
      <c r="D614" t="s">
        <v>643</v>
      </c>
      <c r="E614" t="s">
        <v>1415</v>
      </c>
      <c r="F614" t="s">
        <v>1416</v>
      </c>
      <c r="G614" t="s">
        <v>645</v>
      </c>
      <c r="H614" s="30">
        <v>450</v>
      </c>
      <c r="I614" s="29">
        <f>H614*(1-IFERROR(VLOOKUP(G614,Rabat!$D$10:$E$41,2,FALSE),0))</f>
        <v>450</v>
      </c>
      <c r="J614" t="s">
        <v>1902</v>
      </c>
      <c r="K614" t="s">
        <v>1973</v>
      </c>
      <c r="L614" t="s">
        <v>1901</v>
      </c>
      <c r="M614">
        <v>1</v>
      </c>
      <c r="N614">
        <v>32</v>
      </c>
      <c r="O614" t="s">
        <v>3434</v>
      </c>
      <c r="P614" s="31" t="str">
        <f>HYPERLINK("https://b2b.kobi.pl/pl/product/12129,slup-base-sg-4m-fi-60mm-kobi?currency=PLN")</f>
        <v>https://b2b.kobi.pl/pl/product/12129,slup-base-sg-4m-fi-60mm-kobi?currency=PLN</v>
      </c>
      <c r="Q614" t="s">
        <v>15</v>
      </c>
      <c r="R614"/>
      <c r="S614" t="s">
        <v>2678</v>
      </c>
      <c r="T614"/>
      <c r="U614">
        <v>9.4</v>
      </c>
      <c r="V614">
        <v>10.61</v>
      </c>
      <c r="W614">
        <v>113.5</v>
      </c>
      <c r="X614">
        <v>17.5</v>
      </c>
      <c r="Y614">
        <v>17.5</v>
      </c>
    </row>
    <row r="615" spans="1:25" ht="60" customHeight="1" x14ac:dyDescent="0.25">
      <c r="A615"/>
      <c r="B615" t="s">
        <v>4</v>
      </c>
      <c r="C615" t="s">
        <v>3373</v>
      </c>
      <c r="D615" t="s">
        <v>643</v>
      </c>
      <c r="E615" t="s">
        <v>2795</v>
      </c>
      <c r="F615" t="s">
        <v>2796</v>
      </c>
      <c r="G615" t="s">
        <v>645</v>
      </c>
      <c r="H615" s="30">
        <v>412.5</v>
      </c>
      <c r="I615" s="29">
        <f>H615*(1-IFERROR(VLOOKUP(G615,Rabat!$D$10:$E$41,2,FALSE),0))</f>
        <v>412.5</v>
      </c>
      <c r="J615"/>
      <c r="K615" t="s">
        <v>2822</v>
      </c>
      <c r="L615" t="s">
        <v>1901</v>
      </c>
      <c r="M615">
        <v>1</v>
      </c>
      <c r="N615">
        <v>21</v>
      </c>
      <c r="O615" t="s">
        <v>3434</v>
      </c>
      <c r="P615" s="31" t="str">
        <f>HYPERLINK("https://b2b.kobi.pl/pl/product/12875,slup-base-sv-3m-fi-60-mm-czarny-kobi?currency=PLN")</f>
        <v>https://b2b.kobi.pl/pl/product/12875,slup-base-sv-3m-fi-60-mm-czarny-kobi?currency=PLN</v>
      </c>
      <c r="Q615" t="s">
        <v>15</v>
      </c>
      <c r="R615"/>
      <c r="S615" t="s">
        <v>2678</v>
      </c>
      <c r="T615"/>
      <c r="U615">
        <v>10.97</v>
      </c>
      <c r="V615">
        <v>12.3</v>
      </c>
      <c r="W615">
        <v>113.3</v>
      </c>
      <c r="X615">
        <v>22</v>
      </c>
      <c r="Y615">
        <v>24</v>
      </c>
    </row>
    <row r="616" spans="1:25" ht="60" customHeight="1" x14ac:dyDescent="0.25">
      <c r="A616"/>
      <c r="B616" t="s">
        <v>4</v>
      </c>
      <c r="C616" t="s">
        <v>3373</v>
      </c>
      <c r="D616" t="s">
        <v>643</v>
      </c>
      <c r="E616" t="s">
        <v>2797</v>
      </c>
      <c r="F616" t="s">
        <v>2798</v>
      </c>
      <c r="G616" t="s">
        <v>645</v>
      </c>
      <c r="H616" s="30">
        <v>412.5</v>
      </c>
      <c r="I616" s="29">
        <f>H616*(1-IFERROR(VLOOKUP(G616,Rabat!$D$10:$E$41,2,FALSE),0))</f>
        <v>412.5</v>
      </c>
      <c r="J616"/>
      <c r="K616" t="s">
        <v>2823</v>
      </c>
      <c r="L616" t="s">
        <v>1901</v>
      </c>
      <c r="M616">
        <v>1</v>
      </c>
      <c r="N616">
        <v>21</v>
      </c>
      <c r="O616" t="s">
        <v>3434</v>
      </c>
      <c r="P616" s="31" t="str">
        <f>HYPERLINK("https://b2b.kobi.pl/pl/product/12876,slup-base-sv-3m-fi-60-mm-szary-kobi?currency=PLN")</f>
        <v>https://b2b.kobi.pl/pl/product/12876,slup-base-sv-3m-fi-60-mm-szary-kobi?currency=PLN</v>
      </c>
      <c r="Q616" t="s">
        <v>15</v>
      </c>
      <c r="R616"/>
      <c r="S616" t="s">
        <v>2678</v>
      </c>
      <c r="T616"/>
      <c r="U616">
        <v>10.97</v>
      </c>
      <c r="V616">
        <v>12.3</v>
      </c>
      <c r="W616">
        <v>113.3</v>
      </c>
      <c r="X616">
        <v>22</v>
      </c>
      <c r="Y616">
        <v>24</v>
      </c>
    </row>
    <row r="617" spans="1:25" ht="60" customHeight="1" x14ac:dyDescent="0.25">
      <c r="A617"/>
      <c r="B617" t="s">
        <v>4</v>
      </c>
      <c r="C617" t="s">
        <v>3373</v>
      </c>
      <c r="D617" t="s">
        <v>643</v>
      </c>
      <c r="E617" t="s">
        <v>2799</v>
      </c>
      <c r="F617" t="s">
        <v>2800</v>
      </c>
      <c r="G617" t="s">
        <v>645</v>
      </c>
      <c r="H617" s="30">
        <v>82.25</v>
      </c>
      <c r="I617" s="29">
        <f>H617*(1-IFERROR(VLOOKUP(G617,Rabat!$D$10:$E$41,2,FALSE),0))</f>
        <v>82.25</v>
      </c>
      <c r="J617"/>
      <c r="K617" t="s">
        <v>2824</v>
      </c>
      <c r="L617" t="s">
        <v>1901</v>
      </c>
      <c r="M617">
        <v>6</v>
      </c>
      <c r="N617">
        <v>84</v>
      </c>
      <c r="O617" t="s">
        <v>3434</v>
      </c>
      <c r="P617" s="31" t="str">
        <f>HYPERLINK("https://b2b.kobi.pl/pl/product/12877,przedluzka-base-sv-1m-fi-76-mm-czarna-kobi?currency=PLN")</f>
        <v>https://b2b.kobi.pl/pl/product/12877,przedluzka-base-sv-1m-fi-76-mm-czarna-kobi?currency=PLN</v>
      </c>
      <c r="Q617" t="s">
        <v>15</v>
      </c>
      <c r="R617"/>
      <c r="S617" t="s">
        <v>2678</v>
      </c>
      <c r="T617"/>
      <c r="U617">
        <v>2.41</v>
      </c>
      <c r="V617">
        <v>2.58</v>
      </c>
      <c r="W617">
        <v>115</v>
      </c>
      <c r="X617">
        <v>8.4</v>
      </c>
      <c r="Y617">
        <v>8.4</v>
      </c>
    </row>
    <row r="618" spans="1:25" ht="60" customHeight="1" x14ac:dyDescent="0.25">
      <c r="A618"/>
      <c r="B618" t="s">
        <v>4</v>
      </c>
      <c r="C618" t="s">
        <v>3373</v>
      </c>
      <c r="D618" t="s">
        <v>643</v>
      </c>
      <c r="E618" t="s">
        <v>2801</v>
      </c>
      <c r="F618" t="s">
        <v>2802</v>
      </c>
      <c r="G618" t="s">
        <v>645</v>
      </c>
      <c r="H618" s="30">
        <v>82.25</v>
      </c>
      <c r="I618" s="29">
        <f>H618*(1-IFERROR(VLOOKUP(G618,Rabat!$D$10:$E$41,2,FALSE),0))</f>
        <v>82.25</v>
      </c>
      <c r="J618"/>
      <c r="K618" t="s">
        <v>2825</v>
      </c>
      <c r="L618" t="s">
        <v>1901</v>
      </c>
      <c r="M618">
        <v>6</v>
      </c>
      <c r="N618">
        <v>84</v>
      </c>
      <c r="O618" t="s">
        <v>3434</v>
      </c>
      <c r="P618" s="31" t="str">
        <f>HYPERLINK("https://b2b.kobi.pl/pl/product/12878,przedluzka-base-sv-1m-fi-76-mm-szara-kobi?currency=PLN")</f>
        <v>https://b2b.kobi.pl/pl/product/12878,przedluzka-base-sv-1m-fi-76-mm-szara-kobi?currency=PLN</v>
      </c>
      <c r="Q618" t="s">
        <v>15</v>
      </c>
      <c r="R618"/>
      <c r="S618" t="s">
        <v>2678</v>
      </c>
      <c r="T618"/>
      <c r="U618">
        <v>2.41</v>
      </c>
      <c r="V618">
        <v>2.58</v>
      </c>
      <c r="W618">
        <v>115</v>
      </c>
      <c r="X618">
        <v>8.4</v>
      </c>
      <c r="Y618">
        <v>8.4</v>
      </c>
    </row>
    <row r="619" spans="1:25" ht="60" customHeight="1" x14ac:dyDescent="0.25">
      <c r="A619"/>
      <c r="B619" t="s">
        <v>4</v>
      </c>
      <c r="C619" t="s">
        <v>3373</v>
      </c>
      <c r="D619" t="s">
        <v>643</v>
      </c>
      <c r="E619" t="s">
        <v>2803</v>
      </c>
      <c r="F619" t="s">
        <v>2804</v>
      </c>
      <c r="G619" t="s">
        <v>645</v>
      </c>
      <c r="H619" s="30">
        <v>46.25</v>
      </c>
      <c r="I619" s="29">
        <f>H619*(1-IFERROR(VLOOKUP(G619,Rabat!$D$10:$E$41,2,FALSE),0))</f>
        <v>46.25</v>
      </c>
      <c r="J619"/>
      <c r="K619" t="s">
        <v>2826</v>
      </c>
      <c r="L619" t="s">
        <v>1901</v>
      </c>
      <c r="M619">
        <v>20</v>
      </c>
      <c r="N619">
        <v>240</v>
      </c>
      <c r="O619" t="s">
        <v>3434</v>
      </c>
      <c r="P619" s="31" t="str">
        <f>HYPERLINK("https://b2b.kobi.pl/pl/product/12879,kotwa-fundamentowa-do-slupa-base-sv-200x200mm-kobi?currency=PLN")</f>
        <v>https://b2b.kobi.pl/pl/product/12879,kotwa-fundamentowa-do-slupa-base-sv-200x200mm-kobi?currency=PLN</v>
      </c>
      <c r="Q619" t="s">
        <v>15</v>
      </c>
      <c r="R619"/>
      <c r="S619" t="s">
        <v>2678</v>
      </c>
      <c r="T619"/>
      <c r="U619">
        <v>1.97</v>
      </c>
      <c r="V619">
        <v>2.0499999999999998</v>
      </c>
      <c r="W619">
        <v>30.6</v>
      </c>
      <c r="X619">
        <v>21</v>
      </c>
      <c r="Y619">
        <v>2.2999999999999998</v>
      </c>
    </row>
    <row r="620" spans="1:25" ht="60" customHeight="1" x14ac:dyDescent="0.25">
      <c r="A620"/>
      <c r="B620" t="s">
        <v>4</v>
      </c>
      <c r="C620" t="s">
        <v>3373</v>
      </c>
      <c r="D620" t="s">
        <v>643</v>
      </c>
      <c r="E620" t="s">
        <v>3287</v>
      </c>
      <c r="F620" t="s">
        <v>3288</v>
      </c>
      <c r="G620" t="s">
        <v>645</v>
      </c>
      <c r="H620" s="30">
        <v>162.5</v>
      </c>
      <c r="I620" s="29">
        <f>H620*(1-IFERROR(VLOOKUP(G620,Rabat!$D$10:$E$41,2,FALSE),0))</f>
        <v>162.5</v>
      </c>
      <c r="J620" t="s">
        <v>1902</v>
      </c>
      <c r="K620" t="s">
        <v>3292</v>
      </c>
      <c r="L620" t="s">
        <v>1901</v>
      </c>
      <c r="M620">
        <v>11</v>
      </c>
      <c r="N620">
        <v>198</v>
      </c>
      <c r="O620" t="s">
        <v>3434</v>
      </c>
      <c r="P620" s="31" t="str">
        <f>HYPERLINK("https://b2b.kobi.pl/pl/product/13181,uchwyt-montazowy-base-tp-sv-360mm-fi-60mm-czarny-kobi?currency=PLN")</f>
        <v>https://b2b.kobi.pl/pl/product/13181,uchwyt-montazowy-base-tp-sv-360mm-fi-60mm-czarny-kobi?currency=PLN</v>
      </c>
      <c r="Q620" t="s">
        <v>15</v>
      </c>
      <c r="R620"/>
      <c r="S620" t="s">
        <v>2678</v>
      </c>
      <c r="T620"/>
      <c r="U620">
        <v>1.23</v>
      </c>
      <c r="V620">
        <v>1.254</v>
      </c>
      <c r="W620">
        <v>36</v>
      </c>
      <c r="X620">
        <v>18</v>
      </c>
      <c r="Y620">
        <v>6</v>
      </c>
    </row>
    <row r="621" spans="1:25" ht="60" customHeight="1" x14ac:dyDescent="0.25">
      <c r="A621"/>
      <c r="B621" t="s">
        <v>4</v>
      </c>
      <c r="C621" t="s">
        <v>3373</v>
      </c>
      <c r="D621" t="s">
        <v>643</v>
      </c>
      <c r="E621" t="s">
        <v>3289</v>
      </c>
      <c r="F621" t="s">
        <v>3290</v>
      </c>
      <c r="G621" t="s">
        <v>645</v>
      </c>
      <c r="H621" s="30">
        <v>162.5</v>
      </c>
      <c r="I621" s="29">
        <f>H621*(1-IFERROR(VLOOKUP(G621,Rabat!$D$10:$E$41,2,FALSE),0))</f>
        <v>162.5</v>
      </c>
      <c r="J621" t="s">
        <v>1902</v>
      </c>
      <c r="K621" t="s">
        <v>3293</v>
      </c>
      <c r="L621" t="s">
        <v>1901</v>
      </c>
      <c r="M621">
        <v>11</v>
      </c>
      <c r="N621">
        <v>198</v>
      </c>
      <c r="O621" t="s">
        <v>3434</v>
      </c>
      <c r="P621" s="31" t="str">
        <f>HYPERLINK("https://b2b.kobi.pl/pl/product/13180,uchwyt-montazowy-base-tp-sv-360mm-fi-60mm-szary-kobi?currency=PLN")</f>
        <v>https://b2b.kobi.pl/pl/product/13180,uchwyt-montazowy-base-tp-sv-360mm-fi-60mm-szary-kobi?currency=PLN</v>
      </c>
      <c r="Q621" t="s">
        <v>15</v>
      </c>
      <c r="R621"/>
      <c r="S621" t="s">
        <v>2678</v>
      </c>
      <c r="T621"/>
      <c r="U621">
        <v>1.23</v>
      </c>
      <c r="V621">
        <v>1.254</v>
      </c>
      <c r="W621">
        <v>36</v>
      </c>
      <c r="X621">
        <v>18</v>
      </c>
      <c r="Y621">
        <v>6</v>
      </c>
    </row>
    <row r="622" spans="1:25" ht="60" customHeight="1" x14ac:dyDescent="0.25">
      <c r="A622"/>
      <c r="B622" t="s">
        <v>5</v>
      </c>
      <c r="C622" t="s">
        <v>3377</v>
      </c>
      <c r="D622" t="s">
        <v>643</v>
      </c>
      <c r="E622" t="s">
        <v>974</v>
      </c>
      <c r="F622" t="s">
        <v>975</v>
      </c>
      <c r="G622" t="s">
        <v>825</v>
      </c>
      <c r="H622" s="30">
        <v>27.25</v>
      </c>
      <c r="I622" s="29">
        <f>H622*(1-IFERROR(VLOOKUP(G622,Rabat!$D$10:$E$41,2,FALSE),0))</f>
        <v>27.25</v>
      </c>
      <c r="J622" t="s">
        <v>1902</v>
      </c>
      <c r="K622" t="s">
        <v>265</v>
      </c>
      <c r="L622" t="s">
        <v>1901</v>
      </c>
      <c r="M622">
        <v>12</v>
      </c>
      <c r="N622">
        <v>320</v>
      </c>
      <c r="O622" t="s">
        <v>3434</v>
      </c>
      <c r="P622" s="31" t="str">
        <f>HYPERLINK("https://b2b.kobi.pl/pl/product/10295,lampka-biurkowa-smieszek-1xe27-biala-kobi?currency=PLN")</f>
        <v>https://b2b.kobi.pl/pl/product/10295,lampka-biurkowa-smieszek-1xe27-biala-kobi?currency=PLN</v>
      </c>
      <c r="Q622" t="s">
        <v>15</v>
      </c>
      <c r="R622"/>
      <c r="S622" t="s">
        <v>2716</v>
      </c>
      <c r="T622"/>
      <c r="U622">
        <v>0.46</v>
      </c>
      <c r="V622">
        <v>0.53</v>
      </c>
      <c r="W622">
        <v>15.5</v>
      </c>
      <c r="X622">
        <v>15.5</v>
      </c>
      <c r="Y622">
        <v>20</v>
      </c>
    </row>
    <row r="623" spans="1:25" ht="60" customHeight="1" x14ac:dyDescent="0.25">
      <c r="A623"/>
      <c r="B623" t="s">
        <v>5</v>
      </c>
      <c r="C623" t="s">
        <v>3377</v>
      </c>
      <c r="D623" t="s">
        <v>643</v>
      </c>
      <c r="E623" t="s">
        <v>978</v>
      </c>
      <c r="F623" t="s">
        <v>979</v>
      </c>
      <c r="G623" t="s">
        <v>825</v>
      </c>
      <c r="H623" s="30">
        <v>27.25</v>
      </c>
      <c r="I623" s="29">
        <f>H623*(1-IFERROR(VLOOKUP(G623,Rabat!$D$10:$E$41,2,FALSE),0))</f>
        <v>27.25</v>
      </c>
      <c r="J623" t="s">
        <v>1902</v>
      </c>
      <c r="K623" t="s">
        <v>266</v>
      </c>
      <c r="L623" t="s">
        <v>1901</v>
      </c>
      <c r="M623">
        <v>12</v>
      </c>
      <c r="N623">
        <v>320</v>
      </c>
      <c r="O623" t="s">
        <v>3434</v>
      </c>
      <c r="P623" s="31" t="str">
        <f>HYPERLINK("https://b2b.kobi.pl/pl/product/10296,lampka-biurkowa-smieszek-1xe27-czarna-kobi?currency=PLN")</f>
        <v>https://b2b.kobi.pl/pl/product/10296,lampka-biurkowa-smieszek-1xe27-czarna-kobi?currency=PLN</v>
      </c>
      <c r="Q623" t="s">
        <v>15</v>
      </c>
      <c r="R623"/>
      <c r="S623" t="s">
        <v>2716</v>
      </c>
      <c r="T623"/>
      <c r="U623">
        <v>0.46</v>
      </c>
      <c r="V623">
        <v>0.53</v>
      </c>
      <c r="W623">
        <v>15.5</v>
      </c>
      <c r="X623">
        <v>15.5</v>
      </c>
      <c r="Y623">
        <v>20</v>
      </c>
    </row>
    <row r="624" spans="1:25" ht="60" customHeight="1" x14ac:dyDescent="0.25">
      <c r="A624"/>
      <c r="B624" t="s">
        <v>5</v>
      </c>
      <c r="C624" t="s">
        <v>3377</v>
      </c>
      <c r="D624" t="s">
        <v>643</v>
      </c>
      <c r="E624" t="s">
        <v>982</v>
      </c>
      <c r="F624" t="s">
        <v>983</v>
      </c>
      <c r="G624" t="s">
        <v>825</v>
      </c>
      <c r="H624" s="30">
        <v>27.25</v>
      </c>
      <c r="I624" s="29">
        <f>H624*(1-IFERROR(VLOOKUP(G624,Rabat!$D$10:$E$41,2,FALSE),0))</f>
        <v>27.25</v>
      </c>
      <c r="J624" t="s">
        <v>1902</v>
      </c>
      <c r="K624" t="s">
        <v>267</v>
      </c>
      <c r="L624" t="s">
        <v>1901</v>
      </c>
      <c r="M624">
        <v>12</v>
      </c>
      <c r="N624">
        <v>320</v>
      </c>
      <c r="O624" t="s">
        <v>3434</v>
      </c>
      <c r="P624" s="31" t="str">
        <f>HYPERLINK("https://b2b.kobi.pl/pl/product/10297,lampka-biurkowa-smieszek-1xe27-czerwona-kobi?currency=PLN")</f>
        <v>https://b2b.kobi.pl/pl/product/10297,lampka-biurkowa-smieszek-1xe27-czerwona-kobi?currency=PLN</v>
      </c>
      <c r="Q624" t="s">
        <v>15</v>
      </c>
      <c r="R624"/>
      <c r="S624" t="s">
        <v>2716</v>
      </c>
      <c r="T624"/>
      <c r="U624">
        <v>0.46</v>
      </c>
      <c r="V624">
        <v>0.53</v>
      </c>
      <c r="W624">
        <v>15.5</v>
      </c>
      <c r="X624">
        <v>15.5</v>
      </c>
      <c r="Y624">
        <v>20</v>
      </c>
    </row>
    <row r="625" spans="1:25" ht="60" customHeight="1" x14ac:dyDescent="0.25">
      <c r="A625"/>
      <c r="B625" t="s">
        <v>5</v>
      </c>
      <c r="C625" t="s">
        <v>3377</v>
      </c>
      <c r="D625" t="s">
        <v>643</v>
      </c>
      <c r="E625" t="s">
        <v>986</v>
      </c>
      <c r="F625" t="s">
        <v>987</v>
      </c>
      <c r="G625" t="s">
        <v>825</v>
      </c>
      <c r="H625" s="30">
        <v>27.25</v>
      </c>
      <c r="I625" s="29">
        <f>H625*(1-IFERROR(VLOOKUP(G625,Rabat!$D$10:$E$41,2,FALSE),0))</f>
        <v>27.25</v>
      </c>
      <c r="J625" t="s">
        <v>1902</v>
      </c>
      <c r="K625" t="s">
        <v>268</v>
      </c>
      <c r="L625" t="s">
        <v>1901</v>
      </c>
      <c r="M625">
        <v>12</v>
      </c>
      <c r="N625">
        <v>320</v>
      </c>
      <c r="O625" t="s">
        <v>3434</v>
      </c>
      <c r="P625" s="31" t="str">
        <f>HYPERLINK("https://b2b.kobi.pl/pl/product/10298,lampka-biurkowa-smieszek-1xe27-niebieska-kobi?currency=PLN")</f>
        <v>https://b2b.kobi.pl/pl/product/10298,lampka-biurkowa-smieszek-1xe27-niebieska-kobi?currency=PLN</v>
      </c>
      <c r="Q625" t="s">
        <v>15</v>
      </c>
      <c r="R625"/>
      <c r="S625" t="s">
        <v>2716</v>
      </c>
      <c r="T625"/>
      <c r="U625">
        <v>0.46</v>
      </c>
      <c r="V625">
        <v>0.53</v>
      </c>
      <c r="W625">
        <v>15.5</v>
      </c>
      <c r="X625">
        <v>15.5</v>
      </c>
      <c r="Y625">
        <v>20</v>
      </c>
    </row>
    <row r="626" spans="1:25" ht="60" customHeight="1" x14ac:dyDescent="0.25">
      <c r="A626"/>
      <c r="B626" t="s">
        <v>5</v>
      </c>
      <c r="C626" t="s">
        <v>3377</v>
      </c>
      <c r="D626" t="s">
        <v>643</v>
      </c>
      <c r="E626" t="s">
        <v>988</v>
      </c>
      <c r="F626" t="s">
        <v>989</v>
      </c>
      <c r="G626" t="s">
        <v>825</v>
      </c>
      <c r="H626" s="30">
        <v>27.25</v>
      </c>
      <c r="I626" s="29">
        <f>H626*(1-IFERROR(VLOOKUP(G626,Rabat!$D$10:$E$41,2,FALSE),0))</f>
        <v>27.25</v>
      </c>
      <c r="J626" t="s">
        <v>1902</v>
      </c>
      <c r="K626" t="s">
        <v>269</v>
      </c>
      <c r="L626" t="s">
        <v>1901</v>
      </c>
      <c r="M626">
        <v>12</v>
      </c>
      <c r="N626">
        <v>320</v>
      </c>
      <c r="O626" t="s">
        <v>3434</v>
      </c>
      <c r="P626" s="31" t="str">
        <f>HYPERLINK("https://b2b.kobi.pl/pl/product/10299,lampka-biurkowa-smieszek-1xe27-rozowa-kobi?currency=PLN")</f>
        <v>https://b2b.kobi.pl/pl/product/10299,lampka-biurkowa-smieszek-1xe27-rozowa-kobi?currency=PLN</v>
      </c>
      <c r="Q626" t="s">
        <v>15</v>
      </c>
      <c r="R626"/>
      <c r="S626" t="s">
        <v>2716</v>
      </c>
      <c r="T626"/>
      <c r="U626">
        <v>0.46</v>
      </c>
      <c r="V626">
        <v>0.53</v>
      </c>
      <c r="W626">
        <v>15.5</v>
      </c>
      <c r="X626">
        <v>15.5</v>
      </c>
      <c r="Y626">
        <v>20</v>
      </c>
    </row>
    <row r="627" spans="1:25" ht="60" customHeight="1" x14ac:dyDescent="0.25">
      <c r="A627"/>
      <c r="B627" t="s">
        <v>5</v>
      </c>
      <c r="C627" t="s">
        <v>3377</v>
      </c>
      <c r="D627" t="s">
        <v>643</v>
      </c>
      <c r="E627" t="s">
        <v>990</v>
      </c>
      <c r="F627" t="s">
        <v>991</v>
      </c>
      <c r="G627" t="s">
        <v>825</v>
      </c>
      <c r="H627" s="30">
        <v>27.25</v>
      </c>
      <c r="I627" s="29">
        <f>H627*(1-IFERROR(VLOOKUP(G627,Rabat!$D$10:$E$41,2,FALSE),0))</f>
        <v>27.25</v>
      </c>
      <c r="J627" t="s">
        <v>1902</v>
      </c>
      <c r="K627" t="s">
        <v>270</v>
      </c>
      <c r="L627" t="s">
        <v>1901</v>
      </c>
      <c r="M627">
        <v>12</v>
      </c>
      <c r="N627">
        <v>320</v>
      </c>
      <c r="O627" t="s">
        <v>3434</v>
      </c>
      <c r="P627" s="31" t="str">
        <f>HYPERLINK("https://b2b.kobi.pl/pl/product/10300,lampka-biurkowa-smieszek-1xe27-zielona-kobi?currency=PLN")</f>
        <v>https://b2b.kobi.pl/pl/product/10300,lampka-biurkowa-smieszek-1xe27-zielona-kobi?currency=PLN</v>
      </c>
      <c r="Q627" t="s">
        <v>15</v>
      </c>
      <c r="R627"/>
      <c r="S627" t="s">
        <v>2716</v>
      </c>
      <c r="T627"/>
      <c r="U627">
        <v>0.46</v>
      </c>
      <c r="V627">
        <v>0.53</v>
      </c>
      <c r="W627">
        <v>15.5</v>
      </c>
      <c r="X627">
        <v>15.5</v>
      </c>
      <c r="Y627">
        <v>20</v>
      </c>
    </row>
    <row r="628" spans="1:25" ht="60" customHeight="1" x14ac:dyDescent="0.25">
      <c r="A628"/>
      <c r="B628" t="s">
        <v>5</v>
      </c>
      <c r="C628" t="s">
        <v>3377</v>
      </c>
      <c r="D628" t="s">
        <v>643</v>
      </c>
      <c r="E628" t="s">
        <v>992</v>
      </c>
      <c r="F628" t="s">
        <v>993</v>
      </c>
      <c r="G628" t="s">
        <v>825</v>
      </c>
      <c r="H628" s="30">
        <v>27.25</v>
      </c>
      <c r="I628" s="29">
        <f>H628*(1-IFERROR(VLOOKUP(G628,Rabat!$D$10:$E$41,2,FALSE),0))</f>
        <v>27.25</v>
      </c>
      <c r="J628" t="s">
        <v>1902</v>
      </c>
      <c r="K628" t="s">
        <v>271</v>
      </c>
      <c r="L628" t="s">
        <v>1901</v>
      </c>
      <c r="M628">
        <v>12</v>
      </c>
      <c r="N628">
        <v>320</v>
      </c>
      <c r="O628" t="s">
        <v>3434</v>
      </c>
      <c r="P628" s="31" t="str">
        <f>HYPERLINK("https://b2b.kobi.pl/pl/product/10301,lampka-biurkowa-smieszek-1xe27-zolta-kobi?currency=PLN")</f>
        <v>https://b2b.kobi.pl/pl/product/10301,lampka-biurkowa-smieszek-1xe27-zolta-kobi?currency=PLN</v>
      </c>
      <c r="Q628" t="s">
        <v>15</v>
      </c>
      <c r="R628"/>
      <c r="S628" t="s">
        <v>2716</v>
      </c>
      <c r="T628"/>
      <c r="U628">
        <v>0.46</v>
      </c>
      <c r="V628">
        <v>0.53</v>
      </c>
      <c r="W628">
        <v>15.5</v>
      </c>
      <c r="X628">
        <v>15.5</v>
      </c>
      <c r="Y628">
        <v>20</v>
      </c>
    </row>
    <row r="629" spans="1:25" ht="60" customHeight="1" x14ac:dyDescent="0.25">
      <c r="A629"/>
      <c r="B629" t="s">
        <v>5</v>
      </c>
      <c r="C629" t="s">
        <v>3377</v>
      </c>
      <c r="D629" t="s">
        <v>631</v>
      </c>
      <c r="E629" t="s">
        <v>938</v>
      </c>
      <c r="F629" t="s">
        <v>939</v>
      </c>
      <c r="G629" t="s">
        <v>825</v>
      </c>
      <c r="H629" s="30">
        <v>174.75</v>
      </c>
      <c r="I629" s="29">
        <f>H629*(1-IFERROR(VLOOKUP(G629,Rabat!$D$10:$E$41,2,FALSE),0))</f>
        <v>174.75</v>
      </c>
      <c r="J629" t="s">
        <v>1902</v>
      </c>
      <c r="K629" t="s">
        <v>272</v>
      </c>
      <c r="L629" t="s">
        <v>1901</v>
      </c>
      <c r="M629">
        <v>12</v>
      </c>
      <c r="N629"/>
      <c r="O629" t="s">
        <v>3434</v>
      </c>
      <c r="P629" s="31" t="str">
        <f>HYPERLINK("https://b2b.kobi.pl/pl/product/10302,lampka-biurkowa-led-lizbona-3-5w-ip54-biala-kobi-premium?currency=PLN")</f>
        <v>https://b2b.kobi.pl/pl/product/10302,lampka-biurkowa-led-lizbona-3-5w-ip54-biala-kobi-premium?currency=PLN</v>
      </c>
      <c r="Q629" t="s">
        <v>15</v>
      </c>
      <c r="R629" t="s">
        <v>2035</v>
      </c>
      <c r="S629" t="s">
        <v>2717</v>
      </c>
      <c r="T629"/>
      <c r="U629">
        <v>0.79</v>
      </c>
      <c r="V629">
        <v>0.86899999999999999</v>
      </c>
      <c r="W629">
        <v>0</v>
      </c>
      <c r="X629">
        <v>0</v>
      </c>
      <c r="Y629">
        <v>0</v>
      </c>
    </row>
    <row r="630" spans="1:25" ht="60" customHeight="1" x14ac:dyDescent="0.25">
      <c r="A630"/>
      <c r="B630" t="s">
        <v>5</v>
      </c>
      <c r="C630" t="s">
        <v>3377</v>
      </c>
      <c r="D630" t="s">
        <v>631</v>
      </c>
      <c r="E630" t="s">
        <v>940</v>
      </c>
      <c r="F630" t="s">
        <v>941</v>
      </c>
      <c r="G630" t="s">
        <v>825</v>
      </c>
      <c r="H630" s="30">
        <v>174.75</v>
      </c>
      <c r="I630" s="29">
        <f>H630*(1-IFERROR(VLOOKUP(G630,Rabat!$D$10:$E$41,2,FALSE),0))</f>
        <v>174.75</v>
      </c>
      <c r="J630" t="s">
        <v>1902</v>
      </c>
      <c r="K630" t="s">
        <v>273</v>
      </c>
      <c r="L630" t="s">
        <v>1901</v>
      </c>
      <c r="M630">
        <v>12</v>
      </c>
      <c r="N630"/>
      <c r="O630" t="s">
        <v>3434</v>
      </c>
      <c r="P630" s="31" t="str">
        <f>HYPERLINK("https://b2b.kobi.pl/pl/product/10303,lampka-biurkowa-led-lizbona-3-5w-ip54-czarna-kobi-premium?currency=PLN")</f>
        <v>https://b2b.kobi.pl/pl/product/10303,lampka-biurkowa-led-lizbona-3-5w-ip54-czarna-kobi-premium?currency=PLN</v>
      </c>
      <c r="Q630" t="s">
        <v>15</v>
      </c>
      <c r="R630" t="s">
        <v>2035</v>
      </c>
      <c r="S630" t="s">
        <v>2717</v>
      </c>
      <c r="T630"/>
      <c r="U630">
        <v>0.79</v>
      </c>
      <c r="V630">
        <v>0.86899999999999999</v>
      </c>
      <c r="W630">
        <v>0</v>
      </c>
      <c r="X630">
        <v>0</v>
      </c>
      <c r="Y630">
        <v>0</v>
      </c>
    </row>
    <row r="631" spans="1:25" ht="60" customHeight="1" x14ac:dyDescent="0.25">
      <c r="A631"/>
      <c r="B631" t="s">
        <v>5</v>
      </c>
      <c r="C631" t="s">
        <v>3377</v>
      </c>
      <c r="D631" t="s">
        <v>17</v>
      </c>
      <c r="E631" t="s">
        <v>934</v>
      </c>
      <c r="F631" t="s">
        <v>935</v>
      </c>
      <c r="G631" t="s">
        <v>825</v>
      </c>
      <c r="H631" s="30">
        <v>55</v>
      </c>
      <c r="I631" s="29">
        <f>H631*(1-IFERROR(VLOOKUP(G631,Rabat!$D$10:$E$41,2,FALSE),0))</f>
        <v>55</v>
      </c>
      <c r="J631" t="s">
        <v>1902</v>
      </c>
      <c r="K631" t="s">
        <v>472</v>
      </c>
      <c r="L631" t="s">
        <v>1901</v>
      </c>
      <c r="M631">
        <v>12</v>
      </c>
      <c r="N631">
        <v>180</v>
      </c>
      <c r="O631" t="s">
        <v>3434</v>
      </c>
      <c r="P631" s="31" t="str">
        <f>HYPERLINK("https://b2b.kobi.pl/pl/product/10304,lampka-biurkowa-auriq-1xe27-biala-led2b?currency=PLN")</f>
        <v>https://b2b.kobi.pl/pl/product/10304,lampka-biurkowa-auriq-1xe27-biala-led2b?currency=PLN</v>
      </c>
      <c r="Q631" t="s">
        <v>15</v>
      </c>
      <c r="R631"/>
      <c r="S631" t="s">
        <v>2716</v>
      </c>
      <c r="T631"/>
      <c r="U631">
        <v>1.26</v>
      </c>
      <c r="V631">
        <v>1.5</v>
      </c>
      <c r="W631">
        <v>29</v>
      </c>
      <c r="X631">
        <v>9</v>
      </c>
      <c r="Y631">
        <v>54</v>
      </c>
    </row>
    <row r="632" spans="1:25" ht="60" customHeight="1" x14ac:dyDescent="0.25">
      <c r="A632"/>
      <c r="B632" t="s">
        <v>5</v>
      </c>
      <c r="C632" t="s">
        <v>3377</v>
      </c>
      <c r="D632" t="s">
        <v>17</v>
      </c>
      <c r="E632" t="s">
        <v>936</v>
      </c>
      <c r="F632" t="s">
        <v>937</v>
      </c>
      <c r="G632" t="s">
        <v>825</v>
      </c>
      <c r="H632" s="30">
        <v>55</v>
      </c>
      <c r="I632" s="29">
        <f>H632*(1-IFERROR(VLOOKUP(G632,Rabat!$D$10:$E$41,2,FALSE),0))</f>
        <v>55</v>
      </c>
      <c r="J632" t="s">
        <v>1902</v>
      </c>
      <c r="K632" t="s">
        <v>471</v>
      </c>
      <c r="L632" t="s">
        <v>1901</v>
      </c>
      <c r="M632">
        <v>12</v>
      </c>
      <c r="N632">
        <v>180</v>
      </c>
      <c r="O632" t="s">
        <v>3434</v>
      </c>
      <c r="P632" s="31" t="str">
        <f>HYPERLINK("https://b2b.kobi.pl/pl/product/10305,lampka-biurkowa-auriq-1xe27-czarna-led2b?currency=PLN")</f>
        <v>https://b2b.kobi.pl/pl/product/10305,lampka-biurkowa-auriq-1xe27-czarna-led2b?currency=PLN</v>
      </c>
      <c r="Q632" t="s">
        <v>15</v>
      </c>
      <c r="R632"/>
      <c r="S632" t="s">
        <v>2716</v>
      </c>
      <c r="T632"/>
      <c r="U632">
        <v>1.26</v>
      </c>
      <c r="V632">
        <v>1.5</v>
      </c>
      <c r="W632">
        <v>29</v>
      </c>
      <c r="X632">
        <v>9</v>
      </c>
      <c r="Y632">
        <v>54</v>
      </c>
    </row>
    <row r="633" spans="1:25" ht="60" customHeight="1" x14ac:dyDescent="0.25">
      <c r="A633"/>
      <c r="B633" t="s">
        <v>5</v>
      </c>
      <c r="C633" t="s">
        <v>3377</v>
      </c>
      <c r="D633" t="s">
        <v>17</v>
      </c>
      <c r="E633" t="s">
        <v>2202</v>
      </c>
      <c r="F633" t="s">
        <v>2140</v>
      </c>
      <c r="G633" t="s">
        <v>825</v>
      </c>
      <c r="H633" s="30">
        <v>79.58</v>
      </c>
      <c r="I633" s="29">
        <f>H633*(1-IFERROR(VLOOKUP(G633,Rabat!$D$10:$E$41,2,FALSE),0))</f>
        <v>79.58</v>
      </c>
      <c r="J633" t="s">
        <v>1902</v>
      </c>
      <c r="K633" t="s">
        <v>2166</v>
      </c>
      <c r="L633" t="s">
        <v>1901</v>
      </c>
      <c r="M633">
        <v>12</v>
      </c>
      <c r="N633">
        <v>216</v>
      </c>
      <c r="O633" t="s">
        <v>3434</v>
      </c>
      <c r="P633" s="31" t="str">
        <f>HYPERLINK("https://b2b.kobi.pl/pl/product/12465,lampka-biurkowa-led-auriq-loupe-10w-3cct-czarna-led2b?currency=PLN")</f>
        <v>https://b2b.kobi.pl/pl/product/12465,lampka-biurkowa-led-auriq-loupe-10w-3cct-czarna-led2b?currency=PLN</v>
      </c>
      <c r="Q633" s="31" t="str">
        <f>HYPERLINK("https://eprel.ec.europa.eu/qr/2276145")</f>
        <v>https://eprel.ec.europa.eu/qr/2276145</v>
      </c>
      <c r="R633"/>
      <c r="S633" t="s">
        <v>2717</v>
      </c>
      <c r="T633"/>
      <c r="U633">
        <v>1.36</v>
      </c>
      <c r="V633">
        <v>1.52</v>
      </c>
      <c r="W633">
        <v>29</v>
      </c>
      <c r="X633">
        <v>24</v>
      </c>
      <c r="Y633">
        <v>7.5</v>
      </c>
    </row>
    <row r="634" spans="1:25" ht="60" customHeight="1" x14ac:dyDescent="0.25">
      <c r="A634"/>
      <c r="B634" t="s">
        <v>5</v>
      </c>
      <c r="C634" t="s">
        <v>3377</v>
      </c>
      <c r="D634" t="s">
        <v>17</v>
      </c>
      <c r="E634" t="s">
        <v>823</v>
      </c>
      <c r="F634" t="s">
        <v>824</v>
      </c>
      <c r="G634" t="s">
        <v>825</v>
      </c>
      <c r="H634" s="30">
        <v>108.89</v>
      </c>
      <c r="I634" s="29">
        <f>H634*(1-IFERROR(VLOOKUP(G634,Rabat!$D$10:$E$41,2,FALSE),0))</f>
        <v>108.89</v>
      </c>
      <c r="J634" t="s">
        <v>1902</v>
      </c>
      <c r="K634" t="s">
        <v>473</v>
      </c>
      <c r="L634" t="s">
        <v>1901</v>
      </c>
      <c r="M634">
        <v>5</v>
      </c>
      <c r="N634">
        <v>70</v>
      </c>
      <c r="O634" t="s">
        <v>3434</v>
      </c>
      <c r="P634" s="31" t="str">
        <f>HYPERLINK("https://b2b.kobi.pl/pl/product/10306,lampa-podlogowa-auriq-st-1xe27-czarna-led2b?currency=PLN")</f>
        <v>https://b2b.kobi.pl/pl/product/10306,lampa-podlogowa-auriq-st-1xe27-czarna-led2b?currency=PLN</v>
      </c>
      <c r="Q634" t="s">
        <v>15</v>
      </c>
      <c r="R634"/>
      <c r="S634" t="s">
        <v>2716</v>
      </c>
      <c r="T634"/>
      <c r="U634">
        <v>4.74</v>
      </c>
      <c r="V634">
        <v>5.08</v>
      </c>
      <c r="W634">
        <v>29.5</v>
      </c>
      <c r="X634">
        <v>10.5</v>
      </c>
      <c r="Y634">
        <v>43</v>
      </c>
    </row>
    <row r="635" spans="1:25" ht="60" customHeight="1" x14ac:dyDescent="0.25">
      <c r="A635"/>
      <c r="B635" t="s">
        <v>5</v>
      </c>
      <c r="C635" t="s">
        <v>3377</v>
      </c>
      <c r="D635" t="s">
        <v>17</v>
      </c>
      <c r="E635" t="s">
        <v>3291</v>
      </c>
      <c r="F635" t="s">
        <v>942</v>
      </c>
      <c r="G635" t="s">
        <v>825</v>
      </c>
      <c r="H635" s="30">
        <v>188.89</v>
      </c>
      <c r="I635" s="29">
        <f>H635*(1-IFERROR(VLOOKUP(G635,Rabat!$D$10:$E$41,2,FALSE),0))</f>
        <v>188.89</v>
      </c>
      <c r="J635" t="s">
        <v>1902</v>
      </c>
      <c r="K635" t="s">
        <v>474</v>
      </c>
      <c r="L635" t="s">
        <v>1901</v>
      </c>
      <c r="M635">
        <v>18</v>
      </c>
      <c r="N635">
        <v>480</v>
      </c>
      <c r="O635" t="s">
        <v>3434</v>
      </c>
      <c r="P635" s="31" t="str">
        <f>HYPERLINK("https://b2b.kobi.pl/pl/product/10307,lampka-biurkowa-led-noblite-7w-cct-biala-led2b?currency=PLN")</f>
        <v>https://b2b.kobi.pl/pl/product/10307,lampka-biurkowa-led-noblite-7w-cct-biala-led2b?currency=PLN</v>
      </c>
      <c r="Q635" s="31" t="str">
        <f>HYPERLINK("https://eprel.ec.europa.eu/qr/2076933")</f>
        <v>https://eprel.ec.europa.eu/qr/2076933</v>
      </c>
      <c r="R635" t="s">
        <v>2035</v>
      </c>
      <c r="S635" t="s">
        <v>2717</v>
      </c>
      <c r="T635"/>
      <c r="U635">
        <v>0.52</v>
      </c>
      <c r="V635">
        <v>0.7</v>
      </c>
      <c r="W635">
        <v>13.8</v>
      </c>
      <c r="X635">
        <v>6</v>
      </c>
      <c r="Y635">
        <v>36.799999999999997</v>
      </c>
    </row>
    <row r="636" spans="1:25" ht="60" customHeight="1" x14ac:dyDescent="0.25">
      <c r="A636"/>
      <c r="B636" t="s">
        <v>5</v>
      </c>
      <c r="C636" t="s">
        <v>3377</v>
      </c>
      <c r="D636" t="s">
        <v>17</v>
      </c>
      <c r="E636" t="s">
        <v>2145</v>
      </c>
      <c r="F636" t="s">
        <v>2146</v>
      </c>
      <c r="G636" t="s">
        <v>825</v>
      </c>
      <c r="H636" s="30">
        <v>55.21</v>
      </c>
      <c r="I636" s="29">
        <f>H636*(1-IFERROR(VLOOKUP(G636,Rabat!$D$10:$E$41,2,FALSE),0))</f>
        <v>55.21</v>
      </c>
      <c r="J636" t="s">
        <v>1902</v>
      </c>
      <c r="K636" t="s">
        <v>2171</v>
      </c>
      <c r="L636" t="s">
        <v>1901</v>
      </c>
      <c r="M636">
        <v>32</v>
      </c>
      <c r="N636">
        <v>640</v>
      </c>
      <c r="O636" t="s">
        <v>3434</v>
      </c>
      <c r="P636" s="31" t="str">
        <f>HYPERLINK("https://b2b.kobi.pl/pl/product/12471,lampka-biurkowa-led-lusia-5w-biala-led2b?currency=PLN")</f>
        <v>https://b2b.kobi.pl/pl/product/12471,lampka-biurkowa-led-lusia-5w-biala-led2b?currency=PLN</v>
      </c>
      <c r="Q636" s="31" t="str">
        <f>HYPERLINK("https://eprel.ec.europa.eu/qr/2276153")</f>
        <v>https://eprel.ec.europa.eu/qr/2276153</v>
      </c>
      <c r="R636"/>
      <c r="S636" t="s">
        <v>2717</v>
      </c>
      <c r="T636"/>
      <c r="U636">
        <v>0.3</v>
      </c>
      <c r="V636">
        <v>0.45</v>
      </c>
      <c r="W636">
        <v>10.199999999999999</v>
      </c>
      <c r="X636">
        <v>10.199999999999999</v>
      </c>
      <c r="Y636">
        <v>19</v>
      </c>
    </row>
    <row r="637" spans="1:25" ht="60" customHeight="1" x14ac:dyDescent="0.25">
      <c r="A637"/>
      <c r="B637" t="s">
        <v>5</v>
      </c>
      <c r="C637" t="s">
        <v>3377</v>
      </c>
      <c r="D637" t="s">
        <v>17</v>
      </c>
      <c r="E637" t="s">
        <v>2147</v>
      </c>
      <c r="F637" t="s">
        <v>2148</v>
      </c>
      <c r="G637" t="s">
        <v>825</v>
      </c>
      <c r="H637" s="30">
        <v>55.21</v>
      </c>
      <c r="I637" s="29">
        <f>H637*(1-IFERROR(VLOOKUP(G637,Rabat!$D$10:$E$41,2,FALSE),0))</f>
        <v>55.21</v>
      </c>
      <c r="J637" t="s">
        <v>1902</v>
      </c>
      <c r="K637" t="s">
        <v>2172</v>
      </c>
      <c r="L637" t="s">
        <v>1901</v>
      </c>
      <c r="M637">
        <v>32</v>
      </c>
      <c r="N637">
        <v>640</v>
      </c>
      <c r="O637" t="s">
        <v>3434</v>
      </c>
      <c r="P637" s="31" t="str">
        <f>HYPERLINK("https://b2b.kobi.pl/pl/product/12472,lampka-biurkowa-led-lusia-5w-czarna-led2b?currency=PLN")</f>
        <v>https://b2b.kobi.pl/pl/product/12472,lampka-biurkowa-led-lusia-5w-czarna-led2b?currency=PLN</v>
      </c>
      <c r="Q637" s="31" t="str">
        <f>HYPERLINK("https://eprel.ec.europa.eu/qr/2276153")</f>
        <v>https://eprel.ec.europa.eu/qr/2276153</v>
      </c>
      <c r="R637"/>
      <c r="S637" t="s">
        <v>2717</v>
      </c>
      <c r="T637"/>
      <c r="U637">
        <v>0.3</v>
      </c>
      <c r="V637">
        <v>0.45</v>
      </c>
      <c r="W637">
        <v>10.199999999999999</v>
      </c>
      <c r="X637">
        <v>10.199999999999999</v>
      </c>
      <c r="Y637">
        <v>19</v>
      </c>
    </row>
    <row r="638" spans="1:25" ht="60" customHeight="1" x14ac:dyDescent="0.25">
      <c r="A638"/>
      <c r="B638" t="s">
        <v>5</v>
      </c>
      <c r="C638" t="s">
        <v>3377</v>
      </c>
      <c r="D638" t="s">
        <v>17</v>
      </c>
      <c r="E638" t="s">
        <v>2203</v>
      </c>
      <c r="F638" t="s">
        <v>2142</v>
      </c>
      <c r="G638" t="s">
        <v>825</v>
      </c>
      <c r="H638" s="30">
        <v>66.25</v>
      </c>
      <c r="I638" s="29">
        <f>H638*(1-IFERROR(VLOOKUP(G638,Rabat!$D$10:$E$41,2,FALSE),0))</f>
        <v>66.25</v>
      </c>
      <c r="J638" t="s">
        <v>1902</v>
      </c>
      <c r="K638" t="s">
        <v>2168</v>
      </c>
      <c r="L638" t="s">
        <v>1901</v>
      </c>
      <c r="M638">
        <v>20</v>
      </c>
      <c r="N638">
        <v>480</v>
      </c>
      <c r="O638" t="s">
        <v>3434</v>
      </c>
      <c r="P638" s="31" t="str">
        <f>HYPERLINK("https://b2b.kobi.pl/pl/product/12467,lampka-biurkowa-led-noblite-rgb-7w-3cct-biala-led2b?currency=PLN")</f>
        <v>https://b2b.kobi.pl/pl/product/12467,lampka-biurkowa-led-noblite-rgb-7w-3cct-biala-led2b?currency=PLN</v>
      </c>
      <c r="Q638" s="31" t="str">
        <f>HYPERLINK("https://eprel.ec.europa.eu/qr/2255650")</f>
        <v>https://eprel.ec.europa.eu/qr/2255650</v>
      </c>
      <c r="R638"/>
      <c r="S638" t="s">
        <v>2717</v>
      </c>
      <c r="T638"/>
      <c r="U638">
        <v>0.38</v>
      </c>
      <c r="V638">
        <v>0.51</v>
      </c>
      <c r="W638">
        <v>11.6</v>
      </c>
      <c r="X638">
        <v>5.5</v>
      </c>
      <c r="Y638">
        <v>35.799999999999997</v>
      </c>
    </row>
    <row r="639" spans="1:25" ht="60" customHeight="1" x14ac:dyDescent="0.25">
      <c r="A639"/>
      <c r="B639" t="s">
        <v>5</v>
      </c>
      <c r="C639" t="s">
        <v>3377</v>
      </c>
      <c r="D639" t="s">
        <v>17</v>
      </c>
      <c r="E639" t="s">
        <v>2204</v>
      </c>
      <c r="F639" t="s">
        <v>2141</v>
      </c>
      <c r="G639" t="s">
        <v>825</v>
      </c>
      <c r="H639" s="30">
        <v>66.25</v>
      </c>
      <c r="I639" s="29">
        <f>H639*(1-IFERROR(VLOOKUP(G639,Rabat!$D$10:$E$41,2,FALSE),0))</f>
        <v>66.25</v>
      </c>
      <c r="J639" t="s">
        <v>1902</v>
      </c>
      <c r="K639" t="s">
        <v>2167</v>
      </c>
      <c r="L639" t="s">
        <v>1901</v>
      </c>
      <c r="M639">
        <v>20</v>
      </c>
      <c r="N639">
        <v>480</v>
      </c>
      <c r="O639" t="s">
        <v>3434</v>
      </c>
      <c r="P639" s="31" t="str">
        <f>HYPERLINK("https://b2b.kobi.pl/pl/product/12466,lampka-biurkowa-led-noblite-rgb-7w-3cct-czarna-led2b?currency=PLN")</f>
        <v>https://b2b.kobi.pl/pl/product/12466,lampka-biurkowa-led-noblite-rgb-7w-3cct-czarna-led2b?currency=PLN</v>
      </c>
      <c r="Q639" t="s">
        <v>15</v>
      </c>
      <c r="R639"/>
      <c r="S639" t="s">
        <v>2717</v>
      </c>
      <c r="T639"/>
      <c r="U639">
        <v>0.38</v>
      </c>
      <c r="V639">
        <v>0.51</v>
      </c>
      <c r="W639">
        <v>11.6</v>
      </c>
      <c r="X639">
        <v>5.5</v>
      </c>
      <c r="Y639">
        <v>35.799999999999997</v>
      </c>
    </row>
    <row r="640" spans="1:25" ht="60" customHeight="1" x14ac:dyDescent="0.25">
      <c r="A640"/>
      <c r="B640" t="s">
        <v>5</v>
      </c>
      <c r="C640" t="s">
        <v>3377</v>
      </c>
      <c r="D640" t="s">
        <v>17</v>
      </c>
      <c r="E640" t="s">
        <v>2205</v>
      </c>
      <c r="F640" t="s">
        <v>2144</v>
      </c>
      <c r="G640" t="s">
        <v>825</v>
      </c>
      <c r="H640" s="30">
        <v>43.75</v>
      </c>
      <c r="I640" s="29">
        <f>H640*(1-IFERROR(VLOOKUP(G640,Rabat!$D$10:$E$41,2,FALSE),0))</f>
        <v>43.75</v>
      </c>
      <c r="J640" t="s">
        <v>1902</v>
      </c>
      <c r="K640" t="s">
        <v>2170</v>
      </c>
      <c r="L640" t="s">
        <v>1901</v>
      </c>
      <c r="M640">
        <v>20</v>
      </c>
      <c r="N640">
        <v>480</v>
      </c>
      <c r="O640" t="s">
        <v>3434</v>
      </c>
      <c r="P640" s="31" t="str">
        <f>HYPERLINK("https://b2b.kobi.pl/pl/product/12470,lampka-biurkowa-led-noblite-n-7w-3cct-biala-led2b?currency=PLN")</f>
        <v>https://b2b.kobi.pl/pl/product/12470,lampka-biurkowa-led-noblite-n-7w-3cct-biala-led2b?currency=PLN</v>
      </c>
      <c r="Q640" s="31" t="str">
        <f>HYPERLINK("https://eprel.ec.europa.eu/qr/2255648")</f>
        <v>https://eprel.ec.europa.eu/qr/2255648</v>
      </c>
      <c r="R640"/>
      <c r="S640" t="s">
        <v>2717</v>
      </c>
      <c r="T640"/>
      <c r="U640">
        <v>0.3</v>
      </c>
      <c r="V640">
        <v>0.45</v>
      </c>
      <c r="W640">
        <v>34</v>
      </c>
      <c r="X640">
        <v>12</v>
      </c>
      <c r="Y640">
        <v>6</v>
      </c>
    </row>
    <row r="641" spans="1:25" ht="60" customHeight="1" x14ac:dyDescent="0.25">
      <c r="A641"/>
      <c r="B641" t="s">
        <v>5</v>
      </c>
      <c r="C641" t="s">
        <v>3377</v>
      </c>
      <c r="D641" t="s">
        <v>17</v>
      </c>
      <c r="E641" t="s">
        <v>2206</v>
      </c>
      <c r="F641" t="s">
        <v>2143</v>
      </c>
      <c r="G641" t="s">
        <v>825</v>
      </c>
      <c r="H641" s="30">
        <v>43.75</v>
      </c>
      <c r="I641" s="29">
        <f>H641*(1-IFERROR(VLOOKUP(G641,Rabat!$D$10:$E$41,2,FALSE),0))</f>
        <v>43.75</v>
      </c>
      <c r="J641" t="s">
        <v>1902</v>
      </c>
      <c r="K641" t="s">
        <v>2169</v>
      </c>
      <c r="L641" t="s">
        <v>1901</v>
      </c>
      <c r="M641">
        <v>20</v>
      </c>
      <c r="N641">
        <v>480</v>
      </c>
      <c r="O641" t="s">
        <v>3434</v>
      </c>
      <c r="P641" s="31" t="str">
        <f>HYPERLINK("https://b2b.kobi.pl/pl/product/12469,lampka-biurkowa-led-noblite-n-7w-3cct-czarna-led2b?currency=PLN")</f>
        <v>https://b2b.kobi.pl/pl/product/12469,lampka-biurkowa-led-noblite-n-7w-3cct-czarna-led2b?currency=PLN</v>
      </c>
      <c r="Q641" s="31" t="str">
        <f>HYPERLINK("https://eprel.ec.europa.eu/qr/2255648")</f>
        <v>https://eprel.ec.europa.eu/qr/2255648</v>
      </c>
      <c r="R641"/>
      <c r="S641" t="s">
        <v>2717</v>
      </c>
      <c r="T641"/>
      <c r="U641">
        <v>0.3</v>
      </c>
      <c r="V641">
        <v>0.45</v>
      </c>
      <c r="W641">
        <v>34</v>
      </c>
      <c r="X641">
        <v>12</v>
      </c>
      <c r="Y641">
        <v>6</v>
      </c>
    </row>
    <row r="642" spans="1:25" ht="60" customHeight="1" x14ac:dyDescent="0.25">
      <c r="A642"/>
      <c r="B642" t="s">
        <v>5</v>
      </c>
      <c r="C642" t="s">
        <v>3377</v>
      </c>
      <c r="D642" t="s">
        <v>17</v>
      </c>
      <c r="E642" t="s">
        <v>3378</v>
      </c>
      <c r="F642" t="s">
        <v>2149</v>
      </c>
      <c r="G642" t="s">
        <v>825</v>
      </c>
      <c r="H642" s="30">
        <v>149.75</v>
      </c>
      <c r="I642" s="29">
        <f>H642*(1-IFERROR(VLOOKUP(G642,Rabat!$D$10:$E$41,2,FALSE),0))</f>
        <v>149.75</v>
      </c>
      <c r="J642" t="s">
        <v>1902</v>
      </c>
      <c r="K642" t="s">
        <v>2173</v>
      </c>
      <c r="L642" t="s">
        <v>1901</v>
      </c>
      <c r="M642">
        <v>8</v>
      </c>
      <c r="N642">
        <v>128</v>
      </c>
      <c r="O642" t="s">
        <v>3434</v>
      </c>
      <c r="P642" s="31" t="str">
        <f>HYPERLINK("https://b2b.kobi.pl/pl/product/12473,lampa-podlogowa-led-teilo-10w-3cct-led2b?currency=PLN")</f>
        <v>https://b2b.kobi.pl/pl/product/12473,lampa-podlogowa-led-teilo-10w-3cct-led2b?currency=PLN</v>
      </c>
      <c r="Q642" t="s">
        <v>15</v>
      </c>
      <c r="R642"/>
      <c r="S642" t="s">
        <v>2706</v>
      </c>
      <c r="T642"/>
      <c r="U642">
        <v>1.7</v>
      </c>
      <c r="V642">
        <v>2.2000000000000002</v>
      </c>
      <c r="W642">
        <v>42</v>
      </c>
      <c r="X642">
        <v>27</v>
      </c>
      <c r="Y642">
        <v>8</v>
      </c>
    </row>
    <row r="643" spans="1:25" ht="60" customHeight="1" x14ac:dyDescent="0.25">
      <c r="A643"/>
      <c r="B643" t="s">
        <v>5</v>
      </c>
      <c r="C643" t="s">
        <v>3377</v>
      </c>
      <c r="D643" t="s">
        <v>17</v>
      </c>
      <c r="E643" t="s">
        <v>2207</v>
      </c>
      <c r="F643" t="s">
        <v>2138</v>
      </c>
      <c r="G643" t="s">
        <v>825</v>
      </c>
      <c r="H643" s="30">
        <v>88.67</v>
      </c>
      <c r="I643" s="29">
        <f>H643*(1-IFERROR(VLOOKUP(G643,Rabat!$D$10:$E$41,2,FALSE),0))</f>
        <v>88.67</v>
      </c>
      <c r="J643" t="s">
        <v>1902</v>
      </c>
      <c r="K643" t="s">
        <v>2164</v>
      </c>
      <c r="L643" t="s">
        <v>1901</v>
      </c>
      <c r="M643">
        <v>8</v>
      </c>
      <c r="N643">
        <v>192</v>
      </c>
      <c r="O643" t="s">
        <v>3434</v>
      </c>
      <c r="P643" s="31" t="str">
        <f>HYPERLINK("https://b2b.kobi.pl/pl/product/12378,lampka-biurkowa-led-tenuix-14w-3cct-biala-led2b?currency=PLN")</f>
        <v>https://b2b.kobi.pl/pl/product/12378,lampka-biurkowa-led-tenuix-14w-3cct-biala-led2b?currency=PLN</v>
      </c>
      <c r="Q643" s="31" t="str">
        <f>HYPERLINK("https://eprel.ec.europa.eu/qr/2077025")</f>
        <v>https://eprel.ec.europa.eu/qr/2077025</v>
      </c>
      <c r="R643"/>
      <c r="S643" t="s">
        <v>2717</v>
      </c>
      <c r="T643"/>
      <c r="U643">
        <v>1.42</v>
      </c>
      <c r="V643">
        <v>1.83</v>
      </c>
      <c r="W643">
        <v>40</v>
      </c>
      <c r="X643">
        <v>20.5</v>
      </c>
      <c r="Y643">
        <v>8</v>
      </c>
    </row>
    <row r="644" spans="1:25" ht="60" customHeight="1" x14ac:dyDescent="0.25">
      <c r="A644"/>
      <c r="B644" t="s">
        <v>5</v>
      </c>
      <c r="C644" t="s">
        <v>3377</v>
      </c>
      <c r="D644" t="s">
        <v>17</v>
      </c>
      <c r="E644" t="s">
        <v>2208</v>
      </c>
      <c r="F644" t="s">
        <v>951</v>
      </c>
      <c r="G644" t="s">
        <v>825</v>
      </c>
      <c r="H644" s="30">
        <v>99.75</v>
      </c>
      <c r="I644" s="29">
        <f>H644*(1-IFERROR(VLOOKUP(G644,Rabat!$D$10:$E$41,2,FALSE),0))</f>
        <v>99.75</v>
      </c>
      <c r="J644" t="s">
        <v>1902</v>
      </c>
      <c r="K644" t="s">
        <v>469</v>
      </c>
      <c r="L644" t="s">
        <v>1901</v>
      </c>
      <c r="M644">
        <v>8</v>
      </c>
      <c r="N644">
        <v>192</v>
      </c>
      <c r="O644" t="s">
        <v>3434</v>
      </c>
      <c r="P644" s="31" t="str">
        <f>HYPERLINK("https://b2b.kobi.pl/pl/product/10309,lampka-biurkowa-led-tenuix-14w-cct-czarna-led2b?currency=PLN")</f>
        <v>https://b2b.kobi.pl/pl/product/10309,lampka-biurkowa-led-tenuix-14w-cct-czarna-led2b?currency=PLN</v>
      </c>
      <c r="Q644" s="31" t="str">
        <f>HYPERLINK("https://eprel.ec.europa.eu/qr/2077025")</f>
        <v>https://eprel.ec.europa.eu/qr/2077025</v>
      </c>
      <c r="R644"/>
      <c r="S644" t="s">
        <v>2717</v>
      </c>
      <c r="T644"/>
      <c r="U644">
        <v>1.53</v>
      </c>
      <c r="V644">
        <v>1.87</v>
      </c>
      <c r="W644">
        <v>40</v>
      </c>
      <c r="X644">
        <v>20.5</v>
      </c>
      <c r="Y644">
        <v>8</v>
      </c>
    </row>
    <row r="645" spans="1:25" ht="60" customHeight="1" x14ac:dyDescent="0.25">
      <c r="A645"/>
      <c r="B645" t="s">
        <v>5</v>
      </c>
      <c r="C645" t="s">
        <v>3377</v>
      </c>
      <c r="D645" t="s">
        <v>17</v>
      </c>
      <c r="E645" t="s">
        <v>2209</v>
      </c>
      <c r="F645" t="s">
        <v>2139</v>
      </c>
      <c r="G645" t="s">
        <v>825</v>
      </c>
      <c r="H645" s="30">
        <v>133.11000000000001</v>
      </c>
      <c r="I645" s="29">
        <f>H645*(1-IFERROR(VLOOKUP(G645,Rabat!$D$10:$E$41,2,FALSE),0))</f>
        <v>133.11000000000001</v>
      </c>
      <c r="J645" t="s">
        <v>1902</v>
      </c>
      <c r="K645" t="s">
        <v>2165</v>
      </c>
      <c r="L645" t="s">
        <v>1901</v>
      </c>
      <c r="M645">
        <v>16</v>
      </c>
      <c r="N645">
        <v>256</v>
      </c>
      <c r="O645" t="s">
        <v>3434</v>
      </c>
      <c r="P645" s="31" t="str">
        <f>HYPERLINK("https://b2b.kobi.pl/pl/product/12379,lampka-biurkowa-led-tenuix-duo-28w-3cct-biala-led2b?currency=PLN")</f>
        <v>https://b2b.kobi.pl/pl/product/12379,lampka-biurkowa-led-tenuix-duo-28w-3cct-biala-led2b?currency=PLN</v>
      </c>
      <c r="Q645" s="31" t="str">
        <f>HYPERLINK("https://eprel.ec.europa.eu/qr/2077037")</f>
        <v>https://eprel.ec.europa.eu/qr/2077037</v>
      </c>
      <c r="R645"/>
      <c r="S645" t="s">
        <v>2717</v>
      </c>
      <c r="T645"/>
      <c r="U645">
        <v>0.6</v>
      </c>
      <c r="V645">
        <v>0.94</v>
      </c>
      <c r="W645">
        <v>46.5</v>
      </c>
      <c r="X645">
        <v>13.5</v>
      </c>
      <c r="Y645">
        <v>6.5</v>
      </c>
    </row>
    <row r="646" spans="1:25" ht="60" customHeight="1" x14ac:dyDescent="0.25">
      <c r="A646"/>
      <c r="B646" t="s">
        <v>5</v>
      </c>
      <c r="C646" t="s">
        <v>3377</v>
      </c>
      <c r="D646" t="s">
        <v>17</v>
      </c>
      <c r="E646" t="s">
        <v>2210</v>
      </c>
      <c r="F646" t="s">
        <v>952</v>
      </c>
      <c r="G646" t="s">
        <v>825</v>
      </c>
      <c r="H646" s="30">
        <v>142</v>
      </c>
      <c r="I646" s="29">
        <f>H646*(1-IFERROR(VLOOKUP(G646,Rabat!$D$10:$E$41,2,FALSE),0))</f>
        <v>142</v>
      </c>
      <c r="J646" t="s">
        <v>1902</v>
      </c>
      <c r="K646" t="s">
        <v>470</v>
      </c>
      <c r="L646" t="s">
        <v>1901</v>
      </c>
      <c r="M646">
        <v>16</v>
      </c>
      <c r="N646">
        <v>256</v>
      </c>
      <c r="O646" t="s">
        <v>3434</v>
      </c>
      <c r="P646" s="31" t="str">
        <f>HYPERLINK("https://b2b.kobi.pl/pl/product/10310,lampka-biurkowa-led-tenuix-duo-28w-cct-czarna-led2b?currency=PLN")</f>
        <v>https://b2b.kobi.pl/pl/product/10310,lampka-biurkowa-led-tenuix-duo-28w-cct-czarna-led2b?currency=PLN</v>
      </c>
      <c r="Q646" s="31" t="str">
        <f>HYPERLINK("https://eprel.ec.europa.eu/qr/2077037")</f>
        <v>https://eprel.ec.europa.eu/qr/2077037</v>
      </c>
      <c r="R646"/>
      <c r="S646" t="s">
        <v>2717</v>
      </c>
      <c r="T646"/>
      <c r="U646">
        <v>0.6</v>
      </c>
      <c r="V646">
        <v>0.94</v>
      </c>
      <c r="W646">
        <v>46</v>
      </c>
      <c r="X646">
        <v>6</v>
      </c>
      <c r="Y646">
        <v>13</v>
      </c>
    </row>
    <row r="647" spans="1:25" ht="60" customHeight="1" x14ac:dyDescent="0.25">
      <c r="A647"/>
      <c r="B647" t="s">
        <v>5</v>
      </c>
      <c r="C647" t="s">
        <v>3377</v>
      </c>
      <c r="D647" t="s">
        <v>17</v>
      </c>
      <c r="E647" t="s">
        <v>2581</v>
      </c>
      <c r="F647" t="s">
        <v>2582</v>
      </c>
      <c r="G647" t="s">
        <v>825</v>
      </c>
      <c r="H647" s="30">
        <v>107.25</v>
      </c>
      <c r="I647" s="29">
        <f>H647*(1-IFERROR(VLOOKUP(G647,Rabat!$D$10:$E$41,2,FALSE),0))</f>
        <v>107.25</v>
      </c>
      <c r="J647" t="s">
        <v>1902</v>
      </c>
      <c r="K647" t="s">
        <v>2590</v>
      </c>
      <c r="L647" t="s">
        <v>1901</v>
      </c>
      <c r="M647">
        <v>20</v>
      </c>
      <c r="N647">
        <v>320</v>
      </c>
      <c r="O647" t="s">
        <v>3434</v>
      </c>
      <c r="P647" s="31" t="str">
        <f>HYPERLINK("https://b2b.kobi.pl/pl/product/12609,lampka-biurkowa-led-tenuix-duo-2-14w-cct-czarna-led2b?currency=PLN")</f>
        <v>https://b2b.kobi.pl/pl/product/12609,lampka-biurkowa-led-tenuix-duo-2-14w-cct-czarna-led2b?currency=PLN</v>
      </c>
      <c r="Q647" s="31" t="str">
        <f>HYPERLINK("https://eprel.ec.europa.eu/qr/2365003")</f>
        <v>https://eprel.ec.europa.eu/qr/2365003</v>
      </c>
      <c r="R647"/>
      <c r="S647" t="s">
        <v>2717</v>
      </c>
      <c r="T647"/>
      <c r="U647">
        <v>0.65</v>
      </c>
      <c r="V647">
        <v>0.75</v>
      </c>
      <c r="W647">
        <v>43.5</v>
      </c>
      <c r="X647">
        <v>18.5</v>
      </c>
      <c r="Y647">
        <v>5.5</v>
      </c>
    </row>
    <row r="648" spans="1:25" ht="60" customHeight="1" x14ac:dyDescent="0.25">
      <c r="A648"/>
      <c r="B648" t="s">
        <v>5</v>
      </c>
      <c r="C648" t="s">
        <v>3377</v>
      </c>
      <c r="D648" t="s">
        <v>17</v>
      </c>
      <c r="E648" t="s">
        <v>2211</v>
      </c>
      <c r="F648" t="s">
        <v>2150</v>
      </c>
      <c r="G648" t="s">
        <v>825</v>
      </c>
      <c r="H648" s="30">
        <v>187.25</v>
      </c>
      <c r="I648" s="29">
        <f>H648*(1-IFERROR(VLOOKUP(G648,Rabat!$D$10:$E$41,2,FALSE),0))</f>
        <v>187.25</v>
      </c>
      <c r="J648" t="s">
        <v>1902</v>
      </c>
      <c r="K648" t="s">
        <v>2174</v>
      </c>
      <c r="L648" t="s">
        <v>1901</v>
      </c>
      <c r="M648">
        <v>10</v>
      </c>
      <c r="N648">
        <v>150</v>
      </c>
      <c r="O648" t="s">
        <v>3434</v>
      </c>
      <c r="P648" s="31" t="str">
        <f>HYPERLINK("https://b2b.kobi.pl/pl/product/12475,lampka-biurkowa-led-tenuix-fold-20w-3cct-led2b?currency=PLN")</f>
        <v>https://b2b.kobi.pl/pl/product/12475,lampka-biurkowa-led-tenuix-fold-20w-3cct-led2b?currency=PLN</v>
      </c>
      <c r="Q648" s="31" t="str">
        <f>HYPERLINK("https://eprel.ec.europa.eu/qr/2276165")</f>
        <v>https://eprel.ec.europa.eu/qr/2276165</v>
      </c>
      <c r="R648"/>
      <c r="S648" t="s">
        <v>2717</v>
      </c>
      <c r="T648"/>
      <c r="U648">
        <v>0.55000000000000004</v>
      </c>
      <c r="V648">
        <v>0.91</v>
      </c>
      <c r="W648">
        <v>44.5</v>
      </c>
      <c r="X648">
        <v>23.5</v>
      </c>
      <c r="Y648">
        <v>6</v>
      </c>
    </row>
    <row r="649" spans="1:25" ht="60" customHeight="1" x14ac:dyDescent="0.25">
      <c r="A649"/>
      <c r="B649" t="s">
        <v>5</v>
      </c>
      <c r="C649" t="s">
        <v>3377</v>
      </c>
      <c r="D649" t="s">
        <v>17</v>
      </c>
      <c r="E649" t="s">
        <v>953</v>
      </c>
      <c r="F649" t="s">
        <v>954</v>
      </c>
      <c r="G649" t="s">
        <v>825</v>
      </c>
      <c r="H649" s="30">
        <v>42.25</v>
      </c>
      <c r="I649" s="29">
        <f>H649*(1-IFERROR(VLOOKUP(G649,Rabat!$D$10:$E$41,2,FALSE),0))</f>
        <v>42.25</v>
      </c>
      <c r="J649" t="s">
        <v>1902</v>
      </c>
      <c r="K649" t="s">
        <v>477</v>
      </c>
      <c r="L649" t="s">
        <v>1901</v>
      </c>
      <c r="M649">
        <v>60</v>
      </c>
      <c r="N649">
        <v>360</v>
      </c>
      <c r="O649" t="s">
        <v>3434</v>
      </c>
      <c r="P649" s="31" t="str">
        <f>HYPERLINK("https://b2b.kobi.pl/pl/product/10311,lampka-biurkowa-led-visua-desk-5w-biala-led2b?currency=PLN")</f>
        <v>https://b2b.kobi.pl/pl/product/10311,lampka-biurkowa-led-visua-desk-5w-biala-led2b?currency=PLN</v>
      </c>
      <c r="Q649" t="s">
        <v>15</v>
      </c>
      <c r="R649"/>
      <c r="S649" t="s">
        <v>2717</v>
      </c>
      <c r="T649"/>
      <c r="U649">
        <v>0.22</v>
      </c>
      <c r="V649">
        <v>0.3</v>
      </c>
      <c r="W649">
        <v>14</v>
      </c>
      <c r="X649">
        <v>16</v>
      </c>
      <c r="Y649">
        <v>10</v>
      </c>
    </row>
    <row r="650" spans="1:25" ht="60" customHeight="1" x14ac:dyDescent="0.25">
      <c r="A650"/>
      <c r="B650" t="s">
        <v>5</v>
      </c>
      <c r="C650" t="s">
        <v>3377</v>
      </c>
      <c r="D650" t="s">
        <v>17</v>
      </c>
      <c r="E650" t="s">
        <v>955</v>
      </c>
      <c r="F650" t="s">
        <v>956</v>
      </c>
      <c r="G650" t="s">
        <v>825</v>
      </c>
      <c r="H650" s="30">
        <v>42.25</v>
      </c>
      <c r="I650" s="29">
        <f>H650*(1-IFERROR(VLOOKUP(G650,Rabat!$D$10:$E$41,2,FALSE),0))</f>
        <v>42.25</v>
      </c>
      <c r="J650" t="s">
        <v>1902</v>
      </c>
      <c r="K650" t="s">
        <v>476</v>
      </c>
      <c r="L650" t="s">
        <v>1901</v>
      </c>
      <c r="M650">
        <v>60</v>
      </c>
      <c r="N650">
        <v>360</v>
      </c>
      <c r="O650" t="s">
        <v>3434</v>
      </c>
      <c r="P650" s="31" t="str">
        <f>HYPERLINK("https://b2b.kobi.pl/pl/product/10312,lampka-biurkowa-led-visua-desk-5w-czarna-led2b?currency=PLN")</f>
        <v>https://b2b.kobi.pl/pl/product/10312,lampka-biurkowa-led-visua-desk-5w-czarna-led2b?currency=PLN</v>
      </c>
      <c r="Q650" t="s">
        <v>15</v>
      </c>
      <c r="R650"/>
      <c r="S650" t="s">
        <v>2717</v>
      </c>
      <c r="T650"/>
      <c r="U650">
        <v>0.22</v>
      </c>
      <c r="V650">
        <v>0.3</v>
      </c>
      <c r="W650">
        <v>14</v>
      </c>
      <c r="X650">
        <v>16</v>
      </c>
      <c r="Y650">
        <v>10</v>
      </c>
    </row>
    <row r="651" spans="1:25" ht="60" customHeight="1" x14ac:dyDescent="0.25">
      <c r="A651"/>
      <c r="B651" t="s">
        <v>5</v>
      </c>
      <c r="C651" t="s">
        <v>3377</v>
      </c>
      <c r="D651" t="s">
        <v>17</v>
      </c>
      <c r="E651" t="s">
        <v>957</v>
      </c>
      <c r="F651" t="s">
        <v>958</v>
      </c>
      <c r="G651" t="s">
        <v>825</v>
      </c>
      <c r="H651" s="30">
        <v>42.25</v>
      </c>
      <c r="I651" s="29">
        <f>H651*(1-IFERROR(VLOOKUP(G651,Rabat!$D$10:$E$41,2,FALSE),0))</f>
        <v>42.25</v>
      </c>
      <c r="J651" t="s">
        <v>1902</v>
      </c>
      <c r="K651" t="s">
        <v>486</v>
      </c>
      <c r="L651" t="s">
        <v>1901</v>
      </c>
      <c r="M651">
        <v>60</v>
      </c>
      <c r="N651">
        <v>360</v>
      </c>
      <c r="O651" t="s">
        <v>3434</v>
      </c>
      <c r="P651" s="31" t="str">
        <f>HYPERLINK("https://b2b.kobi.pl/pl/product/10313,lampka-biurkowa-led-visua-desk-5w-mietowa-led2b?currency=PLN")</f>
        <v>https://b2b.kobi.pl/pl/product/10313,lampka-biurkowa-led-visua-desk-5w-mietowa-led2b?currency=PLN</v>
      </c>
      <c r="Q651" t="s">
        <v>15</v>
      </c>
      <c r="R651"/>
      <c r="S651" t="s">
        <v>2717</v>
      </c>
      <c r="T651"/>
      <c r="U651">
        <v>0.22</v>
      </c>
      <c r="V651">
        <v>0.3</v>
      </c>
      <c r="W651">
        <v>14</v>
      </c>
      <c r="X651">
        <v>16</v>
      </c>
      <c r="Y651">
        <v>10</v>
      </c>
    </row>
    <row r="652" spans="1:25" ht="60" customHeight="1" x14ac:dyDescent="0.25">
      <c r="A652"/>
      <c r="B652" t="s">
        <v>5</v>
      </c>
      <c r="C652" t="s">
        <v>3377</v>
      </c>
      <c r="D652" t="s">
        <v>17</v>
      </c>
      <c r="E652" t="s">
        <v>961</v>
      </c>
      <c r="F652" t="s">
        <v>962</v>
      </c>
      <c r="G652" t="s">
        <v>825</v>
      </c>
      <c r="H652" s="30">
        <v>42.25</v>
      </c>
      <c r="I652" s="29">
        <f>H652*(1-IFERROR(VLOOKUP(G652,Rabat!$D$10:$E$41,2,FALSE),0))</f>
        <v>42.25</v>
      </c>
      <c r="J652" t="s">
        <v>1902</v>
      </c>
      <c r="K652" t="s">
        <v>1934</v>
      </c>
      <c r="L652" t="s">
        <v>1901</v>
      </c>
      <c r="M652">
        <v>60</v>
      </c>
      <c r="N652">
        <v>360</v>
      </c>
      <c r="O652" t="s">
        <v>3434</v>
      </c>
      <c r="P652" s="31" t="str">
        <f>HYPERLINK("https://b2b.kobi.pl/pl/product/10314,lampka-biurkowa-led-visua-desk-5w-niebieska-led2b?currency=PLN")</f>
        <v>https://b2b.kobi.pl/pl/product/10314,lampka-biurkowa-led-visua-desk-5w-niebieska-led2b?currency=PLN</v>
      </c>
      <c r="Q652" t="s">
        <v>15</v>
      </c>
      <c r="R652"/>
      <c r="S652" t="s">
        <v>2717</v>
      </c>
      <c r="T652"/>
      <c r="U652">
        <v>0.22</v>
      </c>
      <c r="V652">
        <v>0.3</v>
      </c>
      <c r="W652">
        <v>14</v>
      </c>
      <c r="X652">
        <v>16</v>
      </c>
      <c r="Y652">
        <v>10</v>
      </c>
    </row>
    <row r="653" spans="1:25" ht="60" customHeight="1" x14ac:dyDescent="0.25">
      <c r="A653"/>
      <c r="B653" t="s">
        <v>5</v>
      </c>
      <c r="C653" t="s">
        <v>3377</v>
      </c>
      <c r="D653" t="s">
        <v>17</v>
      </c>
      <c r="E653" t="s">
        <v>963</v>
      </c>
      <c r="F653" t="s">
        <v>964</v>
      </c>
      <c r="G653" t="s">
        <v>825</v>
      </c>
      <c r="H653" s="30">
        <v>42.25</v>
      </c>
      <c r="I653" s="29">
        <f>H653*(1-IFERROR(VLOOKUP(G653,Rabat!$D$10:$E$41,2,FALSE),0))</f>
        <v>42.25</v>
      </c>
      <c r="J653" t="s">
        <v>1902</v>
      </c>
      <c r="K653" t="s">
        <v>479</v>
      </c>
      <c r="L653" t="s">
        <v>1901</v>
      </c>
      <c r="M653">
        <v>60</v>
      </c>
      <c r="N653">
        <v>360</v>
      </c>
      <c r="O653" t="s">
        <v>3434</v>
      </c>
      <c r="P653" s="31" t="str">
        <f>HYPERLINK("https://b2b.kobi.pl/pl/product/10315,lampka-biurkowa-led-visua-desk-5w-rozowa-led2b?currency=PLN")</f>
        <v>https://b2b.kobi.pl/pl/product/10315,lampka-biurkowa-led-visua-desk-5w-rozowa-led2b?currency=PLN</v>
      </c>
      <c r="Q653" t="s">
        <v>15</v>
      </c>
      <c r="R653"/>
      <c r="S653" t="s">
        <v>2717</v>
      </c>
      <c r="T653"/>
      <c r="U653">
        <v>0.22</v>
      </c>
      <c r="V653">
        <v>0.3</v>
      </c>
      <c r="W653">
        <v>14</v>
      </c>
      <c r="X653">
        <v>16</v>
      </c>
      <c r="Y653">
        <v>10</v>
      </c>
    </row>
    <row r="654" spans="1:25" ht="60" customHeight="1" x14ac:dyDescent="0.25">
      <c r="A654"/>
      <c r="B654" t="s">
        <v>5</v>
      </c>
      <c r="C654" t="s">
        <v>3377</v>
      </c>
      <c r="D654" t="s">
        <v>17</v>
      </c>
      <c r="E654" t="s">
        <v>965</v>
      </c>
      <c r="F654" t="s">
        <v>966</v>
      </c>
      <c r="G654" t="s">
        <v>825</v>
      </c>
      <c r="H654" s="30">
        <v>42.25</v>
      </c>
      <c r="I654" s="29">
        <f>H654*(1-IFERROR(VLOOKUP(G654,Rabat!$D$10:$E$41,2,FALSE),0))</f>
        <v>42.25</v>
      </c>
      <c r="J654" t="s">
        <v>1902</v>
      </c>
      <c r="K654" t="s">
        <v>478</v>
      </c>
      <c r="L654" t="s">
        <v>1901</v>
      </c>
      <c r="M654">
        <v>60</v>
      </c>
      <c r="N654">
        <v>360</v>
      </c>
      <c r="O654" t="s">
        <v>3434</v>
      </c>
      <c r="P654" s="31" t="str">
        <f>HYPERLINK("https://b2b.kobi.pl/pl/product/10316,lampka-biurkowa-led-visua-desk-5w-szara-led2b?currency=PLN")</f>
        <v>https://b2b.kobi.pl/pl/product/10316,lampka-biurkowa-led-visua-desk-5w-szara-led2b?currency=PLN</v>
      </c>
      <c r="Q654" t="s">
        <v>15</v>
      </c>
      <c r="R654"/>
      <c r="S654" t="s">
        <v>2717</v>
      </c>
      <c r="T654"/>
      <c r="U654">
        <v>0.22</v>
      </c>
      <c r="V654">
        <v>0.3</v>
      </c>
      <c r="W654">
        <v>14</v>
      </c>
      <c r="X654">
        <v>16</v>
      </c>
      <c r="Y654">
        <v>10</v>
      </c>
    </row>
    <row r="655" spans="1:25" ht="60" customHeight="1" x14ac:dyDescent="0.25">
      <c r="A655"/>
      <c r="B655" t="s">
        <v>5</v>
      </c>
      <c r="C655" t="s">
        <v>3377</v>
      </c>
      <c r="D655" t="s">
        <v>2858</v>
      </c>
      <c r="E655" t="s">
        <v>2859</v>
      </c>
      <c r="F655" t="s">
        <v>2860</v>
      </c>
      <c r="G655" t="s">
        <v>825</v>
      </c>
      <c r="H655" s="30">
        <v>174.75</v>
      </c>
      <c r="I655" s="29">
        <f>H655*(1-IFERROR(VLOOKUP(G655,Rabat!$D$10:$E$41,2,FALSE),0))</f>
        <v>174.75</v>
      </c>
      <c r="J655" t="s">
        <v>1902</v>
      </c>
      <c r="K655" t="s">
        <v>2878</v>
      </c>
      <c r="L655" t="s">
        <v>1901</v>
      </c>
      <c r="M655">
        <v>12</v>
      </c>
      <c r="N655"/>
      <c r="O655" t="s">
        <v>3434</v>
      </c>
      <c r="P655" s="31" t="str">
        <f>HYPERLINK("https://b2b.kobi.pl/pl/product/10762,lampka-biurkowa-led-orbi-2-5w-cct-czarna-laitica?currency=PLN")</f>
        <v>https://b2b.kobi.pl/pl/product/10762,lampka-biurkowa-led-orbi-2-5w-cct-czarna-laitica?currency=PLN</v>
      </c>
      <c r="Q655" t="s">
        <v>15</v>
      </c>
      <c r="R655" t="s">
        <v>2035</v>
      </c>
      <c r="S655" t="s">
        <v>2717</v>
      </c>
      <c r="T655"/>
      <c r="U655">
        <v>0.79</v>
      </c>
      <c r="V655">
        <v>0.86899999999999999</v>
      </c>
      <c r="W655">
        <v>0</v>
      </c>
      <c r="X655">
        <v>0</v>
      </c>
      <c r="Y655">
        <v>0</v>
      </c>
    </row>
    <row r="656" spans="1:25" ht="60" customHeight="1" x14ac:dyDescent="0.25">
      <c r="A656"/>
      <c r="B656" t="s">
        <v>5</v>
      </c>
      <c r="C656" t="s">
        <v>3377</v>
      </c>
      <c r="D656" t="s">
        <v>2858</v>
      </c>
      <c r="E656" t="s">
        <v>2861</v>
      </c>
      <c r="F656" t="s">
        <v>2862</v>
      </c>
      <c r="G656" t="s">
        <v>825</v>
      </c>
      <c r="H656" s="30">
        <v>174.75</v>
      </c>
      <c r="I656" s="29">
        <f>H656*(1-IFERROR(VLOOKUP(G656,Rabat!$D$10:$E$41,2,FALSE),0))</f>
        <v>174.75</v>
      </c>
      <c r="J656" t="s">
        <v>1902</v>
      </c>
      <c r="K656" t="s">
        <v>2879</v>
      </c>
      <c r="L656" t="s">
        <v>1901</v>
      </c>
      <c r="M656">
        <v>12</v>
      </c>
      <c r="N656"/>
      <c r="O656" t="s">
        <v>3434</v>
      </c>
      <c r="P656" s="31" t="str">
        <f>HYPERLINK("https://b2b.kobi.pl/pl/product/10763,lampka-biurkowa-led-orbi-2-5w-cct-biala-laitica?currency=PLN")</f>
        <v>https://b2b.kobi.pl/pl/product/10763,lampka-biurkowa-led-orbi-2-5w-cct-biala-laitica?currency=PLN</v>
      </c>
      <c r="Q656" t="s">
        <v>15</v>
      </c>
      <c r="R656" t="s">
        <v>2035</v>
      </c>
      <c r="S656" t="s">
        <v>2717</v>
      </c>
      <c r="T656"/>
      <c r="U656">
        <v>0.79</v>
      </c>
      <c r="V656">
        <v>0.86899999999999999</v>
      </c>
      <c r="W656">
        <v>0</v>
      </c>
      <c r="X656">
        <v>0</v>
      </c>
      <c r="Y656">
        <v>0</v>
      </c>
    </row>
    <row r="657" spans="1:25" ht="60" customHeight="1" x14ac:dyDescent="0.25">
      <c r="A657"/>
      <c r="B657" t="s">
        <v>5</v>
      </c>
      <c r="C657" t="s">
        <v>3377</v>
      </c>
      <c r="D657" t="s">
        <v>17</v>
      </c>
      <c r="E657" t="s">
        <v>3413</v>
      </c>
      <c r="F657" t="s">
        <v>3414</v>
      </c>
      <c r="G657" t="s">
        <v>3233</v>
      </c>
      <c r="H657" s="30">
        <v>172.5</v>
      </c>
      <c r="I657" s="29">
        <f>H657*(1-IFERROR(VLOOKUP(G657,Rabat!$D$10:$E$41,2,FALSE),0))</f>
        <v>172.5</v>
      </c>
      <c r="J657" t="s">
        <v>1902</v>
      </c>
      <c r="K657" t="s">
        <v>3427</v>
      </c>
      <c r="L657" t="s">
        <v>1901</v>
      </c>
      <c r="M657">
        <v>8</v>
      </c>
      <c r="N657"/>
      <c r="O657" t="s">
        <v>3434</v>
      </c>
      <c r="P657" s="31" t="str">
        <f>HYPERLINK("https://b2b.kobi.pl/pl/product/13286,lampa-podlogowa-teilo-2-14w-3cct-czarna-led2b?currency=PLN")</f>
        <v>https://b2b.kobi.pl/pl/product/13286,lampa-podlogowa-teilo-2-14w-3cct-czarna-led2b?currency=PLN</v>
      </c>
      <c r="Q657" s="31" t="str">
        <f>HYPERLINK("https://eprel.ec.europa.eu/qr/2365003")</f>
        <v>https://eprel.ec.europa.eu/qr/2365003</v>
      </c>
      <c r="R657"/>
      <c r="S657" t="s">
        <v>2717</v>
      </c>
      <c r="T657"/>
      <c r="U657">
        <v>1</v>
      </c>
      <c r="V657">
        <v>1.25</v>
      </c>
      <c r="W657">
        <v>43.5</v>
      </c>
      <c r="X657">
        <v>18.5</v>
      </c>
      <c r="Y657">
        <v>5.5</v>
      </c>
    </row>
    <row r="658" spans="1:25" ht="60" customHeight="1" x14ac:dyDescent="0.25">
      <c r="A658"/>
      <c r="B658" t="s">
        <v>5</v>
      </c>
      <c r="C658" t="s">
        <v>3377</v>
      </c>
      <c r="D658" t="s">
        <v>2858</v>
      </c>
      <c r="E658" t="s">
        <v>2863</v>
      </c>
      <c r="F658" t="s">
        <v>2864</v>
      </c>
      <c r="G658" t="s">
        <v>825</v>
      </c>
      <c r="H658" s="30">
        <v>174.75</v>
      </c>
      <c r="I658" s="29">
        <f>H658*(1-IFERROR(VLOOKUP(G658,Rabat!$D$10:$E$41,2,FALSE),0))</f>
        <v>174.75</v>
      </c>
      <c r="J658" t="s">
        <v>1902</v>
      </c>
      <c r="K658" t="s">
        <v>2880</v>
      </c>
      <c r="L658" t="s">
        <v>1901</v>
      </c>
      <c r="M658">
        <v>12</v>
      </c>
      <c r="N658"/>
      <c r="O658" t="s">
        <v>3434</v>
      </c>
      <c r="P658" s="31" t="str">
        <f>HYPERLINK("https://b2b.kobi.pl/pl/product/10764,lampka-biurkowa-led-orbi-2-5w-cct-szara-laitica?currency=PLN")</f>
        <v>https://b2b.kobi.pl/pl/product/10764,lampka-biurkowa-led-orbi-2-5w-cct-szara-laitica?currency=PLN</v>
      </c>
      <c r="Q658" t="s">
        <v>15</v>
      </c>
      <c r="R658" t="s">
        <v>2035</v>
      </c>
      <c r="S658" t="s">
        <v>2717</v>
      </c>
      <c r="T658"/>
      <c r="U658">
        <v>0.79</v>
      </c>
      <c r="V658">
        <v>0.86899999999999999</v>
      </c>
      <c r="W658">
        <v>0</v>
      </c>
      <c r="X658">
        <v>0</v>
      </c>
      <c r="Y658">
        <v>0</v>
      </c>
    </row>
    <row r="659" spans="1:25" ht="60" customHeight="1" x14ac:dyDescent="0.25">
      <c r="A659"/>
      <c r="B659" t="s">
        <v>5</v>
      </c>
      <c r="C659" t="s">
        <v>3377</v>
      </c>
      <c r="D659" t="s">
        <v>17</v>
      </c>
      <c r="E659" t="s">
        <v>3415</v>
      </c>
      <c r="F659" t="s">
        <v>3416</v>
      </c>
      <c r="G659" t="s">
        <v>3233</v>
      </c>
      <c r="H659" s="30">
        <v>79.58</v>
      </c>
      <c r="I659" s="29">
        <f>H659*(1-IFERROR(VLOOKUP(G659,Rabat!$D$10:$E$41,2,FALSE),0))</f>
        <v>79.58</v>
      </c>
      <c r="J659" t="s">
        <v>1902</v>
      </c>
      <c r="K659" t="s">
        <v>3428</v>
      </c>
      <c r="L659" t="s">
        <v>1901</v>
      </c>
      <c r="M659">
        <v>12</v>
      </c>
      <c r="N659"/>
      <c r="O659" t="s">
        <v>3434</v>
      </c>
      <c r="P659" s="31" t="str">
        <f>HYPERLINK("https://b2b.kobi.pl/pl/product/13278,lampka-biurkowa-led-auriq-loupe-10w-3cct-biala-led2b?currency=PLN")</f>
        <v>https://b2b.kobi.pl/pl/product/13278,lampka-biurkowa-led-auriq-loupe-10w-3cct-biala-led2b?currency=PLN</v>
      </c>
      <c r="Q659" s="31" t="str">
        <f>HYPERLINK("https://eprel.ec.europa.eu/qr/2276145")</f>
        <v>https://eprel.ec.europa.eu/qr/2276145</v>
      </c>
      <c r="R659"/>
      <c r="S659" t="s">
        <v>2717</v>
      </c>
      <c r="T659"/>
      <c r="U659">
        <v>1.36</v>
      </c>
      <c r="V659">
        <v>1.52</v>
      </c>
      <c r="W659">
        <v>29</v>
      </c>
      <c r="X659">
        <v>24</v>
      </c>
      <c r="Y659">
        <v>7.5</v>
      </c>
    </row>
    <row r="660" spans="1:25" ht="60" customHeight="1" x14ac:dyDescent="0.25">
      <c r="A660"/>
      <c r="B660" t="s">
        <v>5</v>
      </c>
      <c r="C660" t="s">
        <v>3377</v>
      </c>
      <c r="D660" t="s">
        <v>2858</v>
      </c>
      <c r="E660" t="s">
        <v>2865</v>
      </c>
      <c r="F660" t="s">
        <v>2866</v>
      </c>
      <c r="G660" t="s">
        <v>825</v>
      </c>
      <c r="H660" s="30">
        <v>174.75</v>
      </c>
      <c r="I660" s="29">
        <f>H660*(1-IFERROR(VLOOKUP(G660,Rabat!$D$10:$E$41,2,FALSE),0))</f>
        <v>174.75</v>
      </c>
      <c r="J660" t="s">
        <v>1902</v>
      </c>
      <c r="K660" t="s">
        <v>2881</v>
      </c>
      <c r="L660" t="s">
        <v>1901</v>
      </c>
      <c r="M660">
        <v>12</v>
      </c>
      <c r="N660"/>
      <c r="O660" t="s">
        <v>3434</v>
      </c>
      <c r="P660" s="31" t="str">
        <f>HYPERLINK("https://b2b.kobi.pl/pl/product/10765,lampka-biurkowa-led-orbi-2-5w-cct-niebieska-laitica?currency=PLN")</f>
        <v>https://b2b.kobi.pl/pl/product/10765,lampka-biurkowa-led-orbi-2-5w-cct-niebieska-laitica?currency=PLN</v>
      </c>
      <c r="Q660" t="s">
        <v>15</v>
      </c>
      <c r="R660" t="s">
        <v>2035</v>
      </c>
      <c r="S660" t="s">
        <v>2717</v>
      </c>
      <c r="T660"/>
      <c r="U660">
        <v>0.79</v>
      </c>
      <c r="V660">
        <v>0.86899999999999999</v>
      </c>
      <c r="W660">
        <v>0</v>
      </c>
      <c r="X660">
        <v>0</v>
      </c>
      <c r="Y660">
        <v>0</v>
      </c>
    </row>
    <row r="661" spans="1:25" ht="60" customHeight="1" x14ac:dyDescent="0.25">
      <c r="A661"/>
      <c r="B661" t="s">
        <v>5</v>
      </c>
      <c r="C661" t="s">
        <v>3377</v>
      </c>
      <c r="D661" t="s">
        <v>17</v>
      </c>
      <c r="E661" t="s">
        <v>3417</v>
      </c>
      <c r="F661" t="s">
        <v>3418</v>
      </c>
      <c r="G661" t="s">
        <v>3233</v>
      </c>
      <c r="H661" s="30">
        <v>61.25</v>
      </c>
      <c r="I661" s="29">
        <f>H661*(1-IFERROR(VLOOKUP(G661,Rabat!$D$10:$E$41,2,FALSE),0))</f>
        <v>61.25</v>
      </c>
      <c r="J661" t="s">
        <v>1902</v>
      </c>
      <c r="K661" t="s">
        <v>3429</v>
      </c>
      <c r="L661" t="s">
        <v>1901</v>
      </c>
      <c r="M661">
        <v>20</v>
      </c>
      <c r="N661"/>
      <c r="O661" t="s">
        <v>3434</v>
      </c>
      <c r="P661" s="31" t="str">
        <f>HYPERLINK("https://b2b.kobi.pl/pl/product/13284,lampka-biurkowa-led-noblite-p-5w-3cct-biala-led2b?currency=PLN")</f>
        <v>https://b2b.kobi.pl/pl/product/13284,lampka-biurkowa-led-noblite-p-5w-3cct-biala-led2b?currency=PLN</v>
      </c>
      <c r="Q661" s="31" t="str">
        <f>HYPERLINK("https://eprel.ec.europa.eu/qr/2575965")</f>
        <v>https://eprel.ec.europa.eu/qr/2575965</v>
      </c>
      <c r="R661"/>
      <c r="S661" t="s">
        <v>2717</v>
      </c>
      <c r="T661"/>
      <c r="U661">
        <v>0.65</v>
      </c>
      <c r="V661">
        <v>0.71</v>
      </c>
      <c r="W661">
        <v>5.5</v>
      </c>
      <c r="X661">
        <v>16</v>
      </c>
      <c r="Y661">
        <v>34.5</v>
      </c>
    </row>
    <row r="662" spans="1:25" ht="60" customHeight="1" x14ac:dyDescent="0.25">
      <c r="A662"/>
      <c r="B662" t="s">
        <v>5</v>
      </c>
      <c r="C662" t="s">
        <v>3377</v>
      </c>
      <c r="D662" t="s">
        <v>2858</v>
      </c>
      <c r="E662" t="s">
        <v>2867</v>
      </c>
      <c r="F662" t="s">
        <v>2868</v>
      </c>
      <c r="G662" t="s">
        <v>1283</v>
      </c>
      <c r="H662" s="30">
        <v>174.75</v>
      </c>
      <c r="I662" s="29">
        <f>H662*(1-IFERROR(VLOOKUP(G662,Rabat!$D$10:$E$41,2,FALSE),0))</f>
        <v>174.75</v>
      </c>
      <c r="J662" t="s">
        <v>1902</v>
      </c>
      <c r="K662" t="s">
        <v>2882</v>
      </c>
      <c r="L662" t="s">
        <v>1901</v>
      </c>
      <c r="M662">
        <v>12</v>
      </c>
      <c r="N662"/>
      <c r="O662" t="s">
        <v>3434</v>
      </c>
      <c r="P662" s="31" t="str">
        <f>HYPERLINK("https://b2b.kobi.pl/pl/product/10766,lampka-biurkowa-led-orbi-2-5w-cct-rozowa-laitica?currency=PLN")</f>
        <v>https://b2b.kobi.pl/pl/product/10766,lampka-biurkowa-led-orbi-2-5w-cct-rozowa-laitica?currency=PLN</v>
      </c>
      <c r="Q662" t="s">
        <v>15</v>
      </c>
      <c r="R662" t="s">
        <v>2035</v>
      </c>
      <c r="S662" t="s">
        <v>2717</v>
      </c>
      <c r="T662"/>
      <c r="U662">
        <v>0.79</v>
      </c>
      <c r="V662">
        <v>0.86899999999999999</v>
      </c>
      <c r="W662">
        <v>0</v>
      </c>
      <c r="X662">
        <v>0</v>
      </c>
      <c r="Y662">
        <v>0</v>
      </c>
    </row>
    <row r="663" spans="1:25" ht="60" customHeight="1" x14ac:dyDescent="0.25">
      <c r="A663"/>
      <c r="B663" t="s">
        <v>5</v>
      </c>
      <c r="C663" t="s">
        <v>3377</v>
      </c>
      <c r="D663" t="s">
        <v>17</v>
      </c>
      <c r="E663" t="s">
        <v>3419</v>
      </c>
      <c r="F663" t="s">
        <v>3420</v>
      </c>
      <c r="G663" t="s">
        <v>3233</v>
      </c>
      <c r="H663" s="30">
        <v>61.25</v>
      </c>
      <c r="I663" s="29">
        <f>H663*(1-IFERROR(VLOOKUP(G663,Rabat!$D$10:$E$41,2,FALSE),0))</f>
        <v>61.25</v>
      </c>
      <c r="J663" t="s">
        <v>1902</v>
      </c>
      <c r="K663" t="s">
        <v>3430</v>
      </c>
      <c r="L663" t="s">
        <v>1901</v>
      </c>
      <c r="M663">
        <v>20</v>
      </c>
      <c r="N663"/>
      <c r="O663" t="s">
        <v>3434</v>
      </c>
      <c r="P663" s="31" t="str">
        <f>HYPERLINK("https://b2b.kobi.pl/pl/product/13285,lampka-biurkowa-led-noblite-p-5w-3cct-czarna-led2b?currency=PLN")</f>
        <v>https://b2b.kobi.pl/pl/product/13285,lampka-biurkowa-led-noblite-p-5w-3cct-czarna-led2b?currency=PLN</v>
      </c>
      <c r="Q663" s="31" t="str">
        <f>HYPERLINK("https://eprel.ec.europa.eu/qr/2575965")</f>
        <v>https://eprel.ec.europa.eu/qr/2575965</v>
      </c>
      <c r="R663"/>
      <c r="S663" t="s">
        <v>2717</v>
      </c>
      <c r="T663"/>
      <c r="U663">
        <v>0.65</v>
      </c>
      <c r="V663">
        <v>0.71</v>
      </c>
      <c r="W663">
        <v>5.5</v>
      </c>
      <c r="X663">
        <v>16</v>
      </c>
      <c r="Y663">
        <v>34.5</v>
      </c>
    </row>
    <row r="664" spans="1:25" ht="60" customHeight="1" x14ac:dyDescent="0.25">
      <c r="A664"/>
      <c r="B664" t="s">
        <v>5</v>
      </c>
      <c r="C664" t="s">
        <v>3377</v>
      </c>
      <c r="D664" t="s">
        <v>17</v>
      </c>
      <c r="E664" t="s">
        <v>3421</v>
      </c>
      <c r="F664" t="s">
        <v>3422</v>
      </c>
      <c r="G664" t="s">
        <v>3233</v>
      </c>
      <c r="H664" s="30">
        <v>55</v>
      </c>
      <c r="I664" s="29">
        <f>H664*(1-IFERROR(VLOOKUP(G664,Rabat!$D$10:$E$41,2,FALSE),0))</f>
        <v>55</v>
      </c>
      <c r="J664" t="s">
        <v>1902</v>
      </c>
      <c r="K664" t="s">
        <v>3431</v>
      </c>
      <c r="L664" t="s">
        <v>1901</v>
      </c>
      <c r="M664">
        <v>12</v>
      </c>
      <c r="N664"/>
      <c r="O664" t="s">
        <v>3434</v>
      </c>
      <c r="P664" s="31" t="str">
        <f>HYPERLINK("https://b2b.kobi.pl/pl/product/13279,lampka-biurkowa-auriq-1xe27-niebieska-led2b?currency=PLN")</f>
        <v>https://b2b.kobi.pl/pl/product/13279,lampka-biurkowa-auriq-1xe27-niebieska-led2b?currency=PLN</v>
      </c>
      <c r="Q664" t="s">
        <v>15</v>
      </c>
      <c r="R664"/>
      <c r="S664" t="s">
        <v>2716</v>
      </c>
      <c r="T664"/>
      <c r="U664">
        <v>1.26</v>
      </c>
      <c r="V664">
        <v>1.5</v>
      </c>
      <c r="W664">
        <v>29</v>
      </c>
      <c r="X664">
        <v>9</v>
      </c>
      <c r="Y664">
        <v>54</v>
      </c>
    </row>
    <row r="665" spans="1:25" ht="60" customHeight="1" x14ac:dyDescent="0.25">
      <c r="A665"/>
      <c r="B665" t="s">
        <v>5</v>
      </c>
      <c r="C665" t="s">
        <v>3377</v>
      </c>
      <c r="D665" t="s">
        <v>17</v>
      </c>
      <c r="E665" t="s">
        <v>3423</v>
      </c>
      <c r="F665" t="s">
        <v>3424</v>
      </c>
      <c r="G665" t="s">
        <v>3233</v>
      </c>
      <c r="H665" s="30">
        <v>55</v>
      </c>
      <c r="I665" s="29">
        <f>H665*(1-IFERROR(VLOOKUP(G665,Rabat!$D$10:$E$41,2,FALSE),0))</f>
        <v>55</v>
      </c>
      <c r="J665" t="s">
        <v>1902</v>
      </c>
      <c r="K665" t="s">
        <v>3432</v>
      </c>
      <c r="L665" t="s">
        <v>1901</v>
      </c>
      <c r="M665">
        <v>12</v>
      </c>
      <c r="N665"/>
      <c r="O665" t="s">
        <v>3434</v>
      </c>
      <c r="P665" s="31" t="str">
        <f>HYPERLINK("https://b2b.kobi.pl/pl/product/13280,lampka-biurkowa-auriq-1xe27-rozowa-led2b?currency=PLN")</f>
        <v>https://b2b.kobi.pl/pl/product/13280,lampka-biurkowa-auriq-1xe27-rozowa-led2b?currency=PLN</v>
      </c>
      <c r="Q665" t="s">
        <v>15</v>
      </c>
      <c r="R665"/>
      <c r="S665" t="s">
        <v>2716</v>
      </c>
      <c r="T665"/>
      <c r="U665">
        <v>1.26</v>
      </c>
      <c r="V665">
        <v>1.5</v>
      </c>
      <c r="W665">
        <v>29</v>
      </c>
      <c r="X665">
        <v>9</v>
      </c>
      <c r="Y665">
        <v>54</v>
      </c>
    </row>
    <row r="666" spans="1:25" ht="60" customHeight="1" x14ac:dyDescent="0.25">
      <c r="A666"/>
      <c r="B666" t="s">
        <v>5</v>
      </c>
      <c r="C666" t="s">
        <v>3377</v>
      </c>
      <c r="D666" t="s">
        <v>17</v>
      </c>
      <c r="E666" t="s">
        <v>3425</v>
      </c>
      <c r="F666" t="s">
        <v>3426</v>
      </c>
      <c r="G666" t="s">
        <v>3233</v>
      </c>
      <c r="H666" s="30">
        <v>108.9</v>
      </c>
      <c r="I666" s="29">
        <f>H666*(1-IFERROR(VLOOKUP(G666,Rabat!$D$10:$E$41,2,FALSE),0))</f>
        <v>108.9</v>
      </c>
      <c r="J666" t="s">
        <v>1902</v>
      </c>
      <c r="K666" t="s">
        <v>3433</v>
      </c>
      <c r="L666" t="s">
        <v>1901</v>
      </c>
      <c r="M666">
        <v>5</v>
      </c>
      <c r="N666"/>
      <c r="O666" t="s">
        <v>3434</v>
      </c>
      <c r="P666" s="31" t="str">
        <f>HYPERLINK("https://b2b.kobi.pl/pl/product/13281,lampa-podlogowa-auriq-st-1xe27-biala-led2b?currency=PLN")</f>
        <v>https://b2b.kobi.pl/pl/product/13281,lampa-podlogowa-auriq-st-1xe27-biala-led2b?currency=PLN</v>
      </c>
      <c r="Q666" t="s">
        <v>15</v>
      </c>
      <c r="R666"/>
      <c r="S666" t="s">
        <v>2716</v>
      </c>
      <c r="T666"/>
      <c r="U666">
        <v>4.74</v>
      </c>
      <c r="V666">
        <v>5.08</v>
      </c>
      <c r="W666">
        <v>29.5</v>
      </c>
      <c r="X666">
        <v>10.5</v>
      </c>
      <c r="Y666">
        <v>43</v>
      </c>
    </row>
    <row r="667" spans="1:25" ht="60" customHeight="1" x14ac:dyDescent="0.25">
      <c r="A667"/>
      <c r="B667" t="s">
        <v>3367</v>
      </c>
      <c r="C667" t="s">
        <v>3379</v>
      </c>
      <c r="D667" t="s">
        <v>631</v>
      </c>
      <c r="E667" t="s">
        <v>2805</v>
      </c>
      <c r="F667" t="s">
        <v>1490</v>
      </c>
      <c r="G667" t="s">
        <v>1485</v>
      </c>
      <c r="H667" s="30">
        <v>82</v>
      </c>
      <c r="I667" s="29">
        <f>H667*(1-IFERROR(VLOOKUP(G667,Rabat!$D$10:$E$41,2,FALSE),0))</f>
        <v>82</v>
      </c>
      <c r="J667" t="s">
        <v>1905</v>
      </c>
      <c r="K667" t="s">
        <v>156</v>
      </c>
      <c r="L667" t="s">
        <v>1901</v>
      </c>
      <c r="M667">
        <v>50</v>
      </c>
      <c r="N667">
        <v>800</v>
      </c>
      <c r="O667" t="s">
        <v>3435</v>
      </c>
      <c r="P667" s="31" t="str">
        <f>HYPERLINK("https://b2b.kobi.pl/pl/product/9757,tasma-led-tramo-320-cob-5m-3000k-ip65-kobi-premium?currency=PLN")</f>
        <v>https://b2b.kobi.pl/pl/product/9757,tasma-led-tramo-320-cob-5m-3000k-ip65-kobi-premium?currency=PLN</v>
      </c>
      <c r="Q667" s="31" t="str">
        <f>HYPERLINK("https://eprel.ec.europa.eu/qr/1817916")</f>
        <v>https://eprel.ec.europa.eu/qr/1817916</v>
      </c>
      <c r="R667"/>
      <c r="S667" t="s">
        <v>2711</v>
      </c>
      <c r="T667"/>
      <c r="U667">
        <v>0.11</v>
      </c>
      <c r="V667">
        <v>0.126</v>
      </c>
      <c r="W667">
        <v>23</v>
      </c>
      <c r="X667">
        <v>21</v>
      </c>
      <c r="Y667">
        <v>1</v>
      </c>
    </row>
    <row r="668" spans="1:25" ht="60" customHeight="1" x14ac:dyDescent="0.25">
      <c r="A668"/>
      <c r="B668" t="s">
        <v>3367</v>
      </c>
      <c r="C668" t="s">
        <v>3379</v>
      </c>
      <c r="D668" t="s">
        <v>631</v>
      </c>
      <c r="E668" t="s">
        <v>2806</v>
      </c>
      <c r="F668" t="s">
        <v>1492</v>
      </c>
      <c r="G668" t="s">
        <v>1485</v>
      </c>
      <c r="H668" s="30">
        <v>82</v>
      </c>
      <c r="I668" s="29">
        <f>H668*(1-IFERROR(VLOOKUP(G668,Rabat!$D$10:$E$41,2,FALSE),0))</f>
        <v>82</v>
      </c>
      <c r="J668" t="s">
        <v>1903</v>
      </c>
      <c r="K668" t="s">
        <v>157</v>
      </c>
      <c r="L668" t="s">
        <v>1901</v>
      </c>
      <c r="M668">
        <v>50</v>
      </c>
      <c r="N668">
        <v>800</v>
      </c>
      <c r="O668" t="s">
        <v>3435</v>
      </c>
      <c r="P668" s="31" t="str">
        <f>HYPERLINK("https://b2b.kobi.pl/pl/product/9758,tasma-led-tramo-320-cob-5m-4000k-ip65-kobi-premium?currency=PLN")</f>
        <v>https://b2b.kobi.pl/pl/product/9758,tasma-led-tramo-320-cob-5m-4000k-ip65-kobi-premium?currency=PLN</v>
      </c>
      <c r="Q668" s="31" t="str">
        <f>HYPERLINK("https://eprel.ec.europa.eu/qr/1817987")</f>
        <v>https://eprel.ec.europa.eu/qr/1817987</v>
      </c>
      <c r="R668"/>
      <c r="S668" t="s">
        <v>2711</v>
      </c>
      <c r="T668"/>
      <c r="U668">
        <v>0.11</v>
      </c>
      <c r="V668">
        <v>0.126</v>
      </c>
      <c r="W668">
        <v>23</v>
      </c>
      <c r="X668">
        <v>21</v>
      </c>
      <c r="Y668">
        <v>1</v>
      </c>
    </row>
    <row r="669" spans="1:25" ht="60" customHeight="1" x14ac:dyDescent="0.25">
      <c r="A669"/>
      <c r="B669" t="s">
        <v>3367</v>
      </c>
      <c r="C669" t="s">
        <v>3379</v>
      </c>
      <c r="D669" t="s">
        <v>631</v>
      </c>
      <c r="E669" t="s">
        <v>2807</v>
      </c>
      <c r="F669" t="s">
        <v>1494</v>
      </c>
      <c r="G669" t="s">
        <v>1485</v>
      </c>
      <c r="H669" s="30">
        <v>82</v>
      </c>
      <c r="I669" s="29">
        <f>H669*(1-IFERROR(VLOOKUP(G669,Rabat!$D$10:$E$41,2,FALSE),0))</f>
        <v>82</v>
      </c>
      <c r="J669" t="s">
        <v>1903</v>
      </c>
      <c r="K669" t="s">
        <v>158</v>
      </c>
      <c r="L669" t="s">
        <v>1901</v>
      </c>
      <c r="M669">
        <v>50</v>
      </c>
      <c r="N669"/>
      <c r="O669" t="s">
        <v>3435</v>
      </c>
      <c r="P669" s="31" t="str">
        <f>HYPERLINK("https://b2b.kobi.pl/pl/product/9759,tasma-led-tramo-320-cob-5m-6500k-ip65-kobi-premium?currency=PLN")</f>
        <v>https://b2b.kobi.pl/pl/product/9759,tasma-led-tramo-320-cob-5m-6500k-ip65-kobi-premium?currency=PLN</v>
      </c>
      <c r="Q669" s="31" t="str">
        <f>HYPERLINK("https://eprel.ec.europa.eu/qr/1818059")</f>
        <v>https://eprel.ec.europa.eu/qr/1818059</v>
      </c>
      <c r="R669"/>
      <c r="S669" t="s">
        <v>2711</v>
      </c>
      <c r="T669"/>
      <c r="U669">
        <v>0.11</v>
      </c>
      <c r="V669">
        <v>0.126</v>
      </c>
      <c r="W669">
        <v>23</v>
      </c>
      <c r="X669">
        <v>21</v>
      </c>
      <c r="Y669">
        <v>1</v>
      </c>
    </row>
    <row r="670" spans="1:25" ht="60" customHeight="1" x14ac:dyDescent="0.25">
      <c r="A670"/>
      <c r="B670" t="s">
        <v>3367</v>
      </c>
      <c r="C670" t="s">
        <v>3379</v>
      </c>
      <c r="D670" t="s">
        <v>631</v>
      </c>
      <c r="E670" t="s">
        <v>2808</v>
      </c>
      <c r="F670" t="s">
        <v>1489</v>
      </c>
      <c r="G670" t="s">
        <v>1485</v>
      </c>
      <c r="H670" s="30">
        <v>57.56</v>
      </c>
      <c r="I670" s="29">
        <f>H670*(1-IFERROR(VLOOKUP(G670,Rabat!$D$10:$E$41,2,FALSE),0))</f>
        <v>57.56</v>
      </c>
      <c r="J670" t="s">
        <v>1903</v>
      </c>
      <c r="K670" t="s">
        <v>153</v>
      </c>
      <c r="L670" t="s">
        <v>1901</v>
      </c>
      <c r="M670">
        <v>50</v>
      </c>
      <c r="N670">
        <v>800</v>
      </c>
      <c r="O670" t="s">
        <v>3435</v>
      </c>
      <c r="P670" s="31" t="str">
        <f>HYPERLINK("https://b2b.kobi.pl/pl/product/9760,tasma-led-tramo-320-cob-5m-3000k-ip20-kobi-premium?currency=PLN")</f>
        <v>https://b2b.kobi.pl/pl/product/9760,tasma-led-tramo-320-cob-5m-3000k-ip20-kobi-premium?currency=PLN</v>
      </c>
      <c r="Q670" s="31" t="str">
        <f>HYPERLINK("https://eprel.ec.europa.eu/qr/1817900")</f>
        <v>https://eprel.ec.europa.eu/qr/1817900</v>
      </c>
      <c r="R670"/>
      <c r="S670" t="s">
        <v>2711</v>
      </c>
      <c r="T670"/>
      <c r="U670">
        <v>0.08</v>
      </c>
      <c r="V670">
        <v>0.1</v>
      </c>
      <c r="W670">
        <v>23</v>
      </c>
      <c r="X670">
        <v>21</v>
      </c>
      <c r="Y670">
        <v>1</v>
      </c>
    </row>
    <row r="671" spans="1:25" ht="60" customHeight="1" x14ac:dyDescent="0.25">
      <c r="A671"/>
      <c r="B671" t="s">
        <v>3367</v>
      </c>
      <c r="C671" t="s">
        <v>3379</v>
      </c>
      <c r="D671" t="s">
        <v>631</v>
      </c>
      <c r="E671" t="s">
        <v>2809</v>
      </c>
      <c r="F671" t="s">
        <v>1491</v>
      </c>
      <c r="G671" t="s">
        <v>1485</v>
      </c>
      <c r="H671" s="30">
        <v>57.56</v>
      </c>
      <c r="I671" s="29">
        <f>H671*(1-IFERROR(VLOOKUP(G671,Rabat!$D$10:$E$41,2,FALSE),0))</f>
        <v>57.56</v>
      </c>
      <c r="J671" t="s">
        <v>1903</v>
      </c>
      <c r="K671" t="s">
        <v>154</v>
      </c>
      <c r="L671" t="s">
        <v>1901</v>
      </c>
      <c r="M671">
        <v>50</v>
      </c>
      <c r="N671">
        <v>800</v>
      </c>
      <c r="O671" t="s">
        <v>3435</v>
      </c>
      <c r="P671" s="31" t="str">
        <f>HYPERLINK("https://b2b.kobi.pl/pl/product/9761,tasma-led-tramo-320-cob-5m-4000k-ip20-kobi-premium?currency=PLN")</f>
        <v>https://b2b.kobi.pl/pl/product/9761,tasma-led-tramo-320-cob-5m-4000k-ip20-kobi-premium?currency=PLN</v>
      </c>
      <c r="Q671" s="31" t="str">
        <f>HYPERLINK("https://eprel.ec.europa.eu/qr/1817939")</f>
        <v>https://eprel.ec.europa.eu/qr/1817939</v>
      </c>
      <c r="R671"/>
      <c r="S671" t="s">
        <v>2711</v>
      </c>
      <c r="T671"/>
      <c r="U671">
        <v>0.08</v>
      </c>
      <c r="V671">
        <v>0.1</v>
      </c>
      <c r="W671">
        <v>23</v>
      </c>
      <c r="X671">
        <v>21</v>
      </c>
      <c r="Y671">
        <v>1</v>
      </c>
    </row>
    <row r="672" spans="1:25" ht="60" customHeight="1" x14ac:dyDescent="0.25">
      <c r="A672"/>
      <c r="B672" t="s">
        <v>3367</v>
      </c>
      <c r="C672" t="s">
        <v>3379</v>
      </c>
      <c r="D672" t="s">
        <v>631</v>
      </c>
      <c r="E672" t="s">
        <v>2810</v>
      </c>
      <c r="F672" t="s">
        <v>1493</v>
      </c>
      <c r="G672" t="s">
        <v>1485</v>
      </c>
      <c r="H672" s="30">
        <v>57.56</v>
      </c>
      <c r="I672" s="29">
        <f>H672*(1-IFERROR(VLOOKUP(G672,Rabat!$D$10:$E$41,2,FALSE),0))</f>
        <v>57.56</v>
      </c>
      <c r="J672" t="s">
        <v>1903</v>
      </c>
      <c r="K672" t="s">
        <v>155</v>
      </c>
      <c r="L672" t="s">
        <v>1901</v>
      </c>
      <c r="M672">
        <v>50</v>
      </c>
      <c r="N672">
        <v>800</v>
      </c>
      <c r="O672" t="s">
        <v>3435</v>
      </c>
      <c r="P672" s="31" t="str">
        <f>HYPERLINK("https://b2b.kobi.pl/pl/product/9762,tasma-led-tramo-320-cob-5m-6500k-ip20-kobi-premium?currency=PLN")</f>
        <v>https://b2b.kobi.pl/pl/product/9762,tasma-led-tramo-320-cob-5m-6500k-ip20-kobi-premium?currency=PLN</v>
      </c>
      <c r="Q672" s="31" t="str">
        <f>HYPERLINK("https://eprel.ec.europa.eu/qr/1818051")</f>
        <v>https://eprel.ec.europa.eu/qr/1818051</v>
      </c>
      <c r="R672"/>
      <c r="S672" t="s">
        <v>2711</v>
      </c>
      <c r="T672"/>
      <c r="U672">
        <v>0.08</v>
      </c>
      <c r="V672">
        <v>0.1</v>
      </c>
      <c r="W672">
        <v>23</v>
      </c>
      <c r="X672">
        <v>21</v>
      </c>
      <c r="Y672">
        <v>1</v>
      </c>
    </row>
    <row r="673" spans="1:25" ht="60" customHeight="1" x14ac:dyDescent="0.25">
      <c r="A673"/>
      <c r="B673" t="s">
        <v>3367</v>
      </c>
      <c r="C673" t="s">
        <v>3379</v>
      </c>
      <c r="D673" t="s">
        <v>671</v>
      </c>
      <c r="E673" t="s">
        <v>2742</v>
      </c>
      <c r="F673" t="s">
        <v>1484</v>
      </c>
      <c r="G673" t="s">
        <v>1485</v>
      </c>
      <c r="H673" s="30">
        <v>86.11</v>
      </c>
      <c r="I673" s="29">
        <f>H673*(1-IFERROR(VLOOKUP(G673,Rabat!$D$10:$E$41,2,FALSE),0))</f>
        <v>86.11</v>
      </c>
      <c r="J673" t="s">
        <v>1902</v>
      </c>
      <c r="K673" t="s">
        <v>458</v>
      </c>
      <c r="L673" t="s">
        <v>1901</v>
      </c>
      <c r="M673">
        <v>20</v>
      </c>
      <c r="N673">
        <v>800</v>
      </c>
      <c r="O673" t="s">
        <v>3434</v>
      </c>
      <c r="P673" s="31" t="str">
        <f>HYPERLINK("https://b2b.kobi.pl/pl/product/9783,tasma-led-play-set-5m-rgb-cct-ip20-kobi-design?currency=PLN")</f>
        <v>https://b2b.kobi.pl/pl/product/9783,tasma-led-play-set-5m-rgb-cct-ip20-kobi-design?currency=PLN</v>
      </c>
      <c r="Q673" t="s">
        <v>15</v>
      </c>
      <c r="R673"/>
      <c r="S673" t="s">
        <v>2711</v>
      </c>
      <c r="T673"/>
      <c r="U673">
        <v>0.19</v>
      </c>
      <c r="V673">
        <v>0.25</v>
      </c>
      <c r="W673">
        <v>13.4</v>
      </c>
      <c r="X673">
        <v>5.8</v>
      </c>
      <c r="Y673">
        <v>13.4</v>
      </c>
    </row>
    <row r="674" spans="1:25" ht="60" customHeight="1" x14ac:dyDescent="0.25">
      <c r="A674"/>
      <c r="B674" t="s">
        <v>3367</v>
      </c>
      <c r="C674" t="s">
        <v>3379</v>
      </c>
      <c r="D674" t="s">
        <v>671</v>
      </c>
      <c r="E674" t="s">
        <v>2743</v>
      </c>
      <c r="F674" t="s">
        <v>1486</v>
      </c>
      <c r="G674" t="s">
        <v>1485</v>
      </c>
      <c r="H674" s="30">
        <v>129.66999999999999</v>
      </c>
      <c r="I674" s="29">
        <f>H674*(1-IFERROR(VLOOKUP(G674,Rabat!$D$10:$E$41,2,FALSE),0))</f>
        <v>129.66999999999999</v>
      </c>
      <c r="J674" t="s">
        <v>1902</v>
      </c>
      <c r="K674" t="s">
        <v>455</v>
      </c>
      <c r="L674" t="s">
        <v>1901</v>
      </c>
      <c r="M674">
        <v>20</v>
      </c>
      <c r="N674"/>
      <c r="O674" t="s">
        <v>3434</v>
      </c>
      <c r="P674" s="31" t="str">
        <f>HYPERLINK("https://b2b.kobi.pl/pl/product/9784,tasma-led-play-set-10m-rgb-cct-ip20-kobi-design?currency=PLN")</f>
        <v>https://b2b.kobi.pl/pl/product/9784,tasma-led-play-set-10m-rgb-cct-ip20-kobi-design?currency=PLN</v>
      </c>
      <c r="Q674" t="s">
        <v>15</v>
      </c>
      <c r="R674"/>
      <c r="S674" t="s">
        <v>2711</v>
      </c>
      <c r="T674"/>
      <c r="U674">
        <v>0.22</v>
      </c>
      <c r="V674">
        <v>0.3</v>
      </c>
      <c r="W674">
        <v>13.4</v>
      </c>
      <c r="X674">
        <v>5.8</v>
      </c>
      <c r="Y674">
        <v>13.4</v>
      </c>
    </row>
    <row r="675" spans="1:25" ht="60" customHeight="1" x14ac:dyDescent="0.25">
      <c r="A675"/>
      <c r="B675" t="s">
        <v>3367</v>
      </c>
      <c r="C675" t="s">
        <v>3379</v>
      </c>
      <c r="D675" t="s">
        <v>671</v>
      </c>
      <c r="E675" t="s">
        <v>2744</v>
      </c>
      <c r="F675" t="s">
        <v>1487</v>
      </c>
      <c r="G675" t="s">
        <v>1485</v>
      </c>
      <c r="H675" s="30">
        <v>164</v>
      </c>
      <c r="I675" s="29">
        <f>H675*(1-IFERROR(VLOOKUP(G675,Rabat!$D$10:$E$41,2,FALSE),0))</f>
        <v>164</v>
      </c>
      <c r="J675" t="s">
        <v>1902</v>
      </c>
      <c r="K675" t="s">
        <v>456</v>
      </c>
      <c r="L675" t="s">
        <v>1901</v>
      </c>
      <c r="M675">
        <v>20</v>
      </c>
      <c r="N675"/>
      <c r="O675" t="s">
        <v>3434</v>
      </c>
      <c r="P675" s="31" t="str">
        <f>HYPERLINK("https://b2b.kobi.pl/pl/product/9785,tasma-led-play-set-15m-rgb-cct-ip20-kobi-design?currency=PLN")</f>
        <v>https://b2b.kobi.pl/pl/product/9785,tasma-led-play-set-15m-rgb-cct-ip20-kobi-design?currency=PLN</v>
      </c>
      <c r="Q675" t="s">
        <v>15</v>
      </c>
      <c r="R675"/>
      <c r="S675" t="s">
        <v>2711</v>
      </c>
      <c r="T675"/>
      <c r="U675">
        <v>0.28000000000000003</v>
      </c>
      <c r="V675">
        <v>0.35</v>
      </c>
      <c r="W675">
        <v>13.4</v>
      </c>
      <c r="X675">
        <v>7</v>
      </c>
      <c r="Y675">
        <v>13.4</v>
      </c>
    </row>
    <row r="676" spans="1:25" ht="60" customHeight="1" x14ac:dyDescent="0.25">
      <c r="A676"/>
      <c r="B676" t="s">
        <v>3367</v>
      </c>
      <c r="C676" t="s">
        <v>3379</v>
      </c>
      <c r="D676" t="s">
        <v>671</v>
      </c>
      <c r="E676" t="s">
        <v>2745</v>
      </c>
      <c r="F676" t="s">
        <v>1488</v>
      </c>
      <c r="G676" t="s">
        <v>1485</v>
      </c>
      <c r="H676" s="30">
        <v>197.78</v>
      </c>
      <c r="I676" s="29">
        <f>H676*(1-IFERROR(VLOOKUP(G676,Rabat!$D$10:$E$41,2,FALSE),0))</f>
        <v>197.78</v>
      </c>
      <c r="J676" t="s">
        <v>1902</v>
      </c>
      <c r="K676" t="s">
        <v>457</v>
      </c>
      <c r="L676" t="s">
        <v>1901</v>
      </c>
      <c r="M676">
        <v>20</v>
      </c>
      <c r="N676"/>
      <c r="O676" t="s">
        <v>3434</v>
      </c>
      <c r="P676" s="31" t="str">
        <f>HYPERLINK("https://b2b.kobi.pl/pl/product/9786,tasma-led-play-set-20m-rgb-cct-ip20-kobi-design?currency=PLN")</f>
        <v>https://b2b.kobi.pl/pl/product/9786,tasma-led-play-set-20m-rgb-cct-ip20-kobi-design?currency=PLN</v>
      </c>
      <c r="Q676" t="s">
        <v>15</v>
      </c>
      <c r="R676"/>
      <c r="S676" t="s">
        <v>2711</v>
      </c>
      <c r="T676"/>
      <c r="U676">
        <v>0.31</v>
      </c>
      <c r="V676">
        <v>0.4</v>
      </c>
      <c r="W676">
        <v>13.4</v>
      </c>
      <c r="X676">
        <v>7</v>
      </c>
      <c r="Y676">
        <v>13.4</v>
      </c>
    </row>
    <row r="677" spans="1:25" ht="60" customHeight="1" x14ac:dyDescent="0.25">
      <c r="A677"/>
      <c r="B677" t="s">
        <v>3367</v>
      </c>
      <c r="C677" t="s">
        <v>3379</v>
      </c>
      <c r="D677" t="s">
        <v>631</v>
      </c>
      <c r="E677" t="s">
        <v>2212</v>
      </c>
      <c r="F677" t="s">
        <v>2063</v>
      </c>
      <c r="G677" t="s">
        <v>1485</v>
      </c>
      <c r="H677" s="30">
        <v>562.5</v>
      </c>
      <c r="I677" s="29">
        <f>H677*(1-IFERROR(VLOOKUP(G677,Rabat!$D$10:$E$41,2,FALSE),0))</f>
        <v>562.5</v>
      </c>
      <c r="J677" t="s">
        <v>1903</v>
      </c>
      <c r="K677" t="s">
        <v>2105</v>
      </c>
      <c r="L677" t="s">
        <v>1901</v>
      </c>
      <c r="M677">
        <v>10</v>
      </c>
      <c r="N677">
        <v>320</v>
      </c>
      <c r="O677" t="s">
        <v>3435</v>
      </c>
      <c r="P677" s="31" t="str">
        <f>HYPERLINK("https://b2b.kobi.pl/pl/product/12260,tasma-led-tramo-320-cob-50m-3000k-kobi-premium?currency=PLN")</f>
        <v>https://b2b.kobi.pl/pl/product/12260,tasma-led-tramo-320-cob-50m-3000k-kobi-premium?currency=PLN</v>
      </c>
      <c r="Q677" s="31" t="str">
        <f>HYPERLINK("https://eprel.ec.europa.eu/qr/2235974")</f>
        <v>https://eprel.ec.europa.eu/qr/2235974</v>
      </c>
      <c r="R677"/>
      <c r="S677" t="s">
        <v>2711</v>
      </c>
      <c r="T677"/>
      <c r="U677">
        <v>0.8</v>
      </c>
      <c r="V677">
        <v>0.85</v>
      </c>
      <c r="W677">
        <v>47</v>
      </c>
      <c r="X677">
        <v>43</v>
      </c>
      <c r="Y677">
        <v>1.7</v>
      </c>
    </row>
    <row r="678" spans="1:25" ht="60" customHeight="1" x14ac:dyDescent="0.25">
      <c r="A678"/>
      <c r="B678" t="s">
        <v>3367</v>
      </c>
      <c r="C678" t="s">
        <v>3379</v>
      </c>
      <c r="D678" t="s">
        <v>631</v>
      </c>
      <c r="E678" t="s">
        <v>2213</v>
      </c>
      <c r="F678" t="s">
        <v>2064</v>
      </c>
      <c r="G678" t="s">
        <v>1485</v>
      </c>
      <c r="H678" s="30">
        <v>562.5</v>
      </c>
      <c r="I678" s="29">
        <f>H678*(1-IFERROR(VLOOKUP(G678,Rabat!$D$10:$E$41,2,FALSE),0))</f>
        <v>562.5</v>
      </c>
      <c r="J678" t="s">
        <v>1903</v>
      </c>
      <c r="K678" t="s">
        <v>2106</v>
      </c>
      <c r="L678" t="s">
        <v>1901</v>
      </c>
      <c r="M678">
        <v>10</v>
      </c>
      <c r="N678">
        <v>320</v>
      </c>
      <c r="O678" t="s">
        <v>3435</v>
      </c>
      <c r="P678" s="31" t="str">
        <f>HYPERLINK("https://b2b.kobi.pl/pl/product/12261,tasma-led-tramo-320-cob-50m-4000k-kobi-premium?currency=PLN")</f>
        <v>https://b2b.kobi.pl/pl/product/12261,tasma-led-tramo-320-cob-50m-4000k-kobi-premium?currency=PLN</v>
      </c>
      <c r="Q678" s="31" t="str">
        <f>HYPERLINK("https://eprel.ec.europa.eu/qr/2235983")</f>
        <v>https://eprel.ec.europa.eu/qr/2235983</v>
      </c>
      <c r="R678"/>
      <c r="S678" t="s">
        <v>2711</v>
      </c>
      <c r="T678"/>
      <c r="U678">
        <v>0.8</v>
      </c>
      <c r="V678">
        <v>0.85</v>
      </c>
      <c r="W678">
        <v>46</v>
      </c>
      <c r="X678">
        <v>42</v>
      </c>
      <c r="Y678">
        <v>1.7</v>
      </c>
    </row>
    <row r="679" spans="1:25" ht="60" customHeight="1" x14ac:dyDescent="0.25">
      <c r="A679"/>
      <c r="B679" t="s">
        <v>3367</v>
      </c>
      <c r="C679" t="s">
        <v>3379</v>
      </c>
      <c r="D679" t="s">
        <v>631</v>
      </c>
      <c r="E679" t="s">
        <v>2214</v>
      </c>
      <c r="F679" t="s">
        <v>2065</v>
      </c>
      <c r="G679" t="s">
        <v>1485</v>
      </c>
      <c r="H679" s="30">
        <v>562.5</v>
      </c>
      <c r="I679" s="29">
        <f>H679*(1-IFERROR(VLOOKUP(G679,Rabat!$D$10:$E$41,2,FALSE),0))</f>
        <v>562.5</v>
      </c>
      <c r="J679" t="s">
        <v>1903</v>
      </c>
      <c r="K679" t="s">
        <v>2107</v>
      </c>
      <c r="L679" t="s">
        <v>1901</v>
      </c>
      <c r="M679">
        <v>10</v>
      </c>
      <c r="N679">
        <v>320</v>
      </c>
      <c r="O679" t="s">
        <v>3435</v>
      </c>
      <c r="P679" s="31" t="str">
        <f>HYPERLINK("https://b2b.kobi.pl/pl/product/12262,tasma-led-tramo-320-cob-50m-6500k-kobi-premium?currency=PLN")</f>
        <v>https://b2b.kobi.pl/pl/product/12262,tasma-led-tramo-320-cob-50m-6500k-kobi-premium?currency=PLN</v>
      </c>
      <c r="Q679" s="31" t="str">
        <f>HYPERLINK("https://eprel.ec.europa.eu/qr/2235993")</f>
        <v>https://eprel.ec.europa.eu/qr/2235993</v>
      </c>
      <c r="R679"/>
      <c r="S679" t="s">
        <v>2711</v>
      </c>
      <c r="T679"/>
      <c r="U679">
        <v>0.8</v>
      </c>
      <c r="V679">
        <v>0.85</v>
      </c>
      <c r="W679">
        <v>46</v>
      </c>
      <c r="X679">
        <v>42</v>
      </c>
      <c r="Y679">
        <v>1.7</v>
      </c>
    </row>
    <row r="680" spans="1:25" ht="60" customHeight="1" x14ac:dyDescent="0.25">
      <c r="A680"/>
      <c r="B680" t="s">
        <v>3367</v>
      </c>
      <c r="C680" t="s">
        <v>6</v>
      </c>
      <c r="D680" t="s">
        <v>643</v>
      </c>
      <c r="E680" t="s">
        <v>2298</v>
      </c>
      <c r="F680" t="s">
        <v>2299</v>
      </c>
      <c r="G680" t="s">
        <v>1485</v>
      </c>
      <c r="H680" s="30">
        <v>49.75</v>
      </c>
      <c r="I680" s="29">
        <f>H680*(1-IFERROR(VLOOKUP(G680,Rabat!$D$10:$E$41,2,FALSE),0))</f>
        <v>49.75</v>
      </c>
      <c r="J680" t="s">
        <v>1902</v>
      </c>
      <c r="K680" t="s">
        <v>2342</v>
      </c>
      <c r="L680" t="s">
        <v>1901</v>
      </c>
      <c r="M680">
        <v>50</v>
      </c>
      <c r="N680">
        <v>2400</v>
      </c>
      <c r="O680" t="s">
        <v>3435</v>
      </c>
      <c r="P680" s="31" t="str">
        <f>HYPERLINK("https://b2b.kobi.pl/pl/product/12560,zestaw-tramo-control-do-tasm-cob-12-24v-kobi-premium?currency=PLN")</f>
        <v>https://b2b.kobi.pl/pl/product/12560,zestaw-tramo-control-do-tasm-cob-12-24v-kobi-premium?currency=PLN</v>
      </c>
      <c r="Q680" t="s">
        <v>15</v>
      </c>
      <c r="R680"/>
      <c r="S680" t="s">
        <v>2718</v>
      </c>
      <c r="T680"/>
      <c r="U680">
        <v>7.0000000000000007E-2</v>
      </c>
      <c r="V680">
        <v>0.9</v>
      </c>
      <c r="W680">
        <v>19.399999999999999</v>
      </c>
      <c r="X680">
        <v>12.9</v>
      </c>
      <c r="Y680">
        <v>1</v>
      </c>
    </row>
    <row r="681" spans="1:25" ht="60" customHeight="1" x14ac:dyDescent="0.25">
      <c r="A681"/>
      <c r="B681" t="s">
        <v>3367</v>
      </c>
      <c r="C681" t="s">
        <v>3379</v>
      </c>
      <c r="D681" t="s">
        <v>631</v>
      </c>
      <c r="E681" t="s">
        <v>3180</v>
      </c>
      <c r="F681" t="s">
        <v>3181</v>
      </c>
      <c r="G681" t="s">
        <v>1485</v>
      </c>
      <c r="H681" s="30">
        <v>562.5</v>
      </c>
      <c r="I681" s="29">
        <f>H681*(1-IFERROR(VLOOKUP(G681,Rabat!$D$10:$E$41,2,FALSE),0))</f>
        <v>562.5</v>
      </c>
      <c r="J681" t="s">
        <v>1903</v>
      </c>
      <c r="K681" t="s">
        <v>3218</v>
      </c>
      <c r="L681" t="s">
        <v>1901</v>
      </c>
      <c r="M681">
        <v>10</v>
      </c>
      <c r="N681"/>
      <c r="O681" t="s">
        <v>3435</v>
      </c>
      <c r="P681" s="31" t="str">
        <f>HYPERLINK("https://b2b.kobi.pl/pl/product/13063,tasma-led-tramo-320-cob-50m-3000k-12v-ip20-kobi-premium?currency=PLN")</f>
        <v>https://b2b.kobi.pl/pl/product/13063,tasma-led-tramo-320-cob-50m-3000k-12v-ip20-kobi-premium?currency=PLN</v>
      </c>
      <c r="Q681" s="31" t="str">
        <f>HYPERLINK("https://eprel.ec.europa.eu/qr/2477287")</f>
        <v>https://eprel.ec.europa.eu/qr/2477287</v>
      </c>
      <c r="R681"/>
      <c r="S681" t="s">
        <v>2711</v>
      </c>
      <c r="T681"/>
      <c r="U681">
        <v>0.8</v>
      </c>
      <c r="V681">
        <v>0.85</v>
      </c>
      <c r="W681">
        <v>46</v>
      </c>
      <c r="X681">
        <v>42</v>
      </c>
      <c r="Y681">
        <v>1.5</v>
      </c>
    </row>
    <row r="682" spans="1:25" ht="60" customHeight="1" x14ac:dyDescent="0.25">
      <c r="A682"/>
      <c r="B682" t="s">
        <v>3367</v>
      </c>
      <c r="C682" t="s">
        <v>3379</v>
      </c>
      <c r="D682" t="s">
        <v>631</v>
      </c>
      <c r="E682" t="s">
        <v>3182</v>
      </c>
      <c r="F682" t="s">
        <v>3183</v>
      </c>
      <c r="G682" t="s">
        <v>1485</v>
      </c>
      <c r="H682" s="30">
        <v>562.5</v>
      </c>
      <c r="I682" s="29">
        <f>H682*(1-IFERROR(VLOOKUP(G682,Rabat!$D$10:$E$41,2,FALSE),0))</f>
        <v>562.5</v>
      </c>
      <c r="J682" t="s">
        <v>1903</v>
      </c>
      <c r="K682" t="s">
        <v>3219</v>
      </c>
      <c r="L682" t="s">
        <v>1901</v>
      </c>
      <c r="M682">
        <v>10</v>
      </c>
      <c r="N682"/>
      <c r="O682" t="s">
        <v>3435</v>
      </c>
      <c r="P682" s="31" t="str">
        <f>HYPERLINK("https://b2b.kobi.pl/pl/product/13066,tasma-led-tramo-320-cob-50m-4000k-12v-ip20-kobi-premium?currency=PLN")</f>
        <v>https://b2b.kobi.pl/pl/product/13066,tasma-led-tramo-320-cob-50m-4000k-12v-ip20-kobi-premium?currency=PLN</v>
      </c>
      <c r="Q682" s="31" t="str">
        <f>HYPERLINK("https://eprel.ec.europa.eu/qr/2477304")</f>
        <v>https://eprel.ec.europa.eu/qr/2477304</v>
      </c>
      <c r="R682"/>
      <c r="S682" t="s">
        <v>2711</v>
      </c>
      <c r="T682"/>
      <c r="U682">
        <v>0.8</v>
      </c>
      <c r="V682">
        <v>0.85</v>
      </c>
      <c r="W682">
        <v>47</v>
      </c>
      <c r="X682">
        <v>43</v>
      </c>
      <c r="Y682">
        <v>1.7</v>
      </c>
    </row>
    <row r="683" spans="1:25" ht="60" customHeight="1" x14ac:dyDescent="0.25">
      <c r="A683"/>
      <c r="B683" t="s">
        <v>3367</v>
      </c>
      <c r="C683" t="s">
        <v>3379</v>
      </c>
      <c r="D683" t="s">
        <v>631</v>
      </c>
      <c r="E683" t="s">
        <v>3184</v>
      </c>
      <c r="F683" t="s">
        <v>3185</v>
      </c>
      <c r="G683" t="s">
        <v>1485</v>
      </c>
      <c r="H683" s="30">
        <v>562.5</v>
      </c>
      <c r="I683" s="29">
        <f>H683*(1-IFERROR(VLOOKUP(G683,Rabat!$D$10:$E$41,2,FALSE),0))</f>
        <v>562.5</v>
      </c>
      <c r="J683" t="s">
        <v>1903</v>
      </c>
      <c r="K683" t="s">
        <v>3220</v>
      </c>
      <c r="L683" t="s">
        <v>1901</v>
      </c>
      <c r="M683">
        <v>10</v>
      </c>
      <c r="N683"/>
      <c r="O683" t="s">
        <v>3435</v>
      </c>
      <c r="P683" s="31" t="str">
        <f>HYPERLINK("https://b2b.kobi.pl/pl/product/13067,tasma-led-tramo-320-cob-50m-6500k-12v-ip20-kobi-premium?currency=PLN")</f>
        <v>https://b2b.kobi.pl/pl/product/13067,tasma-led-tramo-320-cob-50m-6500k-12v-ip20-kobi-premium?currency=PLN</v>
      </c>
      <c r="Q683" s="31" t="str">
        <f>HYPERLINK("https://eprel.ec.europa.eu/qr/2477410")</f>
        <v>https://eprel.ec.europa.eu/qr/2477410</v>
      </c>
      <c r="R683"/>
      <c r="S683" t="s">
        <v>2711</v>
      </c>
      <c r="T683"/>
      <c r="U683">
        <v>0.8</v>
      </c>
      <c r="V683">
        <v>0.85</v>
      </c>
      <c r="W683">
        <v>47</v>
      </c>
      <c r="X683">
        <v>43</v>
      </c>
      <c r="Y683">
        <v>1.7</v>
      </c>
    </row>
    <row r="684" spans="1:25" ht="60" customHeight="1" x14ac:dyDescent="0.25">
      <c r="A684"/>
      <c r="B684" t="s">
        <v>3367</v>
      </c>
      <c r="C684" t="s">
        <v>3379</v>
      </c>
      <c r="D684" t="s">
        <v>631</v>
      </c>
      <c r="E684" t="s">
        <v>3186</v>
      </c>
      <c r="F684" t="s">
        <v>3187</v>
      </c>
      <c r="G684" t="s">
        <v>1485</v>
      </c>
      <c r="H684" s="30">
        <v>57.56</v>
      </c>
      <c r="I684" s="29">
        <f>H684*(1-IFERROR(VLOOKUP(G684,Rabat!$D$10:$E$41,2,FALSE),0))</f>
        <v>57.56</v>
      </c>
      <c r="J684" t="s">
        <v>1903</v>
      </c>
      <c r="K684" t="s">
        <v>3221</v>
      </c>
      <c r="L684" t="s">
        <v>1901</v>
      </c>
      <c r="M684">
        <v>50</v>
      </c>
      <c r="N684"/>
      <c r="O684" t="s">
        <v>3435</v>
      </c>
      <c r="P684" s="31" t="str">
        <f>HYPERLINK("https://b2b.kobi.pl/pl/product/13068,tasma-led-tramo-320-cob-5m-3000k-24v-ip20-kobi-premium?currency=PLN")</f>
        <v>https://b2b.kobi.pl/pl/product/13068,tasma-led-tramo-320-cob-5m-3000k-24v-ip20-kobi-premium?currency=PLN</v>
      </c>
      <c r="Q684" s="31" t="str">
        <f>HYPERLINK("https://eprel.ec.europa.eu/qr/2476152")</f>
        <v>https://eprel.ec.europa.eu/qr/2476152</v>
      </c>
      <c r="R684"/>
      <c r="S684" t="s">
        <v>2711</v>
      </c>
      <c r="T684"/>
      <c r="U684">
        <v>0.1</v>
      </c>
      <c r="V684">
        <v>0.2</v>
      </c>
      <c r="W684">
        <v>22</v>
      </c>
      <c r="X684">
        <v>28</v>
      </c>
      <c r="Y684">
        <v>1</v>
      </c>
    </row>
    <row r="685" spans="1:25" ht="60" customHeight="1" x14ac:dyDescent="0.25">
      <c r="A685"/>
      <c r="B685" t="s">
        <v>3367</v>
      </c>
      <c r="C685" t="s">
        <v>3379</v>
      </c>
      <c r="D685" t="s">
        <v>631</v>
      </c>
      <c r="E685" t="s">
        <v>3188</v>
      </c>
      <c r="F685" t="s">
        <v>3189</v>
      </c>
      <c r="G685" t="s">
        <v>1485</v>
      </c>
      <c r="H685" s="30">
        <v>82</v>
      </c>
      <c r="I685" s="29">
        <f>H685*(1-IFERROR(VLOOKUP(G685,Rabat!$D$10:$E$41,2,FALSE),0))</f>
        <v>82</v>
      </c>
      <c r="J685" t="s">
        <v>1903</v>
      </c>
      <c r="K685" t="s">
        <v>3222</v>
      </c>
      <c r="L685" t="s">
        <v>1901</v>
      </c>
      <c r="M685">
        <v>50</v>
      </c>
      <c r="N685"/>
      <c r="O685" t="s">
        <v>3435</v>
      </c>
      <c r="P685" s="31" t="str">
        <f>HYPERLINK("https://b2b.kobi.pl/pl/product/13069,tasma-led-tramo-320-cob-5m-3000k-24v-ip65-kobi-premium?currency=PLN")</f>
        <v>https://b2b.kobi.pl/pl/product/13069,tasma-led-tramo-320-cob-5m-3000k-24v-ip65-kobi-premium?currency=PLN</v>
      </c>
      <c r="Q685" s="31" t="str">
        <f>HYPERLINK("https://eprel.ec.europa.eu/qr/2476535")</f>
        <v>https://eprel.ec.europa.eu/qr/2476535</v>
      </c>
      <c r="R685"/>
      <c r="S685" t="s">
        <v>2711</v>
      </c>
      <c r="T685"/>
      <c r="U685">
        <v>0.1</v>
      </c>
      <c r="V685">
        <v>0.2</v>
      </c>
      <c r="W685">
        <v>22</v>
      </c>
      <c r="X685">
        <v>28</v>
      </c>
      <c r="Y685">
        <v>1</v>
      </c>
    </row>
    <row r="686" spans="1:25" ht="60" customHeight="1" x14ac:dyDescent="0.25">
      <c r="A686"/>
      <c r="B686" t="s">
        <v>3367</v>
      </c>
      <c r="C686" t="s">
        <v>3379</v>
      </c>
      <c r="D686" t="s">
        <v>631</v>
      </c>
      <c r="E686" t="s">
        <v>3190</v>
      </c>
      <c r="F686" t="s">
        <v>3191</v>
      </c>
      <c r="G686" t="s">
        <v>1485</v>
      </c>
      <c r="H686" s="30">
        <v>57.56</v>
      </c>
      <c r="I686" s="29">
        <f>H686*(1-IFERROR(VLOOKUP(G686,Rabat!$D$10:$E$41,2,FALSE),0))</f>
        <v>57.56</v>
      </c>
      <c r="J686" t="s">
        <v>1903</v>
      </c>
      <c r="K686" t="s">
        <v>3223</v>
      </c>
      <c r="L686" t="s">
        <v>1901</v>
      </c>
      <c r="M686">
        <v>50</v>
      </c>
      <c r="N686"/>
      <c r="O686" t="s">
        <v>3435</v>
      </c>
      <c r="P686" s="31" t="str">
        <f>HYPERLINK("https://b2b.kobi.pl/pl/product/13070,tasma-led-tramo-320-cob-5m-4000k-24v-ip20-kobi-premium?currency=PLN")</f>
        <v>https://b2b.kobi.pl/pl/product/13070,tasma-led-tramo-320-cob-5m-4000k-24v-ip20-kobi-premium?currency=PLN</v>
      </c>
      <c r="Q686" s="31" t="str">
        <f>HYPERLINK("https://eprel.ec.europa.eu/qr/2476198")</f>
        <v>https://eprel.ec.europa.eu/qr/2476198</v>
      </c>
      <c r="R686"/>
      <c r="S686" t="s">
        <v>2711</v>
      </c>
      <c r="T686"/>
      <c r="U686">
        <v>0.1</v>
      </c>
      <c r="V686">
        <v>0.2</v>
      </c>
      <c r="W686">
        <v>22</v>
      </c>
      <c r="X686">
        <v>28</v>
      </c>
      <c r="Y686">
        <v>1</v>
      </c>
    </row>
    <row r="687" spans="1:25" ht="60" customHeight="1" x14ac:dyDescent="0.25">
      <c r="A687"/>
      <c r="B687" t="s">
        <v>3367</v>
      </c>
      <c r="C687" t="s">
        <v>3379</v>
      </c>
      <c r="D687" t="s">
        <v>631</v>
      </c>
      <c r="E687" t="s">
        <v>3192</v>
      </c>
      <c r="F687" t="s">
        <v>3193</v>
      </c>
      <c r="G687" t="s">
        <v>1485</v>
      </c>
      <c r="H687" s="30">
        <v>82</v>
      </c>
      <c r="I687" s="29">
        <f>H687*(1-IFERROR(VLOOKUP(G687,Rabat!$D$10:$E$41,2,FALSE),0))</f>
        <v>82</v>
      </c>
      <c r="J687" t="s">
        <v>1903</v>
      </c>
      <c r="K687" t="s">
        <v>3224</v>
      </c>
      <c r="L687" t="s">
        <v>1901</v>
      </c>
      <c r="M687">
        <v>50</v>
      </c>
      <c r="N687"/>
      <c r="O687" t="s">
        <v>3435</v>
      </c>
      <c r="P687" s="31" t="str">
        <f>HYPERLINK("https://b2b.kobi.pl/pl/product/13071,tasma-led-tramo-320-cob-5m-4000k-24v-ip65-kobi-premium?currency=PLN")</f>
        <v>https://b2b.kobi.pl/pl/product/13071,tasma-led-tramo-320-cob-5m-4000k-24v-ip65-kobi-premium?currency=PLN</v>
      </c>
      <c r="Q687" s="31" t="str">
        <f>HYPERLINK("https://eprel.ec.europa.eu/qr/2476515")</f>
        <v>https://eprel.ec.europa.eu/qr/2476515</v>
      </c>
      <c r="R687"/>
      <c r="S687" t="s">
        <v>2711</v>
      </c>
      <c r="T687"/>
      <c r="U687">
        <v>0.1</v>
      </c>
      <c r="V687">
        <v>0.2</v>
      </c>
      <c r="W687">
        <v>22</v>
      </c>
      <c r="X687">
        <v>28</v>
      </c>
      <c r="Y687">
        <v>1</v>
      </c>
    </row>
    <row r="688" spans="1:25" ht="60" customHeight="1" x14ac:dyDescent="0.25">
      <c r="A688"/>
      <c r="B688" t="s">
        <v>3367</v>
      </c>
      <c r="C688" t="s">
        <v>3379</v>
      </c>
      <c r="D688" t="s">
        <v>631</v>
      </c>
      <c r="E688" t="s">
        <v>3194</v>
      </c>
      <c r="F688" t="s">
        <v>3195</v>
      </c>
      <c r="G688" t="s">
        <v>1485</v>
      </c>
      <c r="H688" s="30">
        <v>57.56</v>
      </c>
      <c r="I688" s="29">
        <f>H688*(1-IFERROR(VLOOKUP(G688,Rabat!$D$10:$E$41,2,FALSE),0))</f>
        <v>57.56</v>
      </c>
      <c r="J688" t="s">
        <v>1903</v>
      </c>
      <c r="K688" t="s">
        <v>3225</v>
      </c>
      <c r="L688" t="s">
        <v>1901</v>
      </c>
      <c r="M688">
        <v>50</v>
      </c>
      <c r="N688"/>
      <c r="O688" t="s">
        <v>3435</v>
      </c>
      <c r="P688" s="31" t="str">
        <f>HYPERLINK("https://b2b.kobi.pl/pl/product/13072,tasma-led-tramo-320-cob-5m-6500k-24v-ip20-kobi-premium?currency=PLN")</f>
        <v>https://b2b.kobi.pl/pl/product/13072,tasma-led-tramo-320-cob-5m-6500k-24v-ip20-kobi-premium?currency=PLN</v>
      </c>
      <c r="Q688" s="31" t="str">
        <f>HYPERLINK("https://eprel.ec.europa.eu/qr/2476365")</f>
        <v>https://eprel.ec.europa.eu/qr/2476365</v>
      </c>
      <c r="R688"/>
      <c r="S688" t="s">
        <v>2711</v>
      </c>
      <c r="T688"/>
      <c r="U688">
        <v>0.1</v>
      </c>
      <c r="V688">
        <v>0.2</v>
      </c>
      <c r="W688">
        <v>22</v>
      </c>
      <c r="X688">
        <v>28</v>
      </c>
      <c r="Y688">
        <v>1</v>
      </c>
    </row>
    <row r="689" spans="1:25" ht="60" customHeight="1" x14ac:dyDescent="0.25">
      <c r="A689"/>
      <c r="B689" t="s">
        <v>3367</v>
      </c>
      <c r="C689" t="s">
        <v>3379</v>
      </c>
      <c r="D689" t="s">
        <v>631</v>
      </c>
      <c r="E689" t="s">
        <v>3196</v>
      </c>
      <c r="F689" t="s">
        <v>3197</v>
      </c>
      <c r="G689" t="s">
        <v>1485</v>
      </c>
      <c r="H689" s="30">
        <v>82</v>
      </c>
      <c r="I689" s="29">
        <f>H689*(1-IFERROR(VLOOKUP(G689,Rabat!$D$10:$E$41,2,FALSE),0))</f>
        <v>82</v>
      </c>
      <c r="J689" t="s">
        <v>1903</v>
      </c>
      <c r="K689" t="s">
        <v>3226</v>
      </c>
      <c r="L689" t="s">
        <v>1901</v>
      </c>
      <c r="M689">
        <v>50</v>
      </c>
      <c r="N689"/>
      <c r="O689" t="s">
        <v>3435</v>
      </c>
      <c r="P689" s="31" t="str">
        <f>HYPERLINK("https://b2b.kobi.pl/pl/product/13073,tasma-led-tramo-320-cob-5m-6500k-24v-ip65-kobi-premium?currency=PLN")</f>
        <v>https://b2b.kobi.pl/pl/product/13073,tasma-led-tramo-320-cob-5m-6500k-24v-ip65-kobi-premium?currency=PLN</v>
      </c>
      <c r="Q689" s="31" t="str">
        <f>HYPERLINK("https://eprel.ec.europa.eu/qr/2476535")</f>
        <v>https://eprel.ec.europa.eu/qr/2476535</v>
      </c>
      <c r="R689"/>
      <c r="S689" t="s">
        <v>2711</v>
      </c>
      <c r="T689"/>
      <c r="U689">
        <v>0.1</v>
      </c>
      <c r="V689">
        <v>0.2</v>
      </c>
      <c r="W689">
        <v>22</v>
      </c>
      <c r="X689">
        <v>28</v>
      </c>
      <c r="Y689">
        <v>1</v>
      </c>
    </row>
    <row r="690" spans="1:25" ht="60" customHeight="1" x14ac:dyDescent="0.25">
      <c r="A690"/>
      <c r="B690" t="s">
        <v>3367</v>
      </c>
      <c r="C690" t="s">
        <v>6</v>
      </c>
      <c r="D690" t="s">
        <v>643</v>
      </c>
      <c r="E690" t="s">
        <v>3198</v>
      </c>
      <c r="F690" t="s">
        <v>3199</v>
      </c>
      <c r="G690" t="s">
        <v>645</v>
      </c>
      <c r="H690" s="30">
        <v>4.4800000000000004</v>
      </c>
      <c r="I690" s="29">
        <f>H690*(1-IFERROR(VLOOKUP(G690,Rabat!$D$10:$E$41,2,FALSE),0))</f>
        <v>4.4800000000000004</v>
      </c>
      <c r="J690" t="s">
        <v>1902</v>
      </c>
      <c r="K690" t="s">
        <v>3227</v>
      </c>
      <c r="L690" t="s">
        <v>1901</v>
      </c>
      <c r="M690">
        <v>10</v>
      </c>
      <c r="N690"/>
      <c r="O690" t="s">
        <v>3434</v>
      </c>
      <c r="P690" s="31" t="str">
        <f>HYPERLINK("https://b2b.kobi.pl/pl/product/13062,lacznik-9w1-tasmy-led-cob-8mm-kobi?currency=PLN")</f>
        <v>https://b2b.kobi.pl/pl/product/13062,lacznik-9w1-tasmy-led-cob-8mm-kobi?currency=PLN</v>
      </c>
      <c r="Q690" t="s">
        <v>15</v>
      </c>
      <c r="R690"/>
      <c r="S690" t="s">
        <v>2674</v>
      </c>
      <c r="T690"/>
      <c r="U690">
        <v>8.9999999999999998E-4</v>
      </c>
      <c r="V690">
        <v>1E-3</v>
      </c>
      <c r="W690">
        <v>8</v>
      </c>
      <c r="X690">
        <v>12</v>
      </c>
      <c r="Y690">
        <v>0</v>
      </c>
    </row>
    <row r="691" spans="1:25" ht="60" customHeight="1" x14ac:dyDescent="0.25">
      <c r="A691"/>
      <c r="B691" t="s">
        <v>646</v>
      </c>
      <c r="C691" t="s">
        <v>20</v>
      </c>
      <c r="D691" t="s">
        <v>671</v>
      </c>
      <c r="E691" t="s">
        <v>846</v>
      </c>
      <c r="F691" t="s">
        <v>847</v>
      </c>
      <c r="G691" t="s">
        <v>645</v>
      </c>
      <c r="H691" s="30">
        <v>66.44</v>
      </c>
      <c r="I691" s="29">
        <f>H691*(1-IFERROR(VLOOKUP(G691,Rabat!$D$10:$E$41,2,FALSE),0))</f>
        <v>66.44</v>
      </c>
      <c r="J691" t="s">
        <v>1902</v>
      </c>
      <c r="K691" t="s">
        <v>460</v>
      </c>
      <c r="L691" t="s">
        <v>1901</v>
      </c>
      <c r="M691">
        <v>20</v>
      </c>
      <c r="N691">
        <v>700</v>
      </c>
      <c r="O691" t="s">
        <v>3434</v>
      </c>
      <c r="P691" s="31" t="str">
        <f>HYPERLINK("https://b2b.kobi.pl/pl/product/9787,przedluzacz-connecto-4gn-usb-1-5m-zu-w-1-5mm-czarny-kobi-design?currency=PLN")</f>
        <v>https://b2b.kobi.pl/pl/product/9787,przedluzacz-connecto-4gn-usb-1-5m-zu-w-1-5mm-czarny-kobi-design?currency=PLN</v>
      </c>
      <c r="Q691" t="s">
        <v>15</v>
      </c>
      <c r="R691"/>
      <c r="S691" t="s">
        <v>2719</v>
      </c>
      <c r="T691"/>
      <c r="U691">
        <v>0.39</v>
      </c>
      <c r="V691">
        <v>0.41</v>
      </c>
      <c r="W691">
        <v>42</v>
      </c>
      <c r="X691">
        <v>4</v>
      </c>
      <c r="Y691">
        <v>16</v>
      </c>
    </row>
    <row r="692" spans="1:25" ht="60" customHeight="1" x14ac:dyDescent="0.25">
      <c r="A692"/>
      <c r="B692" t="s">
        <v>646</v>
      </c>
      <c r="C692" t="s">
        <v>20</v>
      </c>
      <c r="D692" t="s">
        <v>671</v>
      </c>
      <c r="E692" t="s">
        <v>848</v>
      </c>
      <c r="F692" t="s">
        <v>849</v>
      </c>
      <c r="G692" t="s">
        <v>645</v>
      </c>
      <c r="H692" s="30">
        <v>66.44</v>
      </c>
      <c r="I692" s="29">
        <f>H692*(1-IFERROR(VLOOKUP(G692,Rabat!$D$10:$E$41,2,FALSE),0))</f>
        <v>66.44</v>
      </c>
      <c r="J692" t="s">
        <v>1902</v>
      </c>
      <c r="K692" t="s">
        <v>461</v>
      </c>
      <c r="L692" t="s">
        <v>1901</v>
      </c>
      <c r="M692">
        <v>20</v>
      </c>
      <c r="N692">
        <v>700</v>
      </c>
      <c r="O692" t="s">
        <v>3434</v>
      </c>
      <c r="P692" s="31" t="str">
        <f>HYPERLINK("https://b2b.kobi.pl/pl/product/9788,przedluzacz-connecto-4gn-usb-1-5m-zu-w-1-5mm-bialy-kobi-design?currency=PLN")</f>
        <v>https://b2b.kobi.pl/pl/product/9788,przedluzacz-connecto-4gn-usb-1-5m-zu-w-1-5mm-bialy-kobi-design?currency=PLN</v>
      </c>
      <c r="Q692" t="s">
        <v>15</v>
      </c>
      <c r="R692"/>
      <c r="S692" t="s">
        <v>2719</v>
      </c>
      <c r="T692"/>
      <c r="U692">
        <v>0.39</v>
      </c>
      <c r="V692">
        <v>0.41</v>
      </c>
      <c r="W692">
        <v>42</v>
      </c>
      <c r="X692">
        <v>4</v>
      </c>
      <c r="Y692">
        <v>16</v>
      </c>
    </row>
    <row r="693" spans="1:25" ht="60" customHeight="1" x14ac:dyDescent="0.25">
      <c r="A693"/>
      <c r="B693" t="s">
        <v>646</v>
      </c>
      <c r="C693" t="s">
        <v>20</v>
      </c>
      <c r="D693" t="s">
        <v>671</v>
      </c>
      <c r="E693" t="s">
        <v>852</v>
      </c>
      <c r="F693" t="s">
        <v>853</v>
      </c>
      <c r="G693" t="s">
        <v>645</v>
      </c>
      <c r="H693" s="30">
        <v>84.22</v>
      </c>
      <c r="I693" s="29">
        <f>H693*(1-IFERROR(VLOOKUP(G693,Rabat!$D$10:$E$41,2,FALSE),0))</f>
        <v>84.22</v>
      </c>
      <c r="J693" t="s">
        <v>1902</v>
      </c>
      <c r="K693" t="s">
        <v>462</v>
      </c>
      <c r="L693" t="s">
        <v>1901</v>
      </c>
      <c r="M693">
        <v>20</v>
      </c>
      <c r="N693">
        <v>700</v>
      </c>
      <c r="O693" t="s">
        <v>3434</v>
      </c>
      <c r="P693" s="31" t="str">
        <f>HYPERLINK("https://b2b.kobi.pl/pl/product/9789,przedluzacz-connecto-4gn-usb-3m-zu-w-1-5mm-czarny-kobi-design?currency=PLN")</f>
        <v>https://b2b.kobi.pl/pl/product/9789,przedluzacz-connecto-4gn-usb-3m-zu-w-1-5mm-czarny-kobi-design?currency=PLN</v>
      </c>
      <c r="Q693" t="s">
        <v>15</v>
      </c>
      <c r="R693"/>
      <c r="S693" t="s">
        <v>2719</v>
      </c>
      <c r="T693"/>
      <c r="U693">
        <v>0.55000000000000004</v>
      </c>
      <c r="V693">
        <v>0.56999999999999995</v>
      </c>
      <c r="W693">
        <v>42</v>
      </c>
      <c r="X693">
        <v>4</v>
      </c>
      <c r="Y693">
        <v>16</v>
      </c>
    </row>
    <row r="694" spans="1:25" ht="60" customHeight="1" x14ac:dyDescent="0.25">
      <c r="A694"/>
      <c r="B694" t="s">
        <v>646</v>
      </c>
      <c r="C694" t="s">
        <v>20</v>
      </c>
      <c r="D694" t="s">
        <v>671</v>
      </c>
      <c r="E694" t="s">
        <v>856</v>
      </c>
      <c r="F694" t="s">
        <v>857</v>
      </c>
      <c r="G694" t="s">
        <v>645</v>
      </c>
      <c r="H694" s="30">
        <v>84.22</v>
      </c>
      <c r="I694" s="29">
        <f>H694*(1-IFERROR(VLOOKUP(G694,Rabat!$D$10:$E$41,2,FALSE),0))</f>
        <v>84.22</v>
      </c>
      <c r="J694" t="s">
        <v>1902</v>
      </c>
      <c r="K694" t="s">
        <v>463</v>
      </c>
      <c r="L694" t="s">
        <v>1901</v>
      </c>
      <c r="M694">
        <v>20</v>
      </c>
      <c r="N694">
        <v>700</v>
      </c>
      <c r="O694" t="s">
        <v>3434</v>
      </c>
      <c r="P694" s="31" t="str">
        <f>HYPERLINK("https://b2b.kobi.pl/pl/product/9790,przedluzacz-connecto-4gn-usb-3m-zu-w-1-5mm-bialy-kobi-design?currency=PLN")</f>
        <v>https://b2b.kobi.pl/pl/product/9790,przedluzacz-connecto-4gn-usb-3m-zu-w-1-5mm-bialy-kobi-design?currency=PLN</v>
      </c>
      <c r="Q694" t="s">
        <v>15</v>
      </c>
      <c r="R694"/>
      <c r="S694" t="s">
        <v>2719</v>
      </c>
      <c r="T694"/>
      <c r="U694">
        <v>0.55000000000000004</v>
      </c>
      <c r="V694">
        <v>0.56999999999999995</v>
      </c>
      <c r="W694">
        <v>42</v>
      </c>
      <c r="X694">
        <v>4</v>
      </c>
      <c r="Y694">
        <v>16</v>
      </c>
    </row>
    <row r="695" spans="1:25" ht="60" customHeight="1" x14ac:dyDescent="0.25">
      <c r="A695"/>
      <c r="B695" t="s">
        <v>646</v>
      </c>
      <c r="C695" t="s">
        <v>20</v>
      </c>
      <c r="D695" t="s">
        <v>671</v>
      </c>
      <c r="E695" t="s">
        <v>860</v>
      </c>
      <c r="F695" t="s">
        <v>861</v>
      </c>
      <c r="G695" t="s">
        <v>645</v>
      </c>
      <c r="H695" s="30">
        <v>108.89</v>
      </c>
      <c r="I695" s="29">
        <f>H695*(1-IFERROR(VLOOKUP(G695,Rabat!$D$10:$E$41,2,FALSE),0))</f>
        <v>108.89</v>
      </c>
      <c r="J695" t="s">
        <v>1902</v>
      </c>
      <c r="K695" t="s">
        <v>464</v>
      </c>
      <c r="L695" t="s">
        <v>1901</v>
      </c>
      <c r="M695">
        <v>20</v>
      </c>
      <c r="N695">
        <v>700</v>
      </c>
      <c r="O695" t="s">
        <v>3434</v>
      </c>
      <c r="P695" s="31" t="str">
        <f>HYPERLINK("https://b2b.kobi.pl/pl/product/9791,przedluzacz-connecto-4gn-usb-5m-zu-w-1-5mm-czarny-kobi-design?currency=PLN")</f>
        <v>https://b2b.kobi.pl/pl/product/9791,przedluzacz-connecto-4gn-usb-5m-zu-w-1-5mm-czarny-kobi-design?currency=PLN</v>
      </c>
      <c r="Q695" t="s">
        <v>15</v>
      </c>
      <c r="R695"/>
      <c r="S695" t="s">
        <v>2719</v>
      </c>
      <c r="T695"/>
      <c r="U695">
        <v>0.76</v>
      </c>
      <c r="V695">
        <v>0.79</v>
      </c>
      <c r="W695">
        <v>42</v>
      </c>
      <c r="X695">
        <v>4</v>
      </c>
      <c r="Y695">
        <v>16</v>
      </c>
    </row>
    <row r="696" spans="1:25" ht="60" customHeight="1" x14ac:dyDescent="0.25">
      <c r="A696"/>
      <c r="B696" t="s">
        <v>646</v>
      </c>
      <c r="C696" t="s">
        <v>20</v>
      </c>
      <c r="D696" t="s">
        <v>671</v>
      </c>
      <c r="E696" t="s">
        <v>864</v>
      </c>
      <c r="F696" t="s">
        <v>865</v>
      </c>
      <c r="G696" t="s">
        <v>645</v>
      </c>
      <c r="H696" s="30">
        <v>108.89</v>
      </c>
      <c r="I696" s="29">
        <f>H696*(1-IFERROR(VLOOKUP(G696,Rabat!$D$10:$E$41,2,FALSE),0))</f>
        <v>108.89</v>
      </c>
      <c r="J696" t="s">
        <v>1902</v>
      </c>
      <c r="K696" t="s">
        <v>465</v>
      </c>
      <c r="L696" t="s">
        <v>1901</v>
      </c>
      <c r="M696">
        <v>20</v>
      </c>
      <c r="N696">
        <v>700</v>
      </c>
      <c r="O696" t="s">
        <v>3434</v>
      </c>
      <c r="P696" s="31" t="str">
        <f>HYPERLINK("https://b2b.kobi.pl/pl/product/9792,przedluzacz-connecto-4gn-usb-5m-zu-w-1-5mm-bialy-kobi-design?currency=PLN")</f>
        <v>https://b2b.kobi.pl/pl/product/9792,przedluzacz-connecto-4gn-usb-5m-zu-w-1-5mm-bialy-kobi-design?currency=PLN</v>
      </c>
      <c r="Q696" t="s">
        <v>15</v>
      </c>
      <c r="R696"/>
      <c r="S696" t="s">
        <v>2719</v>
      </c>
      <c r="T696"/>
      <c r="U696">
        <v>0.76</v>
      </c>
      <c r="V696">
        <v>0.79</v>
      </c>
      <c r="W696">
        <v>42</v>
      </c>
      <c r="X696">
        <v>4</v>
      </c>
      <c r="Y696">
        <v>16</v>
      </c>
    </row>
    <row r="697" spans="1:25" ht="60" customHeight="1" x14ac:dyDescent="0.25">
      <c r="A697"/>
      <c r="B697" t="s">
        <v>646</v>
      </c>
      <c r="C697" t="s">
        <v>20</v>
      </c>
      <c r="D697" t="s">
        <v>671</v>
      </c>
      <c r="E697" t="s">
        <v>886</v>
      </c>
      <c r="F697" t="s">
        <v>887</v>
      </c>
      <c r="G697" t="s">
        <v>645</v>
      </c>
      <c r="H697" s="30">
        <v>100</v>
      </c>
      <c r="I697" s="29">
        <f>H697*(1-IFERROR(VLOOKUP(G697,Rabat!$D$10:$E$41,2,FALSE),0))</f>
        <v>100</v>
      </c>
      <c r="J697" t="s">
        <v>1902</v>
      </c>
      <c r="K697" t="s">
        <v>487</v>
      </c>
      <c r="L697" t="s">
        <v>1901</v>
      </c>
      <c r="M697">
        <v>18</v>
      </c>
      <c r="N697"/>
      <c r="O697" t="s">
        <v>3434</v>
      </c>
      <c r="P697" s="31" t="str">
        <f>HYPERLINK("https://b2b.kobi.pl/pl/product/9801,przedluzacz-flowflexer-orange-w-2gn-usb-1-4m-zu-1-5mm-bialy-kobi-design?currency=PLN")</f>
        <v>https://b2b.kobi.pl/pl/product/9801,przedluzacz-flowflexer-orange-w-2gn-usb-1-4m-zu-1-5mm-bialy-kobi-design?currency=PLN</v>
      </c>
      <c r="Q697" t="s">
        <v>15</v>
      </c>
      <c r="R697"/>
      <c r="S697" t="s">
        <v>2719</v>
      </c>
      <c r="T697"/>
      <c r="U697">
        <v>0.35</v>
      </c>
      <c r="V697">
        <v>0.38</v>
      </c>
      <c r="W697">
        <v>27</v>
      </c>
      <c r="X697">
        <v>13</v>
      </c>
      <c r="Y697">
        <v>5</v>
      </c>
    </row>
    <row r="698" spans="1:25" ht="60" customHeight="1" x14ac:dyDescent="0.25">
      <c r="A698"/>
      <c r="B698" t="s">
        <v>646</v>
      </c>
      <c r="C698" t="s">
        <v>20</v>
      </c>
      <c r="D698" t="s">
        <v>671</v>
      </c>
      <c r="E698" t="s">
        <v>890</v>
      </c>
      <c r="F698" t="s">
        <v>891</v>
      </c>
      <c r="G698" t="s">
        <v>645</v>
      </c>
      <c r="H698" s="30">
        <v>100</v>
      </c>
      <c r="I698" s="29">
        <f>H698*(1-IFERROR(VLOOKUP(G698,Rabat!$D$10:$E$41,2,FALSE),0))</f>
        <v>100</v>
      </c>
      <c r="J698" t="s">
        <v>1902</v>
      </c>
      <c r="K698" t="s">
        <v>488</v>
      </c>
      <c r="L698" t="s">
        <v>1901</v>
      </c>
      <c r="M698">
        <v>18</v>
      </c>
      <c r="N698">
        <v>1170</v>
      </c>
      <c r="O698" t="s">
        <v>3434</v>
      </c>
      <c r="P698" s="31" t="str">
        <f>HYPERLINK("https://b2b.kobi.pl/pl/product/9802,przedluzacz-flowflexer-orange-b-2gn-usb-1-4m-zu-1-5mm-czarny-kobi-design?currency=PLN")</f>
        <v>https://b2b.kobi.pl/pl/product/9802,przedluzacz-flowflexer-orange-b-2gn-usb-1-4m-zu-1-5mm-czarny-kobi-design?currency=PLN</v>
      </c>
      <c r="Q698" t="s">
        <v>15</v>
      </c>
      <c r="R698"/>
      <c r="S698" t="s">
        <v>2719</v>
      </c>
      <c r="T698"/>
      <c r="U698">
        <v>0.35</v>
      </c>
      <c r="V698">
        <v>0.38</v>
      </c>
      <c r="W698">
        <v>27</v>
      </c>
      <c r="X698">
        <v>13</v>
      </c>
      <c r="Y698">
        <v>5</v>
      </c>
    </row>
    <row r="699" spans="1:25" ht="60" customHeight="1" x14ac:dyDescent="0.25">
      <c r="A699"/>
      <c r="B699" t="s">
        <v>646</v>
      </c>
      <c r="C699" t="s">
        <v>20</v>
      </c>
      <c r="D699" t="s">
        <v>643</v>
      </c>
      <c r="E699" t="s">
        <v>3061</v>
      </c>
      <c r="F699" t="s">
        <v>1210</v>
      </c>
      <c r="G699" t="s">
        <v>645</v>
      </c>
      <c r="H699" s="30">
        <v>22</v>
      </c>
      <c r="I699" s="29">
        <f>H699*(1-IFERROR(VLOOKUP(G699,Rabat!$D$10:$E$41,2,FALSE),0))</f>
        <v>22</v>
      </c>
      <c r="J699" t="s">
        <v>1902</v>
      </c>
      <c r="K699" t="s">
        <v>438</v>
      </c>
      <c r="L699" t="s">
        <v>1901</v>
      </c>
      <c r="M699">
        <v>40</v>
      </c>
      <c r="N699">
        <v>1200</v>
      </c>
      <c r="O699" t="s">
        <v>3434</v>
      </c>
      <c r="P699" s="31" t="str">
        <f>HYPERLINK("https://b2b.kobi.pl/pl/product/10240,przedluzacz-linea-3gn-1-5m-zu-kobi?currency=PLN")</f>
        <v>https://b2b.kobi.pl/pl/product/10240,przedluzacz-linea-3gn-1-5m-zu-kobi?currency=PLN</v>
      </c>
      <c r="Q699" t="s">
        <v>15</v>
      </c>
      <c r="R699"/>
      <c r="S699" t="s">
        <v>2719</v>
      </c>
      <c r="T699"/>
      <c r="U699">
        <v>0.25</v>
      </c>
      <c r="V699">
        <v>0.26400000000000001</v>
      </c>
      <c r="W699">
        <v>30</v>
      </c>
      <c r="X699">
        <v>14</v>
      </c>
      <c r="Y699">
        <v>4.5</v>
      </c>
    </row>
    <row r="700" spans="1:25" ht="60" customHeight="1" x14ac:dyDescent="0.25">
      <c r="A700"/>
      <c r="B700" t="s">
        <v>646</v>
      </c>
      <c r="C700" t="s">
        <v>20</v>
      </c>
      <c r="D700" t="s">
        <v>643</v>
      </c>
      <c r="E700" t="s">
        <v>3062</v>
      </c>
      <c r="F700" t="s">
        <v>1211</v>
      </c>
      <c r="G700" t="s">
        <v>645</v>
      </c>
      <c r="H700" s="30">
        <v>32</v>
      </c>
      <c r="I700" s="29">
        <f>H700*(1-IFERROR(VLOOKUP(G700,Rabat!$D$10:$E$41,2,FALSE),0))</f>
        <v>32</v>
      </c>
      <c r="J700" t="s">
        <v>1902</v>
      </c>
      <c r="K700" t="s">
        <v>439</v>
      </c>
      <c r="L700" t="s">
        <v>1901</v>
      </c>
      <c r="M700">
        <v>30</v>
      </c>
      <c r="N700"/>
      <c r="O700" t="s">
        <v>3434</v>
      </c>
      <c r="P700" s="31" t="str">
        <f>HYPERLINK("https://b2b.kobi.pl/pl/product/10241,przedluzacz-linea-3gn-3m-zu-kobi?currency=PLN")</f>
        <v>https://b2b.kobi.pl/pl/product/10241,przedluzacz-linea-3gn-3m-zu-kobi?currency=PLN</v>
      </c>
      <c r="Q700" t="s">
        <v>15</v>
      </c>
      <c r="R700"/>
      <c r="S700" t="s">
        <v>2719</v>
      </c>
      <c r="T700"/>
      <c r="U700">
        <v>0.36</v>
      </c>
      <c r="V700">
        <v>0.39600000000000002</v>
      </c>
      <c r="W700">
        <v>24</v>
      </c>
      <c r="X700">
        <v>11</v>
      </c>
      <c r="Y700">
        <v>9</v>
      </c>
    </row>
    <row r="701" spans="1:25" ht="60" customHeight="1" x14ac:dyDescent="0.25">
      <c r="A701"/>
      <c r="B701" t="s">
        <v>646</v>
      </c>
      <c r="C701" t="s">
        <v>20</v>
      </c>
      <c r="D701" t="s">
        <v>643</v>
      </c>
      <c r="E701" t="s">
        <v>3063</v>
      </c>
      <c r="F701" t="s">
        <v>1212</v>
      </c>
      <c r="G701" t="s">
        <v>645</v>
      </c>
      <c r="H701" s="30">
        <v>41.44</v>
      </c>
      <c r="I701" s="29">
        <f>H701*(1-IFERROR(VLOOKUP(G701,Rabat!$D$10:$E$41,2,FALSE),0))</f>
        <v>41.44</v>
      </c>
      <c r="J701" t="s">
        <v>1902</v>
      </c>
      <c r="K701" t="s">
        <v>441</v>
      </c>
      <c r="L701" t="s">
        <v>1901</v>
      </c>
      <c r="M701">
        <v>30</v>
      </c>
      <c r="N701">
        <v>900</v>
      </c>
      <c r="O701" t="s">
        <v>3434</v>
      </c>
      <c r="P701" s="31" t="str">
        <f>HYPERLINK("https://b2b.kobi.pl/pl/product/10242,przedluzacz-linea-3gn-5m-zu-kobi?currency=PLN")</f>
        <v>https://b2b.kobi.pl/pl/product/10242,przedluzacz-linea-3gn-5m-zu-kobi?currency=PLN</v>
      </c>
      <c r="Q701" t="s">
        <v>15</v>
      </c>
      <c r="R701"/>
      <c r="S701" t="s">
        <v>2719</v>
      </c>
      <c r="T701"/>
      <c r="U701">
        <v>0.52</v>
      </c>
      <c r="V701">
        <v>0.57199999999999995</v>
      </c>
      <c r="W701">
        <v>26</v>
      </c>
      <c r="X701">
        <v>11</v>
      </c>
      <c r="Y701">
        <v>9</v>
      </c>
    </row>
    <row r="702" spans="1:25" ht="60" customHeight="1" x14ac:dyDescent="0.25">
      <c r="A702"/>
      <c r="B702" t="s">
        <v>646</v>
      </c>
      <c r="C702" t="s">
        <v>20</v>
      </c>
      <c r="D702" t="s">
        <v>643</v>
      </c>
      <c r="E702" t="s">
        <v>3064</v>
      </c>
      <c r="F702" t="s">
        <v>1213</v>
      </c>
      <c r="G702" t="s">
        <v>645</v>
      </c>
      <c r="H702" s="30">
        <v>23.67</v>
      </c>
      <c r="I702" s="29">
        <f>H702*(1-IFERROR(VLOOKUP(G702,Rabat!$D$10:$E$41,2,FALSE),0))</f>
        <v>23.67</v>
      </c>
      <c r="J702" t="s">
        <v>1902</v>
      </c>
      <c r="K702" t="s">
        <v>443</v>
      </c>
      <c r="L702" t="s">
        <v>1901</v>
      </c>
      <c r="M702">
        <v>40</v>
      </c>
      <c r="N702">
        <v>1200</v>
      </c>
      <c r="O702" t="s">
        <v>3434</v>
      </c>
      <c r="P702" s="31" t="str">
        <f>HYPERLINK("https://b2b.kobi.pl/pl/product/10243,przedluzacz-linea-4gn-1-5m-zu-kobi?currency=PLN")</f>
        <v>https://b2b.kobi.pl/pl/product/10243,przedluzacz-linea-4gn-1-5m-zu-kobi?currency=PLN</v>
      </c>
      <c r="Q702" t="s">
        <v>15</v>
      </c>
      <c r="R702"/>
      <c r="S702" t="s">
        <v>2719</v>
      </c>
      <c r="T702"/>
      <c r="U702">
        <v>0.28000000000000003</v>
      </c>
      <c r="V702">
        <v>0.29399999999999998</v>
      </c>
      <c r="W702">
        <v>30</v>
      </c>
      <c r="X702">
        <v>14</v>
      </c>
      <c r="Y702">
        <v>4.5</v>
      </c>
    </row>
    <row r="703" spans="1:25" ht="60" customHeight="1" x14ac:dyDescent="0.25">
      <c r="A703"/>
      <c r="B703" t="s">
        <v>646</v>
      </c>
      <c r="C703" t="s">
        <v>20</v>
      </c>
      <c r="D703" t="s">
        <v>643</v>
      </c>
      <c r="E703" t="s">
        <v>3065</v>
      </c>
      <c r="F703" t="s">
        <v>1216</v>
      </c>
      <c r="G703" t="s">
        <v>645</v>
      </c>
      <c r="H703" s="30">
        <v>31.56</v>
      </c>
      <c r="I703" s="29">
        <f>H703*(1-IFERROR(VLOOKUP(G703,Rabat!$D$10:$E$41,2,FALSE),0))</f>
        <v>31.56</v>
      </c>
      <c r="J703" t="s">
        <v>1902</v>
      </c>
      <c r="K703" t="s">
        <v>444</v>
      </c>
      <c r="L703" t="s">
        <v>1901</v>
      </c>
      <c r="M703">
        <v>30</v>
      </c>
      <c r="N703">
        <v>1080</v>
      </c>
      <c r="O703" t="s">
        <v>3434</v>
      </c>
      <c r="P703" s="31" t="str">
        <f>HYPERLINK("https://b2b.kobi.pl/pl/product/10244,przedluzacz-linea-4gn-3m-zu-kobi?currency=PLN")</f>
        <v>https://b2b.kobi.pl/pl/product/10244,przedluzacz-linea-4gn-3m-zu-kobi?currency=PLN</v>
      </c>
      <c r="Q703" t="s">
        <v>15</v>
      </c>
      <c r="R703"/>
      <c r="S703" t="s">
        <v>2719</v>
      </c>
      <c r="T703"/>
      <c r="U703">
        <v>0.39</v>
      </c>
      <c r="V703">
        <v>0.40300000000000002</v>
      </c>
      <c r="W703">
        <v>30</v>
      </c>
      <c r="X703">
        <v>14</v>
      </c>
      <c r="Y703">
        <v>4.5</v>
      </c>
    </row>
    <row r="704" spans="1:25" ht="60" customHeight="1" x14ac:dyDescent="0.25">
      <c r="A704"/>
      <c r="B704" t="s">
        <v>646</v>
      </c>
      <c r="C704" t="s">
        <v>20</v>
      </c>
      <c r="D704" t="s">
        <v>643</v>
      </c>
      <c r="E704" t="s">
        <v>3066</v>
      </c>
      <c r="F704" t="s">
        <v>1217</v>
      </c>
      <c r="G704" t="s">
        <v>645</v>
      </c>
      <c r="H704" s="30">
        <v>42.22</v>
      </c>
      <c r="I704" s="29">
        <f>H704*(1-IFERROR(VLOOKUP(G704,Rabat!$D$10:$E$41,2,FALSE),0))</f>
        <v>42.22</v>
      </c>
      <c r="J704" t="s">
        <v>1902</v>
      </c>
      <c r="K704" t="s">
        <v>445</v>
      </c>
      <c r="L704" t="s">
        <v>1901</v>
      </c>
      <c r="M704">
        <v>30</v>
      </c>
      <c r="N704">
        <v>750</v>
      </c>
      <c r="O704" t="s">
        <v>3434</v>
      </c>
      <c r="P704" s="31" t="str">
        <f>HYPERLINK("https://b2b.kobi.pl/pl/product/10245,przedluzacz-linea-4gn-5m-zu-kobi?currency=PLN")</f>
        <v>https://b2b.kobi.pl/pl/product/10245,przedluzacz-linea-4gn-5m-zu-kobi?currency=PLN</v>
      </c>
      <c r="Q704" t="s">
        <v>15</v>
      </c>
      <c r="R704"/>
      <c r="S704" t="s">
        <v>2719</v>
      </c>
      <c r="T704"/>
      <c r="U704">
        <v>0.54</v>
      </c>
      <c r="V704">
        <v>0.55800000000000005</v>
      </c>
      <c r="W704">
        <v>30</v>
      </c>
      <c r="X704">
        <v>14</v>
      </c>
      <c r="Y704">
        <v>4.5</v>
      </c>
    </row>
    <row r="705" spans="1:25" ht="60" customHeight="1" x14ac:dyDescent="0.25">
      <c r="A705"/>
      <c r="B705" t="s">
        <v>646</v>
      </c>
      <c r="C705" t="s">
        <v>20</v>
      </c>
      <c r="D705" t="s">
        <v>643</v>
      </c>
      <c r="E705" t="s">
        <v>3067</v>
      </c>
      <c r="F705" t="s">
        <v>1220</v>
      </c>
      <c r="G705" t="s">
        <v>645</v>
      </c>
      <c r="H705" s="30">
        <v>27.11</v>
      </c>
      <c r="I705" s="29">
        <f>H705*(1-IFERROR(VLOOKUP(G705,Rabat!$D$10:$E$41,2,FALSE),0))</f>
        <v>27.11</v>
      </c>
      <c r="J705" t="s">
        <v>1902</v>
      </c>
      <c r="K705" t="s">
        <v>446</v>
      </c>
      <c r="L705" t="s">
        <v>1901</v>
      </c>
      <c r="M705">
        <v>40</v>
      </c>
      <c r="N705">
        <v>1000</v>
      </c>
      <c r="O705" t="s">
        <v>3434</v>
      </c>
      <c r="P705" s="31" t="str">
        <f>HYPERLINK("https://b2b.kobi.pl/pl/product/10246,przedluzacz-linea-5gn-1-5m-zu-kobi?currency=PLN")</f>
        <v>https://b2b.kobi.pl/pl/product/10246,przedluzacz-linea-5gn-1-5m-zu-kobi?currency=PLN</v>
      </c>
      <c r="Q705" t="s">
        <v>15</v>
      </c>
      <c r="R705"/>
      <c r="S705" t="s">
        <v>2719</v>
      </c>
      <c r="T705"/>
      <c r="U705">
        <v>0.37</v>
      </c>
      <c r="V705">
        <v>0.38800000000000001</v>
      </c>
      <c r="W705">
        <v>35</v>
      </c>
      <c r="X705">
        <v>14</v>
      </c>
      <c r="Y705">
        <v>4.5</v>
      </c>
    </row>
    <row r="706" spans="1:25" ht="60" customHeight="1" x14ac:dyDescent="0.25">
      <c r="A706"/>
      <c r="B706" t="s">
        <v>646</v>
      </c>
      <c r="C706" t="s">
        <v>20</v>
      </c>
      <c r="D706" t="s">
        <v>643</v>
      </c>
      <c r="E706" t="s">
        <v>3068</v>
      </c>
      <c r="F706" t="s">
        <v>1221</v>
      </c>
      <c r="G706" t="s">
        <v>645</v>
      </c>
      <c r="H706" s="30">
        <v>41.11</v>
      </c>
      <c r="I706" s="29">
        <f>H706*(1-IFERROR(VLOOKUP(G706,Rabat!$D$10:$E$41,2,FALSE),0))</f>
        <v>41.11</v>
      </c>
      <c r="J706" t="s">
        <v>1902</v>
      </c>
      <c r="K706" t="s">
        <v>447</v>
      </c>
      <c r="L706" t="s">
        <v>1901</v>
      </c>
      <c r="M706">
        <v>30</v>
      </c>
      <c r="N706">
        <v>900</v>
      </c>
      <c r="O706" t="s">
        <v>3434</v>
      </c>
      <c r="P706" s="31" t="str">
        <f>HYPERLINK("https://b2b.kobi.pl/pl/product/10247,przedluzacz-linea-5gn-3m-zu-kobi?currency=PLN")</f>
        <v>https://b2b.kobi.pl/pl/product/10247,przedluzacz-linea-5gn-3m-zu-kobi?currency=PLN</v>
      </c>
      <c r="Q706" t="s">
        <v>15</v>
      </c>
      <c r="R706"/>
      <c r="S706" t="s">
        <v>2719</v>
      </c>
      <c r="T706"/>
      <c r="U706">
        <v>0.51</v>
      </c>
      <c r="V706">
        <v>0.56100000000000005</v>
      </c>
      <c r="W706">
        <v>25</v>
      </c>
      <c r="X706">
        <v>9</v>
      </c>
      <c r="Y706">
        <v>6</v>
      </c>
    </row>
    <row r="707" spans="1:25" ht="60" customHeight="1" x14ac:dyDescent="0.25">
      <c r="A707"/>
      <c r="B707" t="s">
        <v>646</v>
      </c>
      <c r="C707" t="s">
        <v>20</v>
      </c>
      <c r="D707" t="s">
        <v>643</v>
      </c>
      <c r="E707" t="s">
        <v>3069</v>
      </c>
      <c r="F707" t="s">
        <v>1224</v>
      </c>
      <c r="G707" t="s">
        <v>645</v>
      </c>
      <c r="H707" s="30">
        <v>46.22</v>
      </c>
      <c r="I707" s="29">
        <f>H707*(1-IFERROR(VLOOKUP(G707,Rabat!$D$10:$E$41,2,FALSE),0))</f>
        <v>46.22</v>
      </c>
      <c r="J707" t="s">
        <v>1902</v>
      </c>
      <c r="K707" t="s">
        <v>449</v>
      </c>
      <c r="L707" t="s">
        <v>1901</v>
      </c>
      <c r="M707">
        <v>30</v>
      </c>
      <c r="N707">
        <v>750</v>
      </c>
      <c r="O707" t="s">
        <v>3434</v>
      </c>
      <c r="P707" s="31" t="str">
        <f>HYPERLINK("https://b2b.kobi.pl/pl/product/10248,przedluzacz-linea-5gn-5m-zu-kobi?currency=PLN")</f>
        <v>https://b2b.kobi.pl/pl/product/10248,przedluzacz-linea-5gn-5m-zu-kobi?currency=PLN</v>
      </c>
      <c r="Q707" t="s">
        <v>15</v>
      </c>
      <c r="R707"/>
      <c r="S707" t="s">
        <v>2719</v>
      </c>
      <c r="T707"/>
      <c r="U707">
        <v>0.73</v>
      </c>
      <c r="V707">
        <v>0.748</v>
      </c>
      <c r="W707">
        <v>35</v>
      </c>
      <c r="X707">
        <v>14</v>
      </c>
      <c r="Y707">
        <v>4.5</v>
      </c>
    </row>
    <row r="708" spans="1:25" ht="60" customHeight="1" x14ac:dyDescent="0.25">
      <c r="A708"/>
      <c r="B708" t="s">
        <v>646</v>
      </c>
      <c r="C708" t="s">
        <v>20</v>
      </c>
      <c r="D708" t="s">
        <v>643</v>
      </c>
      <c r="E708" t="s">
        <v>3070</v>
      </c>
      <c r="F708" t="s">
        <v>1225</v>
      </c>
      <c r="G708" t="s">
        <v>645</v>
      </c>
      <c r="H708" s="30">
        <v>36.33</v>
      </c>
      <c r="I708" s="29">
        <f>H708*(1-IFERROR(VLOOKUP(G708,Rabat!$D$10:$E$41,2,FALSE),0))</f>
        <v>36.33</v>
      </c>
      <c r="J708" t="s">
        <v>1902</v>
      </c>
      <c r="K708" t="s">
        <v>440</v>
      </c>
      <c r="L708" t="s">
        <v>1901</v>
      </c>
      <c r="M708">
        <v>30</v>
      </c>
      <c r="N708">
        <v>1080</v>
      </c>
      <c r="O708" t="s">
        <v>3434</v>
      </c>
      <c r="P708" s="31" t="str">
        <f>HYPERLINK("https://b2b.kobi.pl/pl/product/10249,przedluzacz-linea-3gn-3m-zu-w-kobi?currency=PLN")</f>
        <v>https://b2b.kobi.pl/pl/product/10249,przedluzacz-linea-3gn-3m-zu-w-kobi?currency=PLN</v>
      </c>
      <c r="Q708" t="s">
        <v>15</v>
      </c>
      <c r="R708"/>
      <c r="S708" t="s">
        <v>2719</v>
      </c>
      <c r="T708"/>
      <c r="U708">
        <v>0.39</v>
      </c>
      <c r="V708">
        <v>0.40400000000000003</v>
      </c>
      <c r="W708">
        <v>3</v>
      </c>
      <c r="X708">
        <v>14</v>
      </c>
      <c r="Y708">
        <v>4.5</v>
      </c>
    </row>
    <row r="709" spans="1:25" ht="60" customHeight="1" x14ac:dyDescent="0.25">
      <c r="A709"/>
      <c r="B709" t="s">
        <v>646</v>
      </c>
      <c r="C709" t="s">
        <v>20</v>
      </c>
      <c r="D709" t="s">
        <v>643</v>
      </c>
      <c r="E709" t="s">
        <v>3071</v>
      </c>
      <c r="F709" t="s">
        <v>1226</v>
      </c>
      <c r="G709" t="s">
        <v>645</v>
      </c>
      <c r="H709" s="30">
        <v>44.22</v>
      </c>
      <c r="I709" s="29">
        <f>H709*(1-IFERROR(VLOOKUP(G709,Rabat!$D$10:$E$41,2,FALSE),0))</f>
        <v>44.22</v>
      </c>
      <c r="J709" t="s">
        <v>1902</v>
      </c>
      <c r="K709" t="s">
        <v>442</v>
      </c>
      <c r="L709" t="s">
        <v>1901</v>
      </c>
      <c r="M709">
        <v>30</v>
      </c>
      <c r="N709"/>
      <c r="O709" t="s">
        <v>3434</v>
      </c>
      <c r="P709" s="31" t="str">
        <f>HYPERLINK("https://b2b.kobi.pl/pl/product/10250,przedluzacz-linea-3gn-5m-zu-w-kobi?currency=PLN")</f>
        <v>https://b2b.kobi.pl/pl/product/10250,przedluzacz-linea-3gn-5m-zu-w-kobi?currency=PLN</v>
      </c>
      <c r="Q709" t="s">
        <v>15</v>
      </c>
      <c r="R709"/>
      <c r="S709" t="s">
        <v>2719</v>
      </c>
      <c r="T709"/>
      <c r="U709">
        <v>0.54</v>
      </c>
      <c r="V709">
        <v>0.55400000000000005</v>
      </c>
      <c r="W709">
        <v>30</v>
      </c>
      <c r="X709">
        <v>14</v>
      </c>
      <c r="Y709">
        <v>4.5</v>
      </c>
    </row>
    <row r="710" spans="1:25" ht="60" customHeight="1" x14ac:dyDescent="0.25">
      <c r="A710"/>
      <c r="B710" t="s">
        <v>646</v>
      </c>
      <c r="C710" t="s">
        <v>20</v>
      </c>
      <c r="D710" t="s">
        <v>643</v>
      </c>
      <c r="E710" t="s">
        <v>3072</v>
      </c>
      <c r="F710" t="s">
        <v>1227</v>
      </c>
      <c r="G710" t="s">
        <v>645</v>
      </c>
      <c r="H710" s="30">
        <v>41.56</v>
      </c>
      <c r="I710" s="29">
        <f>H710*(1-IFERROR(VLOOKUP(G710,Rabat!$D$10:$E$41,2,FALSE),0))</f>
        <v>41.56</v>
      </c>
      <c r="J710" t="s">
        <v>1902</v>
      </c>
      <c r="K710" t="s">
        <v>448</v>
      </c>
      <c r="L710" t="s">
        <v>1901</v>
      </c>
      <c r="M710">
        <v>30</v>
      </c>
      <c r="N710"/>
      <c r="O710" t="s">
        <v>3434</v>
      </c>
      <c r="P710" s="31" t="str">
        <f>HYPERLINK("https://b2b.kobi.pl/pl/product/10251,przedluzacz-linea-5gn-3m-zu-w-kobi?currency=PLN")</f>
        <v>https://b2b.kobi.pl/pl/product/10251,przedluzacz-linea-5gn-3m-zu-w-kobi?currency=PLN</v>
      </c>
      <c r="Q710" t="s">
        <v>15</v>
      </c>
      <c r="R710"/>
      <c r="S710" t="s">
        <v>2719</v>
      </c>
      <c r="T710"/>
      <c r="U710">
        <v>0.53</v>
      </c>
      <c r="V710">
        <v>0.54400000000000004</v>
      </c>
      <c r="W710">
        <v>35</v>
      </c>
      <c r="X710">
        <v>14</v>
      </c>
      <c r="Y710">
        <v>4.5</v>
      </c>
    </row>
    <row r="711" spans="1:25" ht="60" customHeight="1" x14ac:dyDescent="0.25">
      <c r="A711"/>
      <c r="B711" t="s">
        <v>646</v>
      </c>
      <c r="C711" t="s">
        <v>20</v>
      </c>
      <c r="D711" t="s">
        <v>643</v>
      </c>
      <c r="E711" t="s">
        <v>3073</v>
      </c>
      <c r="F711" t="s">
        <v>1228</v>
      </c>
      <c r="G711" t="s">
        <v>645</v>
      </c>
      <c r="H711" s="30">
        <v>50.44</v>
      </c>
      <c r="I711" s="29">
        <f>H711*(1-IFERROR(VLOOKUP(G711,Rabat!$D$10:$E$41,2,FALSE),0))</f>
        <v>50.44</v>
      </c>
      <c r="J711" t="s">
        <v>1902</v>
      </c>
      <c r="K711" t="s">
        <v>450</v>
      </c>
      <c r="L711" t="s">
        <v>1901</v>
      </c>
      <c r="M711">
        <v>30</v>
      </c>
      <c r="N711"/>
      <c r="O711" t="s">
        <v>3434</v>
      </c>
      <c r="P711" s="31" t="str">
        <f>HYPERLINK("https://b2b.kobi.pl/pl/product/10252,przedluzacz-linea-5gn-5m-zu-w-kobi?currency=PLN")</f>
        <v>https://b2b.kobi.pl/pl/product/10252,przedluzacz-linea-5gn-5m-zu-w-kobi?currency=PLN</v>
      </c>
      <c r="Q711" t="s">
        <v>15</v>
      </c>
      <c r="R711"/>
      <c r="S711" t="s">
        <v>2719</v>
      </c>
      <c r="T711"/>
      <c r="U711">
        <v>0.75</v>
      </c>
      <c r="V711">
        <v>0.76400000000000001</v>
      </c>
      <c r="W711">
        <v>35</v>
      </c>
      <c r="X711">
        <v>14</v>
      </c>
      <c r="Y711">
        <v>4.5</v>
      </c>
    </row>
    <row r="712" spans="1:25" ht="60" customHeight="1" x14ac:dyDescent="0.25">
      <c r="A712"/>
      <c r="B712" t="s">
        <v>646</v>
      </c>
      <c r="C712" t="s">
        <v>20</v>
      </c>
      <c r="D712" t="s">
        <v>643</v>
      </c>
      <c r="E712" t="s">
        <v>3294</v>
      </c>
      <c r="F712" t="s">
        <v>1229</v>
      </c>
      <c r="G712" t="s">
        <v>645</v>
      </c>
      <c r="H712" s="30">
        <v>104.44</v>
      </c>
      <c r="I712" s="29">
        <f>H712*(1-IFERROR(VLOOKUP(G712,Rabat!$D$10:$E$41,2,FALSE),0))</f>
        <v>104.44</v>
      </c>
      <c r="J712" t="s">
        <v>1902</v>
      </c>
      <c r="K712" t="s">
        <v>536</v>
      </c>
      <c r="L712" t="s">
        <v>1901</v>
      </c>
      <c r="M712">
        <v>60</v>
      </c>
      <c r="N712">
        <v>1440</v>
      </c>
      <c r="O712" t="s">
        <v>3434</v>
      </c>
      <c r="P712" s="31" t="str">
        <f>HYPERLINK("https://b2b.kobi.pl/pl/product/10253,przedluzacz-linea-pro-cube-3gn-3usb-1usb-c-zu-w-bialy-kobi?currency=PLN")</f>
        <v>https://b2b.kobi.pl/pl/product/10253,przedluzacz-linea-pro-cube-3gn-3usb-1usb-c-zu-w-bialy-kobi?currency=PLN</v>
      </c>
      <c r="Q712" t="s">
        <v>15</v>
      </c>
      <c r="R712"/>
      <c r="S712" t="s">
        <v>2719</v>
      </c>
      <c r="T712"/>
      <c r="U712">
        <v>0.189</v>
      </c>
      <c r="V712">
        <v>0.22900000000000001</v>
      </c>
      <c r="W712">
        <v>8.3000000000000007</v>
      </c>
      <c r="X712">
        <v>10.7</v>
      </c>
      <c r="Y712">
        <v>8.3000000000000007</v>
      </c>
    </row>
    <row r="713" spans="1:25" ht="60" customHeight="1" x14ac:dyDescent="0.25">
      <c r="A713"/>
      <c r="B713" t="s">
        <v>646</v>
      </c>
      <c r="C713" t="s">
        <v>20</v>
      </c>
      <c r="D713" t="s">
        <v>643</v>
      </c>
      <c r="E713" t="s">
        <v>3295</v>
      </c>
      <c r="F713" t="s">
        <v>1230</v>
      </c>
      <c r="G713" t="s">
        <v>645</v>
      </c>
      <c r="H713" s="30">
        <v>104.44</v>
      </c>
      <c r="I713" s="29">
        <f>H713*(1-IFERROR(VLOOKUP(G713,Rabat!$D$10:$E$41,2,FALSE),0))</f>
        <v>104.44</v>
      </c>
      <c r="J713" t="s">
        <v>1902</v>
      </c>
      <c r="K713" t="s">
        <v>533</v>
      </c>
      <c r="L713" t="s">
        <v>1901</v>
      </c>
      <c r="M713">
        <v>60</v>
      </c>
      <c r="N713"/>
      <c r="O713" t="s">
        <v>3434</v>
      </c>
      <c r="P713" s="31" t="str">
        <f>HYPERLINK("https://b2b.kobi.pl/pl/product/10254,przedluzacz-linea-pro-cube-3gn-3usb-1usb-c-zu-w-czarny-kobi?currency=PLN")</f>
        <v>https://b2b.kobi.pl/pl/product/10254,przedluzacz-linea-pro-cube-3gn-3usb-1usb-c-zu-w-czarny-kobi?currency=PLN</v>
      </c>
      <c r="Q713" t="s">
        <v>15</v>
      </c>
      <c r="R713"/>
      <c r="S713" t="s">
        <v>2719</v>
      </c>
      <c r="T713"/>
      <c r="U713">
        <v>0.189</v>
      </c>
      <c r="V713">
        <v>0.22900000000000001</v>
      </c>
      <c r="W713">
        <v>8.3000000000000007</v>
      </c>
      <c r="X713">
        <v>10.7</v>
      </c>
      <c r="Y713">
        <v>8.3000000000000007</v>
      </c>
    </row>
    <row r="714" spans="1:25" ht="60" customHeight="1" x14ac:dyDescent="0.25">
      <c r="A714"/>
      <c r="B714" t="s">
        <v>646</v>
      </c>
      <c r="C714" t="s">
        <v>20</v>
      </c>
      <c r="D714" t="s">
        <v>643</v>
      </c>
      <c r="E714" t="s">
        <v>3296</v>
      </c>
      <c r="F714" t="s">
        <v>1231</v>
      </c>
      <c r="G714" t="s">
        <v>645</v>
      </c>
      <c r="H714" s="30">
        <v>108.89</v>
      </c>
      <c r="I714" s="29">
        <f>H714*(1-IFERROR(VLOOKUP(G714,Rabat!$D$10:$E$41,2,FALSE),0))</f>
        <v>108.89</v>
      </c>
      <c r="J714" t="s">
        <v>1902</v>
      </c>
      <c r="K714" t="s">
        <v>535</v>
      </c>
      <c r="L714" t="s">
        <v>1901</v>
      </c>
      <c r="M714">
        <v>50</v>
      </c>
      <c r="N714"/>
      <c r="O714" t="s">
        <v>3434</v>
      </c>
      <c r="P714" s="31" t="str">
        <f>HYPERLINK("https://b2b.kobi.pl/pl/product/10255,przedluzacz-linea-pro-cube-c-3gn-3usb-1usb-c-1-5m-zu-w-bialy-kobi?currency=PLN")</f>
        <v>https://b2b.kobi.pl/pl/product/10255,przedluzacz-linea-pro-cube-c-3gn-3usb-1usb-c-1-5m-zu-w-bialy-kobi?currency=PLN</v>
      </c>
      <c r="Q714" t="s">
        <v>15</v>
      </c>
      <c r="R714"/>
      <c r="S714" t="s">
        <v>2719</v>
      </c>
      <c r="T714"/>
      <c r="U714">
        <v>0.33</v>
      </c>
      <c r="V714">
        <v>0.40500000000000003</v>
      </c>
      <c r="W714">
        <v>22</v>
      </c>
      <c r="X714">
        <v>8.3000000000000007</v>
      </c>
      <c r="Y714">
        <v>8.5</v>
      </c>
    </row>
    <row r="715" spans="1:25" ht="60" customHeight="1" x14ac:dyDescent="0.25">
      <c r="A715"/>
      <c r="B715" t="s">
        <v>646</v>
      </c>
      <c r="C715" t="s">
        <v>20</v>
      </c>
      <c r="D715" t="s">
        <v>643</v>
      </c>
      <c r="E715" t="s">
        <v>3297</v>
      </c>
      <c r="F715" t="s">
        <v>1232</v>
      </c>
      <c r="G715" t="s">
        <v>645</v>
      </c>
      <c r="H715" s="30">
        <v>108.89</v>
      </c>
      <c r="I715" s="29">
        <f>H715*(1-IFERROR(VLOOKUP(G715,Rabat!$D$10:$E$41,2,FALSE),0))</f>
        <v>108.89</v>
      </c>
      <c r="J715" t="s">
        <v>1902</v>
      </c>
      <c r="K715" t="s">
        <v>534</v>
      </c>
      <c r="L715" t="s">
        <v>1901</v>
      </c>
      <c r="M715">
        <v>50</v>
      </c>
      <c r="N715"/>
      <c r="O715" t="s">
        <v>3434</v>
      </c>
      <c r="P715" s="31" t="str">
        <f>HYPERLINK("https://b2b.kobi.pl/pl/product/10256,przedluzacz-linea-pro-cube-c-3gn-3usb-1usb-c-1-5m-zu-w-czarny-kobi?currency=PLN")</f>
        <v>https://b2b.kobi.pl/pl/product/10256,przedluzacz-linea-pro-cube-c-3gn-3usb-1usb-c-1-5m-zu-w-czarny-kobi?currency=PLN</v>
      </c>
      <c r="Q715" t="s">
        <v>15</v>
      </c>
      <c r="R715"/>
      <c r="S715" t="s">
        <v>2719</v>
      </c>
      <c r="T715"/>
      <c r="U715">
        <v>0.33</v>
      </c>
      <c r="V715">
        <v>0.40500000000000003</v>
      </c>
      <c r="W715">
        <v>22</v>
      </c>
      <c r="X715">
        <v>8.3000000000000007</v>
      </c>
      <c r="Y715">
        <v>8.5</v>
      </c>
    </row>
    <row r="716" spans="1:25" ht="60" customHeight="1" x14ac:dyDescent="0.25">
      <c r="A716"/>
      <c r="B716" t="s">
        <v>646</v>
      </c>
      <c r="C716" t="s">
        <v>20</v>
      </c>
      <c r="D716" t="s">
        <v>643</v>
      </c>
      <c r="E716" t="s">
        <v>3298</v>
      </c>
      <c r="F716" t="s">
        <v>1233</v>
      </c>
      <c r="G716" t="s">
        <v>645</v>
      </c>
      <c r="H716" s="30">
        <v>64.44</v>
      </c>
      <c r="I716" s="29">
        <f>H716*(1-IFERROR(VLOOKUP(G716,Rabat!$D$10:$E$41,2,FALSE),0))</f>
        <v>64.44</v>
      </c>
      <c r="J716" t="s">
        <v>1902</v>
      </c>
      <c r="K716" t="s">
        <v>538</v>
      </c>
      <c r="L716" t="s">
        <v>1901</v>
      </c>
      <c r="M716">
        <v>20</v>
      </c>
      <c r="N716"/>
      <c r="O716" t="s">
        <v>3434</v>
      </c>
      <c r="P716" s="31" t="str">
        <f>HYPERLINK("https://b2b.kobi.pl/pl/product/10257,przedluzacz-linea-pro-fl-2gn-3usb-1usb-c-0-2m-bialy-kobi?currency=PLN")</f>
        <v>https://b2b.kobi.pl/pl/product/10257,przedluzacz-linea-pro-fl-2gn-3usb-1usb-c-0-2m-bialy-kobi?currency=PLN</v>
      </c>
      <c r="Q716" t="s">
        <v>15</v>
      </c>
      <c r="R716"/>
      <c r="S716" t="s">
        <v>2719</v>
      </c>
      <c r="T716"/>
      <c r="U716">
        <v>0.73</v>
      </c>
      <c r="V716">
        <v>1.01</v>
      </c>
      <c r="W716">
        <v>17</v>
      </c>
      <c r="X716">
        <v>5.5</v>
      </c>
      <c r="Y716">
        <v>23</v>
      </c>
    </row>
    <row r="717" spans="1:25" ht="60" customHeight="1" x14ac:dyDescent="0.25">
      <c r="A717"/>
      <c r="B717" t="s">
        <v>646</v>
      </c>
      <c r="C717" t="s">
        <v>20</v>
      </c>
      <c r="D717" t="s">
        <v>643</v>
      </c>
      <c r="E717" t="s">
        <v>3299</v>
      </c>
      <c r="F717" t="s">
        <v>1234</v>
      </c>
      <c r="G717" t="s">
        <v>645</v>
      </c>
      <c r="H717" s="30">
        <v>64.44</v>
      </c>
      <c r="I717" s="29">
        <f>H717*(1-IFERROR(VLOOKUP(G717,Rabat!$D$10:$E$41,2,FALSE),0))</f>
        <v>64.44</v>
      </c>
      <c r="J717" t="s">
        <v>1902</v>
      </c>
      <c r="K717" t="s">
        <v>537</v>
      </c>
      <c r="L717" t="s">
        <v>1901</v>
      </c>
      <c r="M717">
        <v>20</v>
      </c>
      <c r="N717"/>
      <c r="O717" t="s">
        <v>3434</v>
      </c>
      <c r="P717" s="31" t="str">
        <f>HYPERLINK("https://b2b.kobi.pl/pl/product/10258,przedluzacz-linea-pro-fl-2gn-3usb-1usb-c-0-2m-czarny-kobi?currency=PLN")</f>
        <v>https://b2b.kobi.pl/pl/product/10258,przedluzacz-linea-pro-fl-2gn-3usb-1usb-c-0-2m-czarny-kobi?currency=PLN</v>
      </c>
      <c r="Q717" t="s">
        <v>15</v>
      </c>
      <c r="R717"/>
      <c r="S717" t="s">
        <v>2719</v>
      </c>
      <c r="T717"/>
      <c r="U717">
        <v>0.22</v>
      </c>
      <c r="V717">
        <v>0.28000000000000003</v>
      </c>
      <c r="W717">
        <v>17</v>
      </c>
      <c r="X717">
        <v>5.5</v>
      </c>
      <c r="Y717">
        <v>23</v>
      </c>
    </row>
    <row r="718" spans="1:25" ht="60" customHeight="1" x14ac:dyDescent="0.25">
      <c r="A718"/>
      <c r="B718" t="s">
        <v>646</v>
      </c>
      <c r="C718" t="s">
        <v>20</v>
      </c>
      <c r="D718" t="s">
        <v>643</v>
      </c>
      <c r="E718" t="s">
        <v>3300</v>
      </c>
      <c r="F718" t="s">
        <v>1235</v>
      </c>
      <c r="G718" t="s">
        <v>645</v>
      </c>
      <c r="H718" s="30">
        <v>69.78</v>
      </c>
      <c r="I718" s="29">
        <f>H718*(1-IFERROR(VLOOKUP(G718,Rabat!$D$10:$E$41,2,FALSE),0))</f>
        <v>69.78</v>
      </c>
      <c r="J718" t="s">
        <v>1902</v>
      </c>
      <c r="K718" t="s">
        <v>539</v>
      </c>
      <c r="L718" t="s">
        <v>1901</v>
      </c>
      <c r="M718">
        <v>20</v>
      </c>
      <c r="N718"/>
      <c r="O718" t="s">
        <v>3434</v>
      </c>
      <c r="P718" s="31" t="str">
        <f>HYPERLINK("https://b2b.kobi.pl/pl/product/10259,przedluzacz-linea-pro-3gn-4usb-1usb-c-1-5m-zu-w-bialy-kobi?currency=PLN")</f>
        <v>https://b2b.kobi.pl/pl/product/10259,przedluzacz-linea-pro-3gn-4usb-1usb-c-1-5m-zu-w-bialy-kobi?currency=PLN</v>
      </c>
      <c r="Q718" t="s">
        <v>15</v>
      </c>
      <c r="R718"/>
      <c r="S718" t="s">
        <v>2719</v>
      </c>
      <c r="T718"/>
      <c r="U718">
        <v>0.36</v>
      </c>
      <c r="V718">
        <v>0.45500000000000002</v>
      </c>
      <c r="W718">
        <v>14.5</v>
      </c>
      <c r="X718">
        <v>5</v>
      </c>
      <c r="Y718">
        <v>22</v>
      </c>
    </row>
    <row r="719" spans="1:25" ht="60" customHeight="1" x14ac:dyDescent="0.25">
      <c r="A719"/>
      <c r="B719" t="s">
        <v>646</v>
      </c>
      <c r="C719" t="s">
        <v>20</v>
      </c>
      <c r="D719" t="s">
        <v>643</v>
      </c>
      <c r="E719" t="s">
        <v>3301</v>
      </c>
      <c r="F719" t="s">
        <v>1236</v>
      </c>
      <c r="G719" t="s">
        <v>645</v>
      </c>
      <c r="H719" s="30">
        <v>69.78</v>
      </c>
      <c r="I719" s="29">
        <f>H719*(1-IFERROR(VLOOKUP(G719,Rabat!$D$10:$E$41,2,FALSE),0))</f>
        <v>69.78</v>
      </c>
      <c r="J719" t="s">
        <v>1902</v>
      </c>
      <c r="K719" t="s">
        <v>530</v>
      </c>
      <c r="L719" t="s">
        <v>1901</v>
      </c>
      <c r="M719">
        <v>20</v>
      </c>
      <c r="N719"/>
      <c r="O719" t="s">
        <v>3434</v>
      </c>
      <c r="P719" s="31" t="str">
        <f>HYPERLINK("https://b2b.kobi.pl/pl/product/10260,przedluzacz-linea-pro-3gn-4usb-1usb-c-1-5m-zu-w-czarny-kobi?currency=PLN")</f>
        <v>https://b2b.kobi.pl/pl/product/10260,przedluzacz-linea-pro-3gn-4usb-1usb-c-1-5m-zu-w-czarny-kobi?currency=PLN</v>
      </c>
      <c r="Q719" t="s">
        <v>15</v>
      </c>
      <c r="R719"/>
      <c r="S719" t="s">
        <v>2719</v>
      </c>
      <c r="T719"/>
      <c r="U719">
        <v>0.36</v>
      </c>
      <c r="V719">
        <v>0.45500000000000002</v>
      </c>
      <c r="W719">
        <v>14.5</v>
      </c>
      <c r="X719">
        <v>5</v>
      </c>
      <c r="Y719">
        <v>22</v>
      </c>
    </row>
    <row r="720" spans="1:25" ht="60" customHeight="1" x14ac:dyDescent="0.25">
      <c r="A720"/>
      <c r="B720" t="s">
        <v>646</v>
      </c>
      <c r="C720" t="s">
        <v>20</v>
      </c>
      <c r="D720" t="s">
        <v>643</v>
      </c>
      <c r="E720" t="s">
        <v>3302</v>
      </c>
      <c r="F720" t="s">
        <v>1237</v>
      </c>
      <c r="G720" t="s">
        <v>645</v>
      </c>
      <c r="H720" s="30">
        <v>88.67</v>
      </c>
      <c r="I720" s="29">
        <f>H720*(1-IFERROR(VLOOKUP(G720,Rabat!$D$10:$E$41,2,FALSE),0))</f>
        <v>88.67</v>
      </c>
      <c r="J720" t="s">
        <v>1902</v>
      </c>
      <c r="K720" t="s">
        <v>540</v>
      </c>
      <c r="L720" t="s">
        <v>1901</v>
      </c>
      <c r="M720">
        <v>20</v>
      </c>
      <c r="N720"/>
      <c r="O720" t="s">
        <v>3434</v>
      </c>
      <c r="P720" s="31" t="str">
        <f>HYPERLINK("https://b2b.kobi.pl/pl/product/10261,przedluzacz-linea-pro-3gn-4usb-1usb-c-3m-zu-w-bialy-kobi?currency=PLN")</f>
        <v>https://b2b.kobi.pl/pl/product/10261,przedluzacz-linea-pro-3gn-4usb-1usb-c-3m-zu-w-bialy-kobi?currency=PLN</v>
      </c>
      <c r="Q720" t="s">
        <v>15</v>
      </c>
      <c r="R720"/>
      <c r="S720" t="s">
        <v>2719</v>
      </c>
      <c r="T720"/>
      <c r="U720">
        <v>0.52</v>
      </c>
      <c r="V720">
        <v>0.61</v>
      </c>
      <c r="W720">
        <v>14.5</v>
      </c>
      <c r="X720">
        <v>5</v>
      </c>
      <c r="Y720">
        <v>22</v>
      </c>
    </row>
    <row r="721" spans="1:25" ht="60" customHeight="1" x14ac:dyDescent="0.25">
      <c r="A721"/>
      <c r="B721" t="s">
        <v>646</v>
      </c>
      <c r="C721" t="s">
        <v>20</v>
      </c>
      <c r="D721" t="s">
        <v>643</v>
      </c>
      <c r="E721" t="s">
        <v>3303</v>
      </c>
      <c r="F721" t="s">
        <v>1238</v>
      </c>
      <c r="G721" t="s">
        <v>645</v>
      </c>
      <c r="H721" s="30">
        <v>88.67</v>
      </c>
      <c r="I721" s="29">
        <f>H721*(1-IFERROR(VLOOKUP(G721,Rabat!$D$10:$E$41,2,FALSE),0))</f>
        <v>88.67</v>
      </c>
      <c r="J721" t="s">
        <v>1902</v>
      </c>
      <c r="K721" t="s">
        <v>531</v>
      </c>
      <c r="L721" t="s">
        <v>1901</v>
      </c>
      <c r="M721">
        <v>20</v>
      </c>
      <c r="N721"/>
      <c r="O721" t="s">
        <v>3434</v>
      </c>
      <c r="P721" s="31" t="str">
        <f>HYPERLINK("https://b2b.kobi.pl/pl/product/10262,przedluzacz-linea-pro-3gn-4usb-1usb-c-3m-zu-w-czarny-kobi?currency=PLN")</f>
        <v>https://b2b.kobi.pl/pl/product/10262,przedluzacz-linea-pro-3gn-4usb-1usb-c-3m-zu-w-czarny-kobi?currency=PLN</v>
      </c>
      <c r="Q721" t="s">
        <v>15</v>
      </c>
      <c r="R721"/>
      <c r="S721" t="s">
        <v>2719</v>
      </c>
      <c r="T721"/>
      <c r="U721">
        <v>0.52</v>
      </c>
      <c r="V721">
        <v>0.61</v>
      </c>
      <c r="W721">
        <v>14.5</v>
      </c>
      <c r="X721">
        <v>5</v>
      </c>
      <c r="Y721">
        <v>22</v>
      </c>
    </row>
    <row r="722" spans="1:25" ht="60" customHeight="1" x14ac:dyDescent="0.25">
      <c r="A722"/>
      <c r="B722" t="s">
        <v>646</v>
      </c>
      <c r="C722" t="s">
        <v>20</v>
      </c>
      <c r="D722" t="s">
        <v>643</v>
      </c>
      <c r="E722" t="s">
        <v>3304</v>
      </c>
      <c r="F722" t="s">
        <v>1241</v>
      </c>
      <c r="G722" t="s">
        <v>645</v>
      </c>
      <c r="H722" s="30">
        <v>117.56</v>
      </c>
      <c r="I722" s="29">
        <f>H722*(1-IFERROR(VLOOKUP(G722,Rabat!$D$10:$E$41,2,FALSE),0))</f>
        <v>117.56</v>
      </c>
      <c r="J722" t="s">
        <v>1902</v>
      </c>
      <c r="K722" t="s">
        <v>541</v>
      </c>
      <c r="L722" t="s">
        <v>1901</v>
      </c>
      <c r="M722">
        <v>20</v>
      </c>
      <c r="N722"/>
      <c r="O722" t="s">
        <v>3434</v>
      </c>
      <c r="P722" s="31" t="str">
        <f>HYPERLINK("https://b2b.kobi.pl/pl/product/10263,przedluzacz-linea-pro-3gn-4usb-1usb-c-5m-zu-w-bialy-kobi?currency=PLN")</f>
        <v>https://b2b.kobi.pl/pl/product/10263,przedluzacz-linea-pro-3gn-4usb-1usb-c-5m-zu-w-bialy-kobi?currency=PLN</v>
      </c>
      <c r="Q722" t="s">
        <v>15</v>
      </c>
      <c r="R722"/>
      <c r="S722" t="s">
        <v>2719</v>
      </c>
      <c r="T722"/>
      <c r="U722">
        <v>0.73</v>
      </c>
      <c r="V722">
        <v>0.81499999999999995</v>
      </c>
      <c r="W722">
        <v>17</v>
      </c>
      <c r="X722">
        <v>5.5</v>
      </c>
      <c r="Y722">
        <v>23</v>
      </c>
    </row>
    <row r="723" spans="1:25" ht="60" customHeight="1" x14ac:dyDescent="0.25">
      <c r="A723"/>
      <c r="B723" t="s">
        <v>646</v>
      </c>
      <c r="C723" t="s">
        <v>20</v>
      </c>
      <c r="D723" t="s">
        <v>643</v>
      </c>
      <c r="E723" t="s">
        <v>3305</v>
      </c>
      <c r="F723" t="s">
        <v>1244</v>
      </c>
      <c r="G723" t="s">
        <v>645</v>
      </c>
      <c r="H723" s="30">
        <v>117.56</v>
      </c>
      <c r="I723" s="29">
        <f>H723*(1-IFERROR(VLOOKUP(G723,Rabat!$D$10:$E$41,2,FALSE),0))</f>
        <v>117.56</v>
      </c>
      <c r="J723" t="s">
        <v>1902</v>
      </c>
      <c r="K723" t="s">
        <v>532</v>
      </c>
      <c r="L723" t="s">
        <v>1901</v>
      </c>
      <c r="M723">
        <v>20</v>
      </c>
      <c r="N723"/>
      <c r="O723" t="s">
        <v>3434</v>
      </c>
      <c r="P723" s="31" t="str">
        <f>HYPERLINK("https://b2b.kobi.pl/pl/product/10264,przedluzacz-linea-pro-3gn-4usb-1usb-c-5m-zu-w-czarny-kobi?currency=PLN")</f>
        <v>https://b2b.kobi.pl/pl/product/10264,przedluzacz-linea-pro-3gn-4usb-1usb-c-5m-zu-w-czarny-kobi?currency=PLN</v>
      </c>
      <c r="Q723" t="s">
        <v>15</v>
      </c>
      <c r="R723"/>
      <c r="S723" t="s">
        <v>2719</v>
      </c>
      <c r="T723"/>
      <c r="U723">
        <v>0.73</v>
      </c>
      <c r="V723">
        <v>0.81499999999999995</v>
      </c>
      <c r="W723">
        <v>17</v>
      </c>
      <c r="X723">
        <v>5.5</v>
      </c>
      <c r="Y723">
        <v>23</v>
      </c>
    </row>
    <row r="724" spans="1:25" ht="60" customHeight="1" x14ac:dyDescent="0.25">
      <c r="A724"/>
      <c r="B724" t="s">
        <v>646</v>
      </c>
      <c r="C724" t="s">
        <v>20</v>
      </c>
      <c r="D724" t="s">
        <v>643</v>
      </c>
      <c r="E724" t="s">
        <v>2300</v>
      </c>
      <c r="F724" t="s">
        <v>2301</v>
      </c>
      <c r="G724" t="s">
        <v>645</v>
      </c>
      <c r="H724" s="30">
        <v>62.25</v>
      </c>
      <c r="I724" s="29">
        <f>H724*(1-IFERROR(VLOOKUP(G724,Rabat!$D$10:$E$41,2,FALSE),0))</f>
        <v>62.25</v>
      </c>
      <c r="J724" t="s">
        <v>1902</v>
      </c>
      <c r="K724" t="s">
        <v>2343</v>
      </c>
      <c r="L724" t="s">
        <v>1901</v>
      </c>
      <c r="M724">
        <v>20</v>
      </c>
      <c r="N724">
        <v>600</v>
      </c>
      <c r="O724" t="s">
        <v>3434</v>
      </c>
      <c r="P724" s="31" t="str">
        <f>HYPERLINK("https://b2b.kobi.pl/pl/product/12648,przedluzacz-linea-pro-xc-3gn-3usb-1usb-c-1-5m-zu-w-bialy-kobi?currency=PLN")</f>
        <v>https://b2b.kobi.pl/pl/product/12648,przedluzacz-linea-pro-xc-3gn-3usb-1usb-c-1-5m-zu-w-bialy-kobi?currency=PLN</v>
      </c>
      <c r="Q724" t="s">
        <v>15</v>
      </c>
      <c r="R724"/>
      <c r="S724" t="s">
        <v>2719</v>
      </c>
      <c r="T724"/>
      <c r="U724">
        <v>0.35299999999999998</v>
      </c>
      <c r="V724">
        <v>0.44</v>
      </c>
      <c r="W724">
        <v>13.2</v>
      </c>
      <c r="X724">
        <v>4.8</v>
      </c>
      <c r="Y724">
        <v>25.2</v>
      </c>
    </row>
    <row r="725" spans="1:25" ht="60" customHeight="1" x14ac:dyDescent="0.25">
      <c r="A725"/>
      <c r="B725" t="s">
        <v>646</v>
      </c>
      <c r="C725" t="s">
        <v>20</v>
      </c>
      <c r="D725" t="s">
        <v>643</v>
      </c>
      <c r="E725" t="s">
        <v>2302</v>
      </c>
      <c r="F725" t="s">
        <v>2303</v>
      </c>
      <c r="G725" t="s">
        <v>645</v>
      </c>
      <c r="H725" s="30">
        <v>62.25</v>
      </c>
      <c r="I725" s="29">
        <f>H725*(1-IFERROR(VLOOKUP(G725,Rabat!$D$10:$E$41,2,FALSE),0))</f>
        <v>62.25</v>
      </c>
      <c r="J725" t="s">
        <v>1902</v>
      </c>
      <c r="K725" t="s">
        <v>2344</v>
      </c>
      <c r="L725" t="s">
        <v>1901</v>
      </c>
      <c r="M725">
        <v>20</v>
      </c>
      <c r="N725">
        <v>600</v>
      </c>
      <c r="O725" t="s">
        <v>3434</v>
      </c>
      <c r="P725" s="31" t="str">
        <f>HYPERLINK("https://b2b.kobi.pl/pl/product/12649,przedluzacz-linea-pro-xc-3gn-3usb-1usb-c-1-5m-zu-w-czarny-kobi?currency=PLN")</f>
        <v>https://b2b.kobi.pl/pl/product/12649,przedluzacz-linea-pro-xc-3gn-3usb-1usb-c-1-5m-zu-w-czarny-kobi?currency=PLN</v>
      </c>
      <c r="Q725" t="s">
        <v>15</v>
      </c>
      <c r="R725"/>
      <c r="S725" t="s">
        <v>2719</v>
      </c>
      <c r="T725"/>
      <c r="U725">
        <v>0.35299999999999998</v>
      </c>
      <c r="V725">
        <v>0.44</v>
      </c>
      <c r="W725">
        <v>13.2</v>
      </c>
      <c r="X725">
        <v>4.8</v>
      </c>
      <c r="Y725">
        <v>25.2</v>
      </c>
    </row>
    <row r="726" spans="1:25" ht="60" customHeight="1" x14ac:dyDescent="0.25">
      <c r="A726"/>
      <c r="B726" t="s">
        <v>646</v>
      </c>
      <c r="C726" t="s">
        <v>20</v>
      </c>
      <c r="D726" t="s">
        <v>643</v>
      </c>
      <c r="E726" t="s">
        <v>2304</v>
      </c>
      <c r="F726" t="s">
        <v>2305</v>
      </c>
      <c r="G726" t="s">
        <v>645</v>
      </c>
      <c r="H726" s="30">
        <v>78.75</v>
      </c>
      <c r="I726" s="29">
        <f>H726*(1-IFERROR(VLOOKUP(G726,Rabat!$D$10:$E$41,2,FALSE),0))</f>
        <v>78.75</v>
      </c>
      <c r="J726" t="s">
        <v>1902</v>
      </c>
      <c r="K726" t="s">
        <v>2345</v>
      </c>
      <c r="L726" t="s">
        <v>1901</v>
      </c>
      <c r="M726">
        <v>20</v>
      </c>
      <c r="N726">
        <v>600</v>
      </c>
      <c r="O726" t="s">
        <v>3434</v>
      </c>
      <c r="P726" s="31" t="str">
        <f>HYPERLINK("https://b2b.kobi.pl/pl/product/12650,przedluzacz-linea-pro-xc-3gn-3usb-1usb-c-3m-zu-w-bialy-kobi?currency=PLN")</f>
        <v>https://b2b.kobi.pl/pl/product/12650,przedluzacz-linea-pro-xc-3gn-3usb-1usb-c-3m-zu-w-bialy-kobi?currency=PLN</v>
      </c>
      <c r="Q726" t="s">
        <v>15</v>
      </c>
      <c r="R726"/>
      <c r="S726" t="s">
        <v>2719</v>
      </c>
      <c r="T726"/>
      <c r="U726">
        <v>0.51700000000000002</v>
      </c>
      <c r="V726">
        <v>0.6</v>
      </c>
      <c r="W726">
        <v>13.2</v>
      </c>
      <c r="X726">
        <v>4.8</v>
      </c>
      <c r="Y726">
        <v>25.2</v>
      </c>
    </row>
    <row r="727" spans="1:25" ht="60" customHeight="1" x14ac:dyDescent="0.25">
      <c r="A727"/>
      <c r="B727" t="s">
        <v>646</v>
      </c>
      <c r="C727" t="s">
        <v>20</v>
      </c>
      <c r="D727" t="s">
        <v>643</v>
      </c>
      <c r="E727" t="s">
        <v>2306</v>
      </c>
      <c r="F727" t="s">
        <v>2307</v>
      </c>
      <c r="G727" t="s">
        <v>645</v>
      </c>
      <c r="H727" s="30">
        <v>78.75</v>
      </c>
      <c r="I727" s="29">
        <f>H727*(1-IFERROR(VLOOKUP(G727,Rabat!$D$10:$E$41,2,FALSE),0))</f>
        <v>78.75</v>
      </c>
      <c r="J727" t="s">
        <v>1902</v>
      </c>
      <c r="K727" t="s">
        <v>2346</v>
      </c>
      <c r="L727" t="s">
        <v>1901</v>
      </c>
      <c r="M727">
        <v>20</v>
      </c>
      <c r="N727">
        <v>600</v>
      </c>
      <c r="O727" t="s">
        <v>3434</v>
      </c>
      <c r="P727" s="31" t="str">
        <f>HYPERLINK("https://b2b.kobi.pl/pl/product/12651,przedluzacz-linea-pro-xc-3gn-3usb-1usb-c-3m-zu-w-czarny-kobi?currency=PLN")</f>
        <v>https://b2b.kobi.pl/pl/product/12651,przedluzacz-linea-pro-xc-3gn-3usb-1usb-c-3m-zu-w-czarny-kobi?currency=PLN</v>
      </c>
      <c r="Q727" t="s">
        <v>15</v>
      </c>
      <c r="R727"/>
      <c r="S727" t="s">
        <v>2719</v>
      </c>
      <c r="T727"/>
      <c r="U727">
        <v>0.51700000000000002</v>
      </c>
      <c r="V727">
        <v>0.6</v>
      </c>
      <c r="W727">
        <v>13.2</v>
      </c>
      <c r="X727">
        <v>4.8</v>
      </c>
      <c r="Y727">
        <v>25.2</v>
      </c>
    </row>
    <row r="728" spans="1:25" ht="60" customHeight="1" x14ac:dyDescent="0.25">
      <c r="A728"/>
      <c r="B728" t="s">
        <v>646</v>
      </c>
      <c r="C728" t="s">
        <v>20</v>
      </c>
      <c r="D728" t="s">
        <v>643</v>
      </c>
      <c r="E728" t="s">
        <v>2811</v>
      </c>
      <c r="F728" t="s">
        <v>2746</v>
      </c>
      <c r="G728" t="s">
        <v>645</v>
      </c>
      <c r="H728" s="30">
        <v>33.75</v>
      </c>
      <c r="I728" s="29">
        <f>H728*(1-IFERROR(VLOOKUP(G728,Rabat!$D$10:$E$41,2,FALSE),0))</f>
        <v>33.75</v>
      </c>
      <c r="J728" t="s">
        <v>1902</v>
      </c>
      <c r="K728" t="s">
        <v>2771</v>
      </c>
      <c r="L728" t="s">
        <v>1901</v>
      </c>
      <c r="M728">
        <v>96</v>
      </c>
      <c r="N728">
        <v>1344</v>
      </c>
      <c r="O728" t="s">
        <v>3434</v>
      </c>
      <c r="P728" s="31" t="str">
        <f>HYPERLINK("https://b2b.kobi.pl/pl/product/12761,rozgaleznik-linea-pro-fl2-2gn-2usb-1usb-c-bialy-kobi?currency=PLN")</f>
        <v>https://b2b.kobi.pl/pl/product/12761,rozgaleznik-linea-pro-fl2-2gn-2usb-1usb-c-bialy-kobi?currency=PLN</v>
      </c>
      <c r="Q728" t="s">
        <v>15</v>
      </c>
      <c r="R728"/>
      <c r="S728" t="s">
        <v>2719</v>
      </c>
      <c r="T728"/>
      <c r="U728">
        <v>0.14000000000000001</v>
      </c>
      <c r="V728">
        <v>0.17499999999999999</v>
      </c>
      <c r="W728">
        <v>9.6</v>
      </c>
      <c r="X728">
        <v>8.6</v>
      </c>
      <c r="Y728">
        <v>9.6999999999999993</v>
      </c>
    </row>
    <row r="729" spans="1:25" ht="60" customHeight="1" x14ac:dyDescent="0.25">
      <c r="A729"/>
      <c r="B729" t="s">
        <v>646</v>
      </c>
      <c r="C729" t="s">
        <v>20</v>
      </c>
      <c r="D729" t="s">
        <v>643</v>
      </c>
      <c r="E729" t="s">
        <v>2747</v>
      </c>
      <c r="F729" t="s">
        <v>2748</v>
      </c>
      <c r="G729" t="s">
        <v>645</v>
      </c>
      <c r="H729" s="30">
        <v>33.75</v>
      </c>
      <c r="I729" s="29">
        <f>H729*(1-IFERROR(VLOOKUP(G729,Rabat!$D$10:$E$41,2,FALSE),0))</f>
        <v>33.75</v>
      </c>
      <c r="J729" t="s">
        <v>1902</v>
      </c>
      <c r="K729" t="s">
        <v>2772</v>
      </c>
      <c r="L729" t="s">
        <v>1901</v>
      </c>
      <c r="M729">
        <v>96</v>
      </c>
      <c r="N729">
        <v>1344</v>
      </c>
      <c r="O729" t="s">
        <v>3434</v>
      </c>
      <c r="P729" s="31" t="str">
        <f>HYPERLINK("https://b2b.kobi.pl/pl/product/12762,rozgaleznik-linea-pro-fl2-2gn-2usb-1usb-c-czarny-kobi?currency=PLN")</f>
        <v>https://b2b.kobi.pl/pl/product/12762,rozgaleznik-linea-pro-fl2-2gn-2usb-1usb-c-czarny-kobi?currency=PLN</v>
      </c>
      <c r="Q729" t="s">
        <v>15</v>
      </c>
      <c r="R729"/>
      <c r="S729" t="s">
        <v>2719</v>
      </c>
      <c r="T729"/>
      <c r="U729">
        <v>0.14000000000000001</v>
      </c>
      <c r="V729">
        <v>0.17499999999999999</v>
      </c>
      <c r="W729">
        <v>9.6</v>
      </c>
      <c r="X729">
        <v>8.6</v>
      </c>
      <c r="Y729">
        <v>9.6999999999999993</v>
      </c>
    </row>
    <row r="730" spans="1:25" ht="60" customHeight="1" x14ac:dyDescent="0.25">
      <c r="A730"/>
      <c r="B730" t="s">
        <v>646</v>
      </c>
      <c r="C730" t="s">
        <v>20</v>
      </c>
      <c r="D730" t="s">
        <v>643</v>
      </c>
      <c r="E730" t="s">
        <v>3200</v>
      </c>
      <c r="F730" t="s">
        <v>3201</v>
      </c>
      <c r="G730" t="s">
        <v>645</v>
      </c>
      <c r="H730" s="30">
        <v>42.48</v>
      </c>
      <c r="I730" s="29">
        <f>H730*(1-IFERROR(VLOOKUP(G730,Rabat!$D$10:$E$41,2,FALSE),0))</f>
        <v>42.48</v>
      </c>
      <c r="J730"/>
      <c r="K730" t="s">
        <v>3228</v>
      </c>
      <c r="L730" t="s">
        <v>1901</v>
      </c>
      <c r="M730">
        <v>20</v>
      </c>
      <c r="N730">
        <v>840</v>
      </c>
      <c r="O730" t="s">
        <v>3434</v>
      </c>
      <c r="P730" s="31" t="str">
        <f>HYPERLINK("https://b2b.kobi.pl/pl/product/13151,przedluzacz-linea-g-1gn-10m-bu-2x1mm-pomaranczowy-kobi?currency=PLN")</f>
        <v>https://b2b.kobi.pl/pl/product/13151,przedluzacz-linea-g-1gn-10m-bu-2x1mm-pomaranczowy-kobi?currency=PLN</v>
      </c>
      <c r="Q730" t="s">
        <v>15</v>
      </c>
      <c r="R730"/>
      <c r="S730" t="s">
        <v>2719</v>
      </c>
      <c r="T730"/>
      <c r="U730">
        <v>0.68500000000000005</v>
      </c>
      <c r="V730">
        <v>0.69899999999999995</v>
      </c>
      <c r="W730">
        <v>18</v>
      </c>
      <c r="X730">
        <v>18</v>
      </c>
      <c r="Y730">
        <v>6</v>
      </c>
    </row>
    <row r="731" spans="1:25" ht="60" customHeight="1" x14ac:dyDescent="0.25">
      <c r="A731"/>
      <c r="B731" t="s">
        <v>646</v>
      </c>
      <c r="C731" t="s">
        <v>20</v>
      </c>
      <c r="D731" t="s">
        <v>643</v>
      </c>
      <c r="E731" t="s">
        <v>3240</v>
      </c>
      <c r="F731" t="s">
        <v>3202</v>
      </c>
      <c r="G731" t="s">
        <v>645</v>
      </c>
      <c r="H731" s="30">
        <v>58.75</v>
      </c>
      <c r="I731" s="29">
        <f>H731*(1-IFERROR(VLOOKUP(G731,Rabat!$D$10:$E$41,2,FALSE),0))</f>
        <v>58.75</v>
      </c>
      <c r="J731"/>
      <c r="K731" t="s">
        <v>3229</v>
      </c>
      <c r="L731" t="s">
        <v>1901</v>
      </c>
      <c r="M731">
        <v>10</v>
      </c>
      <c r="N731">
        <v>720</v>
      </c>
      <c r="O731" t="s">
        <v>3434</v>
      </c>
      <c r="P731" s="31" t="str">
        <f>HYPERLINK("https://b2b.kobi.pl/pl/product/13152,przedluzacz-linea-g-1gn-15m-bu-2x1mm-pomaranczowy-kobi?currency=PLN")</f>
        <v>https://b2b.kobi.pl/pl/product/13152,przedluzacz-linea-g-1gn-15m-bu-2x1mm-pomaranczowy-kobi?currency=PLN</v>
      </c>
      <c r="Q731" t="s">
        <v>15</v>
      </c>
      <c r="R731"/>
      <c r="S731" t="s">
        <v>2719</v>
      </c>
      <c r="T731"/>
      <c r="U731">
        <v>0.997</v>
      </c>
      <c r="V731">
        <v>1</v>
      </c>
      <c r="W731">
        <v>20</v>
      </c>
      <c r="X731">
        <v>20</v>
      </c>
      <c r="Y731">
        <v>6</v>
      </c>
    </row>
    <row r="732" spans="1:25" ht="60" customHeight="1" x14ac:dyDescent="0.25">
      <c r="A732"/>
      <c r="B732" t="s">
        <v>646</v>
      </c>
      <c r="C732" t="s">
        <v>20</v>
      </c>
      <c r="D732" t="s">
        <v>643</v>
      </c>
      <c r="E732" t="s">
        <v>3241</v>
      </c>
      <c r="F732" t="s">
        <v>3203</v>
      </c>
      <c r="G732" t="s">
        <v>645</v>
      </c>
      <c r="H732" s="30">
        <v>76.25</v>
      </c>
      <c r="I732" s="29">
        <f>H732*(1-IFERROR(VLOOKUP(G732,Rabat!$D$10:$E$41,2,FALSE),0))</f>
        <v>76.25</v>
      </c>
      <c r="J732"/>
      <c r="K732" t="s">
        <v>3230</v>
      </c>
      <c r="L732" t="s">
        <v>1901</v>
      </c>
      <c r="M732">
        <v>10</v>
      </c>
      <c r="N732">
        <v>600</v>
      </c>
      <c r="O732" t="s">
        <v>3434</v>
      </c>
      <c r="P732" s="31" t="str">
        <f>HYPERLINK("https://b2b.kobi.pl/pl/product/13153,przedluzacz-linea-g-1gn-20m-bu-2x1mm-pomaranczowy-kobi?currency=PLN")</f>
        <v>https://b2b.kobi.pl/pl/product/13153,przedluzacz-linea-g-1gn-20m-bu-2x1mm-pomaranczowy-kobi?currency=PLN</v>
      </c>
      <c r="Q732" t="s">
        <v>15</v>
      </c>
      <c r="R732"/>
      <c r="S732" t="s">
        <v>2719</v>
      </c>
      <c r="T732"/>
      <c r="U732">
        <v>1.29</v>
      </c>
      <c r="V732">
        <v>1.3</v>
      </c>
      <c r="W732">
        <v>21</v>
      </c>
      <c r="X732">
        <v>21</v>
      </c>
      <c r="Y732">
        <v>6</v>
      </c>
    </row>
    <row r="733" spans="1:25" ht="60" customHeight="1" x14ac:dyDescent="0.25">
      <c r="A733"/>
      <c r="B733" t="s">
        <v>646</v>
      </c>
      <c r="C733" t="s">
        <v>20</v>
      </c>
      <c r="D733" t="s">
        <v>643</v>
      </c>
      <c r="E733" t="s">
        <v>3242</v>
      </c>
      <c r="F733" t="s">
        <v>3204</v>
      </c>
      <c r="G733" t="s">
        <v>645</v>
      </c>
      <c r="H733" s="30">
        <v>107.48</v>
      </c>
      <c r="I733" s="29">
        <f>H733*(1-IFERROR(VLOOKUP(G733,Rabat!$D$10:$E$41,2,FALSE),0))</f>
        <v>107.48</v>
      </c>
      <c r="J733"/>
      <c r="K733" t="s">
        <v>3231</v>
      </c>
      <c r="L733" t="s">
        <v>1901</v>
      </c>
      <c r="M733">
        <v>4</v>
      </c>
      <c r="N733">
        <v>416</v>
      </c>
      <c r="O733" t="s">
        <v>3434</v>
      </c>
      <c r="P733" s="31" t="str">
        <f>HYPERLINK("https://b2b.kobi.pl/pl/product/13155,przedluzacz-linea-g-1gn-30m-bu-2x1mm-pomaranczowy-kobi?currency=PLN")</f>
        <v>https://b2b.kobi.pl/pl/product/13155,przedluzacz-linea-g-1gn-30m-bu-2x1mm-pomaranczowy-kobi?currency=PLN</v>
      </c>
      <c r="Q733" t="s">
        <v>15</v>
      </c>
      <c r="R733"/>
      <c r="S733" t="s">
        <v>2719</v>
      </c>
      <c r="T733"/>
      <c r="U733">
        <v>1.887</v>
      </c>
      <c r="V733">
        <v>1.8979999999999999</v>
      </c>
      <c r="W733">
        <v>22.5</v>
      </c>
      <c r="X733">
        <v>22.5</v>
      </c>
      <c r="Y733">
        <v>6.5</v>
      </c>
    </row>
    <row r="734" spans="1:25" ht="60" customHeight="1" x14ac:dyDescent="0.25">
      <c r="A734"/>
      <c r="B734" t="s">
        <v>646</v>
      </c>
      <c r="C734" t="s">
        <v>20</v>
      </c>
      <c r="D734" t="s">
        <v>643</v>
      </c>
      <c r="E734" t="s">
        <v>3243</v>
      </c>
      <c r="F734" t="s">
        <v>3157</v>
      </c>
      <c r="G734" t="s">
        <v>645</v>
      </c>
      <c r="H734" s="30">
        <v>92.25</v>
      </c>
      <c r="I734" s="29">
        <f>H734*(1-IFERROR(VLOOKUP(G734,Rabat!$D$10:$E$41,2,FALSE),0))</f>
        <v>92.25</v>
      </c>
      <c r="J734"/>
      <c r="K734" t="s">
        <v>3206</v>
      </c>
      <c r="L734" t="s">
        <v>1901</v>
      </c>
      <c r="M734">
        <v>4</v>
      </c>
      <c r="N734">
        <v>364</v>
      </c>
      <c r="O734" t="s">
        <v>3434</v>
      </c>
      <c r="P734" s="31" t="str">
        <f>HYPERLINK("https://b2b.kobi.pl/pl/product/13154,przedluzacz-linea-g-1gn-25m-bu-2x1mm-pomaranczowy-kobi?currency=PLN")</f>
        <v>https://b2b.kobi.pl/pl/product/13154,przedluzacz-linea-g-1gn-25m-bu-2x1mm-pomaranczowy-kobi?currency=PLN</v>
      </c>
      <c r="Q734" t="s">
        <v>15</v>
      </c>
      <c r="R734"/>
      <c r="S734" t="s">
        <v>2719</v>
      </c>
      <c r="T734"/>
      <c r="U734">
        <v>1.6</v>
      </c>
      <c r="V734">
        <v>1.61</v>
      </c>
      <c r="W734">
        <v>21.5</v>
      </c>
      <c r="X734">
        <v>21.5</v>
      </c>
      <c r="Y734">
        <v>6.5</v>
      </c>
    </row>
    <row r="735" spans="1:25" ht="60" customHeight="1" x14ac:dyDescent="0.25">
      <c r="A735"/>
      <c r="B735" t="s">
        <v>5</v>
      </c>
      <c r="C735" t="s">
        <v>3377</v>
      </c>
      <c r="D735" t="s">
        <v>671</v>
      </c>
      <c r="E735" t="s">
        <v>826</v>
      </c>
      <c r="F735" t="s">
        <v>827</v>
      </c>
      <c r="G735" t="s">
        <v>713</v>
      </c>
      <c r="H735" s="30">
        <v>170.38</v>
      </c>
      <c r="I735" s="29">
        <f>H735*(1-IFERROR(VLOOKUP(G735,Rabat!$D$10:$E$41,2,FALSE),0))</f>
        <v>170.38</v>
      </c>
      <c r="J735" t="s">
        <v>1902</v>
      </c>
      <c r="K735" t="s">
        <v>475</v>
      </c>
      <c r="L735" t="s">
        <v>1901</v>
      </c>
      <c r="M735">
        <v>20</v>
      </c>
      <c r="N735"/>
      <c r="O735" t="s">
        <v>3434</v>
      </c>
      <c r="P735" s="31" t="str">
        <f>HYPERLINK("https://b2b.kobi.pl/pl/product/9796,lampa-podlogowa-play-sl-6w-rgb-kobi-design?currency=PLN")</f>
        <v>https://b2b.kobi.pl/pl/product/9796,lampa-podlogowa-play-sl-6w-rgb-kobi-design?currency=PLN</v>
      </c>
      <c r="Q735" t="s">
        <v>15</v>
      </c>
      <c r="R735"/>
      <c r="S735" t="s">
        <v>2720</v>
      </c>
      <c r="T735"/>
      <c r="U735">
        <v>0.64</v>
      </c>
      <c r="V735">
        <v>1.42</v>
      </c>
      <c r="W735">
        <v>125</v>
      </c>
      <c r="X735">
        <v>8</v>
      </c>
      <c r="Y735">
        <v>8</v>
      </c>
    </row>
    <row r="736" spans="1:25" ht="60" customHeight="1" x14ac:dyDescent="0.25">
      <c r="A736"/>
      <c r="B736" t="s">
        <v>5</v>
      </c>
      <c r="C736" t="s">
        <v>3377</v>
      </c>
      <c r="D736" t="s">
        <v>671</v>
      </c>
      <c r="E736" t="s">
        <v>876</v>
      </c>
      <c r="F736" t="s">
        <v>877</v>
      </c>
      <c r="G736" t="s">
        <v>825</v>
      </c>
      <c r="H736" s="30">
        <v>97.5</v>
      </c>
      <c r="I736" s="29">
        <f>H736*(1-IFERROR(VLOOKUP(G736,Rabat!$D$10:$E$41,2,FALSE),0))</f>
        <v>97.5</v>
      </c>
      <c r="J736" t="s">
        <v>1902</v>
      </c>
      <c r="K736" t="s">
        <v>480</v>
      </c>
      <c r="L736" t="s">
        <v>1901</v>
      </c>
      <c r="M736">
        <v>20</v>
      </c>
      <c r="N736"/>
      <c r="O736" t="s">
        <v>3434</v>
      </c>
      <c r="P736" s="31" t="str">
        <f>HYPERLINK("https://b2b.kobi.pl/pl/product/9797,lampka-na-monitor-led-lume-iq-5w-cct-kobi-design?currency=PLN")</f>
        <v>https://b2b.kobi.pl/pl/product/9797,lampka-na-monitor-led-lume-iq-5w-cct-kobi-design?currency=PLN</v>
      </c>
      <c r="Q736" s="31" t="str">
        <f>HYPERLINK("https://eprel.ec.europa.eu/qr/2077068")</f>
        <v>https://eprel.ec.europa.eu/qr/2077068</v>
      </c>
      <c r="R736"/>
      <c r="S736" t="s">
        <v>2716</v>
      </c>
      <c r="T736"/>
      <c r="U736">
        <v>0.5</v>
      </c>
      <c r="V736">
        <v>0.51</v>
      </c>
      <c r="W736">
        <v>36</v>
      </c>
      <c r="X736">
        <v>98</v>
      </c>
      <c r="Y736">
        <v>12</v>
      </c>
    </row>
    <row r="737" spans="1:25" ht="60" customHeight="1" x14ac:dyDescent="0.25">
      <c r="A737"/>
      <c r="B737" t="s">
        <v>5</v>
      </c>
      <c r="C737" t="s">
        <v>3377</v>
      </c>
      <c r="D737" t="s">
        <v>671</v>
      </c>
      <c r="E737" t="s">
        <v>719</v>
      </c>
      <c r="F737" t="s">
        <v>720</v>
      </c>
      <c r="G737" t="s">
        <v>713</v>
      </c>
      <c r="H737" s="30">
        <v>108.89</v>
      </c>
      <c r="I737" s="29">
        <f>H737*(1-IFERROR(VLOOKUP(G737,Rabat!$D$10:$E$41,2,FALSE),0))</f>
        <v>108.89</v>
      </c>
      <c r="J737" t="s">
        <v>1902</v>
      </c>
      <c r="K737" t="s">
        <v>481</v>
      </c>
      <c r="L737" t="s">
        <v>1901</v>
      </c>
      <c r="M737">
        <v>20</v>
      </c>
      <c r="N737"/>
      <c r="O737" t="s">
        <v>3434</v>
      </c>
      <c r="P737" s="31" t="str">
        <f>HYPERLINK("https://b2b.kobi.pl/pl/product/9798,kinkiet-led-lumireflect-8w-4000k-czarny-kobi-design?currency=PLN")</f>
        <v>https://b2b.kobi.pl/pl/product/9798,kinkiet-led-lumireflect-8w-4000k-czarny-kobi-design?currency=PLN</v>
      </c>
      <c r="Q737" s="31" t="str">
        <f>HYPERLINK("https://eprel.ec.europa.eu/qr/1959986")</f>
        <v>https://eprel.ec.europa.eu/qr/1959986</v>
      </c>
      <c r="R737"/>
      <c r="S737" t="s">
        <v>2714</v>
      </c>
      <c r="T737"/>
      <c r="U737">
        <v>0.27</v>
      </c>
      <c r="V737">
        <v>0.375</v>
      </c>
      <c r="W737">
        <v>41.5</v>
      </c>
      <c r="X737">
        <v>12</v>
      </c>
      <c r="Y737">
        <v>5</v>
      </c>
    </row>
    <row r="738" spans="1:25" ht="60" customHeight="1" x14ac:dyDescent="0.25">
      <c r="A738"/>
      <c r="B738" t="s">
        <v>5</v>
      </c>
      <c r="C738" t="s">
        <v>3377</v>
      </c>
      <c r="D738" t="s">
        <v>671</v>
      </c>
      <c r="E738" t="s">
        <v>721</v>
      </c>
      <c r="F738" t="s">
        <v>722</v>
      </c>
      <c r="G738" t="s">
        <v>713</v>
      </c>
      <c r="H738" s="30">
        <v>110.89</v>
      </c>
      <c r="I738" s="29">
        <f>H738*(1-IFERROR(VLOOKUP(G738,Rabat!$D$10:$E$41,2,FALSE),0))</f>
        <v>110.89</v>
      </c>
      <c r="J738" t="s">
        <v>1902</v>
      </c>
      <c r="K738" t="s">
        <v>482</v>
      </c>
      <c r="L738" t="s">
        <v>1901</v>
      </c>
      <c r="M738">
        <v>20</v>
      </c>
      <c r="N738"/>
      <c r="O738" t="s">
        <v>3434</v>
      </c>
      <c r="P738" s="31" t="str">
        <f>HYPERLINK("https://b2b.kobi.pl/pl/product/9799,kinkiet-led-lumireflect-10w-4000k-czarny-kobi-design?currency=PLN")</f>
        <v>https://b2b.kobi.pl/pl/product/9799,kinkiet-led-lumireflect-10w-4000k-czarny-kobi-design?currency=PLN</v>
      </c>
      <c r="Q738" s="31" t="str">
        <f>HYPERLINK("https://eprel.ec.europa.eu/qr/2037037")</f>
        <v>https://eprel.ec.europa.eu/qr/2037037</v>
      </c>
      <c r="R738"/>
      <c r="S738" t="s">
        <v>2714</v>
      </c>
      <c r="T738"/>
      <c r="U738">
        <v>0.28999999999999998</v>
      </c>
      <c r="V738">
        <v>0.41499999999999998</v>
      </c>
      <c r="W738">
        <v>52</v>
      </c>
      <c r="X738">
        <v>12</v>
      </c>
      <c r="Y738">
        <v>5</v>
      </c>
    </row>
    <row r="739" spans="1:25" ht="60" customHeight="1" x14ac:dyDescent="0.25">
      <c r="A739"/>
      <c r="B739" t="s">
        <v>5</v>
      </c>
      <c r="C739" t="s">
        <v>3377</v>
      </c>
      <c r="D739" t="s">
        <v>671</v>
      </c>
      <c r="E739" t="s">
        <v>723</v>
      </c>
      <c r="F739" t="s">
        <v>724</v>
      </c>
      <c r="G739" t="s">
        <v>713</v>
      </c>
      <c r="H739" s="30">
        <v>121.56</v>
      </c>
      <c r="I739" s="29">
        <f>H739*(1-IFERROR(VLOOKUP(G739,Rabat!$D$10:$E$41,2,FALSE),0))</f>
        <v>121.56</v>
      </c>
      <c r="J739" t="s">
        <v>1902</v>
      </c>
      <c r="K739" t="s">
        <v>483</v>
      </c>
      <c r="L739" t="s">
        <v>1901</v>
      </c>
      <c r="M739">
        <v>20</v>
      </c>
      <c r="N739"/>
      <c r="O739" t="s">
        <v>3434</v>
      </c>
      <c r="P739" s="31" t="str">
        <f>HYPERLINK("https://b2b.kobi.pl/pl/product/9800,kinkiet-led-lumireflect-12w-4000k-czarny-kobi-design?currency=PLN")</f>
        <v>https://b2b.kobi.pl/pl/product/9800,kinkiet-led-lumireflect-12w-4000k-czarny-kobi-design?currency=PLN</v>
      </c>
      <c r="Q739" s="31" t="str">
        <f>HYPERLINK("https://eprel.ec.europa.eu/qr/2037067")</f>
        <v>https://eprel.ec.europa.eu/qr/2037067</v>
      </c>
      <c r="R739"/>
      <c r="S739" t="s">
        <v>2714</v>
      </c>
      <c r="T739"/>
      <c r="U739">
        <v>0.31</v>
      </c>
      <c r="V739">
        <v>0.47</v>
      </c>
      <c r="W739">
        <v>62</v>
      </c>
      <c r="X739">
        <v>12</v>
      </c>
      <c r="Y739">
        <v>5</v>
      </c>
    </row>
    <row r="740" spans="1:25" ht="60" customHeight="1" x14ac:dyDescent="0.25">
      <c r="A740"/>
      <c r="B740" t="s">
        <v>5</v>
      </c>
      <c r="C740" t="s">
        <v>3377</v>
      </c>
      <c r="D740" t="s">
        <v>671</v>
      </c>
      <c r="E740" t="s">
        <v>880</v>
      </c>
      <c r="F740" t="s">
        <v>881</v>
      </c>
      <c r="G740" t="s">
        <v>713</v>
      </c>
      <c r="H740" s="30">
        <v>184.71</v>
      </c>
      <c r="I740" s="29">
        <f>H740*(1-IFERROR(VLOOKUP(G740,Rabat!$D$10:$E$41,2,FALSE),0))</f>
        <v>184.71</v>
      </c>
      <c r="J740" t="s">
        <v>1902</v>
      </c>
      <c r="K740" t="s">
        <v>280</v>
      </c>
      <c r="L740" t="s">
        <v>1901</v>
      </c>
      <c r="M740">
        <v>1</v>
      </c>
      <c r="N740"/>
      <c r="O740" t="s">
        <v>3434</v>
      </c>
      <c r="P740" s="31" t="str">
        <f>HYPERLINK("https://b2b.kobi.pl/pl/product/10489,lampa-wiszaca-boho-braga-1xe27-kobi-design?currency=PLN")</f>
        <v>https://b2b.kobi.pl/pl/product/10489,lampa-wiszaca-boho-braga-1xe27-kobi-design?currency=PLN</v>
      </c>
      <c r="Q740" t="s">
        <v>15</v>
      </c>
      <c r="R740"/>
      <c r="S740" t="s">
        <v>2706</v>
      </c>
      <c r="T740"/>
      <c r="U740">
        <v>0.5</v>
      </c>
      <c r="V740">
        <v>1.1499999999999999</v>
      </c>
      <c r="W740">
        <v>46</v>
      </c>
      <c r="X740">
        <v>46</v>
      </c>
      <c r="Y740">
        <v>20.5</v>
      </c>
    </row>
    <row r="741" spans="1:25" ht="60" customHeight="1" x14ac:dyDescent="0.25">
      <c r="A741"/>
      <c r="B741" t="s">
        <v>5</v>
      </c>
      <c r="C741" t="s">
        <v>3377</v>
      </c>
      <c r="D741" t="s">
        <v>671</v>
      </c>
      <c r="E741" t="s">
        <v>870</v>
      </c>
      <c r="F741" t="s">
        <v>871</v>
      </c>
      <c r="G741" t="s">
        <v>713</v>
      </c>
      <c r="H741" s="30">
        <v>224.44</v>
      </c>
      <c r="I741" s="29">
        <f>H741*(1-IFERROR(VLOOKUP(G741,Rabat!$D$10:$E$41,2,FALSE),0))</f>
        <v>224.44</v>
      </c>
      <c r="J741" t="s">
        <v>1902</v>
      </c>
      <c r="K741" t="s">
        <v>278</v>
      </c>
      <c r="L741" t="s">
        <v>1901</v>
      </c>
      <c r="M741">
        <v>1</v>
      </c>
      <c r="N741">
        <v>60</v>
      </c>
      <c r="O741" t="s">
        <v>3434</v>
      </c>
      <c r="P741" s="31" t="str">
        <f>HYPERLINK("https://b2b.kobi.pl/pl/product/10490,lampa-wiszaca-boho-bimini-1xe27-kobi-design?currency=PLN")</f>
        <v>https://b2b.kobi.pl/pl/product/10490,lampa-wiszaca-boho-bimini-1xe27-kobi-design?currency=PLN</v>
      </c>
      <c r="Q741" t="s">
        <v>15</v>
      </c>
      <c r="R741"/>
      <c r="S741" t="s">
        <v>2706</v>
      </c>
      <c r="T741"/>
      <c r="U741">
        <v>0.88</v>
      </c>
      <c r="V741">
        <v>1.55</v>
      </c>
      <c r="W741">
        <v>33</v>
      </c>
      <c r="X741">
        <v>28</v>
      </c>
      <c r="Y741">
        <v>29.5</v>
      </c>
    </row>
    <row r="742" spans="1:25" ht="60" customHeight="1" x14ac:dyDescent="0.25">
      <c r="A742"/>
      <c r="B742" t="s">
        <v>5</v>
      </c>
      <c r="C742" t="s">
        <v>3377</v>
      </c>
      <c r="D742" t="s">
        <v>671</v>
      </c>
      <c r="E742" t="s">
        <v>888</v>
      </c>
      <c r="F742" t="s">
        <v>889</v>
      </c>
      <c r="G742" t="s">
        <v>713</v>
      </c>
      <c r="H742" s="30">
        <v>306.73</v>
      </c>
      <c r="I742" s="29">
        <f>H742*(1-IFERROR(VLOOKUP(G742,Rabat!$D$10:$E$41,2,FALSE),0))</f>
        <v>306.73</v>
      </c>
      <c r="J742" t="s">
        <v>1902</v>
      </c>
      <c r="K742" t="s">
        <v>281</v>
      </c>
      <c r="L742" t="s">
        <v>1901</v>
      </c>
      <c r="M742">
        <v>1</v>
      </c>
      <c r="N742">
        <v>32</v>
      </c>
      <c r="O742" t="s">
        <v>3434</v>
      </c>
      <c r="P742" s="31" t="str">
        <f>HYPERLINK("https://b2b.kobi.pl/pl/product/10491,lampa-wiszaca-boho-brugia-m-1xe27-kobi-design?currency=PLN")</f>
        <v>https://b2b.kobi.pl/pl/product/10491,lampa-wiszaca-boho-brugia-m-1xe27-kobi-design?currency=PLN</v>
      </c>
      <c r="Q742" t="s">
        <v>15</v>
      </c>
      <c r="R742"/>
      <c r="S742" t="s">
        <v>2706</v>
      </c>
      <c r="T742"/>
      <c r="U742">
        <v>1.2</v>
      </c>
      <c r="V742">
        <v>1.89</v>
      </c>
      <c r="W742">
        <v>55</v>
      </c>
      <c r="X742">
        <v>18</v>
      </c>
      <c r="Y742">
        <v>37</v>
      </c>
    </row>
    <row r="743" spans="1:25" ht="60" customHeight="1" x14ac:dyDescent="0.25">
      <c r="A743"/>
      <c r="B743" t="s">
        <v>5</v>
      </c>
      <c r="C743" t="s">
        <v>3377</v>
      </c>
      <c r="D743" t="s">
        <v>671</v>
      </c>
      <c r="E743" t="s">
        <v>896</v>
      </c>
      <c r="F743" t="s">
        <v>897</v>
      </c>
      <c r="G743" t="s">
        <v>713</v>
      </c>
      <c r="H743" s="30">
        <v>226.44</v>
      </c>
      <c r="I743" s="29">
        <f>H743*(1-IFERROR(VLOOKUP(G743,Rabat!$D$10:$E$41,2,FALSE),0))</f>
        <v>226.44</v>
      </c>
      <c r="J743" t="s">
        <v>1902</v>
      </c>
      <c r="K743" t="s">
        <v>282</v>
      </c>
      <c r="L743" t="s">
        <v>1901</v>
      </c>
      <c r="M743">
        <v>1</v>
      </c>
      <c r="N743">
        <v>50</v>
      </c>
      <c r="O743" t="s">
        <v>3434</v>
      </c>
      <c r="P743" s="31" t="str">
        <f>HYPERLINK("https://b2b.kobi.pl/pl/product/10492,lampa-wiszaca-boho-brugia-s-1xe27-kobi-design?currency=PLN")</f>
        <v>https://b2b.kobi.pl/pl/product/10492,lampa-wiszaca-boho-brugia-s-1xe27-kobi-design?currency=PLN</v>
      </c>
      <c r="Q743" t="s">
        <v>15</v>
      </c>
      <c r="R743"/>
      <c r="S743" t="s">
        <v>2706</v>
      </c>
      <c r="T743"/>
      <c r="U743">
        <v>0.9</v>
      </c>
      <c r="V743">
        <v>1.6</v>
      </c>
      <c r="W743">
        <v>42</v>
      </c>
      <c r="X743">
        <v>14</v>
      </c>
      <c r="Y743">
        <v>29</v>
      </c>
    </row>
    <row r="744" spans="1:25" ht="60" customHeight="1" x14ac:dyDescent="0.25">
      <c r="A744"/>
      <c r="B744" t="s">
        <v>5</v>
      </c>
      <c r="C744" t="s">
        <v>3377</v>
      </c>
      <c r="D744" t="s">
        <v>671</v>
      </c>
      <c r="E744" t="s">
        <v>868</v>
      </c>
      <c r="F744" t="s">
        <v>869</v>
      </c>
      <c r="G744" t="s">
        <v>713</v>
      </c>
      <c r="H744" s="30">
        <v>189.51</v>
      </c>
      <c r="I744" s="29">
        <f>H744*(1-IFERROR(VLOOKUP(G744,Rabat!$D$10:$E$41,2,FALSE),0))</f>
        <v>189.51</v>
      </c>
      <c r="J744" t="s">
        <v>1902</v>
      </c>
      <c r="K744" t="s">
        <v>277</v>
      </c>
      <c r="L744" t="s">
        <v>1901</v>
      </c>
      <c r="M744">
        <v>1</v>
      </c>
      <c r="N744">
        <v>60</v>
      </c>
      <c r="O744" t="s">
        <v>3434</v>
      </c>
      <c r="P744" s="31" t="str">
        <f>HYPERLINK("https://b2b.kobi.pl/pl/product/10493,lampa-wiszaca-boho-bern-1xe27-kobi-design?currency=PLN")</f>
        <v>https://b2b.kobi.pl/pl/product/10493,lampa-wiszaca-boho-bern-1xe27-kobi-design?currency=PLN</v>
      </c>
      <c r="Q744" t="s">
        <v>15</v>
      </c>
      <c r="R744"/>
      <c r="S744" t="s">
        <v>2706</v>
      </c>
      <c r="T744"/>
      <c r="U744">
        <v>0.61</v>
      </c>
      <c r="V744">
        <v>1.3</v>
      </c>
      <c r="W744">
        <v>25</v>
      </c>
      <c r="X744">
        <v>25</v>
      </c>
      <c r="Y744">
        <v>29</v>
      </c>
    </row>
    <row r="745" spans="1:25" ht="60" customHeight="1" x14ac:dyDescent="0.25">
      <c r="A745"/>
      <c r="B745" t="s">
        <v>5</v>
      </c>
      <c r="C745" t="s">
        <v>3377</v>
      </c>
      <c r="D745" t="s">
        <v>671</v>
      </c>
      <c r="E745" t="s">
        <v>872</v>
      </c>
      <c r="F745" t="s">
        <v>873</v>
      </c>
      <c r="G745" t="s">
        <v>713</v>
      </c>
      <c r="H745" s="30">
        <v>287.5</v>
      </c>
      <c r="I745" s="29">
        <f>H745*(1-IFERROR(VLOOKUP(G745,Rabat!$D$10:$E$41,2,FALSE),0))</f>
        <v>287.5</v>
      </c>
      <c r="J745" t="s">
        <v>1902</v>
      </c>
      <c r="K745" t="s">
        <v>279</v>
      </c>
      <c r="L745" t="s">
        <v>1901</v>
      </c>
      <c r="M745">
        <v>1</v>
      </c>
      <c r="N745">
        <v>21</v>
      </c>
      <c r="O745" t="s">
        <v>3434</v>
      </c>
      <c r="P745" s="31" t="str">
        <f>HYPERLINK("https://b2b.kobi.pl/pl/product/10494,lampa-wiszaca-boho-bonn-1xe27-kobi-design?currency=PLN")</f>
        <v>https://b2b.kobi.pl/pl/product/10494,lampa-wiszaca-boho-bonn-1xe27-kobi-design?currency=PLN</v>
      </c>
      <c r="Q745" t="s">
        <v>15</v>
      </c>
      <c r="R745"/>
      <c r="S745" t="s">
        <v>2706</v>
      </c>
      <c r="T745"/>
      <c r="U745">
        <v>1</v>
      </c>
      <c r="V745">
        <v>1.7</v>
      </c>
      <c r="W745">
        <v>41</v>
      </c>
      <c r="X745">
        <v>41</v>
      </c>
      <c r="Y745">
        <v>25.5</v>
      </c>
    </row>
    <row r="746" spans="1:25" ht="60" customHeight="1" x14ac:dyDescent="0.25">
      <c r="A746"/>
      <c r="B746" t="s">
        <v>5</v>
      </c>
      <c r="C746" t="s">
        <v>3377</v>
      </c>
      <c r="D746" t="s">
        <v>671</v>
      </c>
      <c r="E746" t="s">
        <v>862</v>
      </c>
      <c r="F746" t="s">
        <v>863</v>
      </c>
      <c r="G746" t="s">
        <v>713</v>
      </c>
      <c r="H746" s="30">
        <v>240.56</v>
      </c>
      <c r="I746" s="29">
        <f>H746*(1-IFERROR(VLOOKUP(G746,Rabat!$D$10:$E$41,2,FALSE),0))</f>
        <v>240.56</v>
      </c>
      <c r="J746" t="s">
        <v>1902</v>
      </c>
      <c r="K746" t="s">
        <v>276</v>
      </c>
      <c r="L746" t="s">
        <v>1901</v>
      </c>
      <c r="M746">
        <v>1</v>
      </c>
      <c r="N746">
        <v>30</v>
      </c>
      <c r="O746" t="s">
        <v>3434</v>
      </c>
      <c r="P746" s="31" t="str">
        <f>HYPERLINK("https://b2b.kobi.pl/pl/product/10495,lampa-wiszaca-boho-beirut-1xe27-kobi-design?currency=PLN")</f>
        <v>https://b2b.kobi.pl/pl/product/10495,lampa-wiszaca-boho-beirut-1xe27-kobi-design?currency=PLN</v>
      </c>
      <c r="Q746" t="s">
        <v>15</v>
      </c>
      <c r="R746"/>
      <c r="S746" t="s">
        <v>2706</v>
      </c>
      <c r="T746"/>
      <c r="U746">
        <v>0.8</v>
      </c>
      <c r="V746">
        <v>1.45</v>
      </c>
      <c r="W746">
        <v>31</v>
      </c>
      <c r="X746">
        <v>31</v>
      </c>
      <c r="Y746">
        <v>43.5</v>
      </c>
    </row>
    <row r="747" spans="1:25" ht="60" customHeight="1" x14ac:dyDescent="0.25">
      <c r="A747"/>
      <c r="B747" t="s">
        <v>5</v>
      </c>
      <c r="C747" t="s">
        <v>3377</v>
      </c>
      <c r="D747" t="s">
        <v>671</v>
      </c>
      <c r="E747" t="s">
        <v>854</v>
      </c>
      <c r="F747" t="s">
        <v>855</v>
      </c>
      <c r="G747" t="s">
        <v>713</v>
      </c>
      <c r="H747" s="30">
        <v>245.51</v>
      </c>
      <c r="I747" s="29">
        <f>H747*(1-IFERROR(VLOOKUP(G747,Rabat!$D$10:$E$41,2,FALSE),0))</f>
        <v>245.51</v>
      </c>
      <c r="J747" t="s">
        <v>1902</v>
      </c>
      <c r="K747" t="s">
        <v>274</v>
      </c>
      <c r="L747" t="s">
        <v>1901</v>
      </c>
      <c r="M747">
        <v>1</v>
      </c>
      <c r="N747">
        <v>42</v>
      </c>
      <c r="O747" t="s">
        <v>3434</v>
      </c>
      <c r="P747" s="31" t="str">
        <f>HYPERLINK("https://b2b.kobi.pl/pl/product/10496,lampa-wiszaca-boho-baku-m-1xe27-kobi-design?currency=PLN")</f>
        <v>https://b2b.kobi.pl/pl/product/10496,lampa-wiszaca-boho-baku-m-1xe27-kobi-design?currency=PLN</v>
      </c>
      <c r="Q747" t="s">
        <v>15</v>
      </c>
      <c r="R747"/>
      <c r="S747" t="s">
        <v>2706</v>
      </c>
      <c r="T747"/>
      <c r="U747">
        <v>0.99</v>
      </c>
      <c r="V747">
        <v>1.7</v>
      </c>
      <c r="W747">
        <v>39</v>
      </c>
      <c r="X747">
        <v>39</v>
      </c>
      <c r="Y747">
        <v>21</v>
      </c>
    </row>
    <row r="748" spans="1:25" ht="60" customHeight="1" x14ac:dyDescent="0.25">
      <c r="A748"/>
      <c r="B748" t="s">
        <v>5</v>
      </c>
      <c r="C748" t="s">
        <v>3377</v>
      </c>
      <c r="D748" t="s">
        <v>671</v>
      </c>
      <c r="E748" t="s">
        <v>858</v>
      </c>
      <c r="F748" t="s">
        <v>859</v>
      </c>
      <c r="G748" t="s">
        <v>713</v>
      </c>
      <c r="H748" s="30">
        <v>191.44</v>
      </c>
      <c r="I748" s="29">
        <f>H748*(1-IFERROR(VLOOKUP(G748,Rabat!$D$10:$E$41,2,FALSE),0))</f>
        <v>191.44</v>
      </c>
      <c r="J748" t="s">
        <v>1902</v>
      </c>
      <c r="K748" t="s">
        <v>275</v>
      </c>
      <c r="L748" t="s">
        <v>1901</v>
      </c>
      <c r="M748">
        <v>1</v>
      </c>
      <c r="N748">
        <v>64</v>
      </c>
      <c r="O748" t="s">
        <v>3434</v>
      </c>
      <c r="P748" s="31" t="str">
        <f>HYPERLINK("https://b2b.kobi.pl/pl/product/10497,lampa-wiszaca-boho-baku-s-1xe27-kobi-design?currency=PLN")</f>
        <v>https://b2b.kobi.pl/pl/product/10497,lampa-wiszaca-boho-baku-s-1xe27-kobi-design?currency=PLN</v>
      </c>
      <c r="Q748" t="s">
        <v>15</v>
      </c>
      <c r="R748"/>
      <c r="S748" t="s">
        <v>2706</v>
      </c>
      <c r="T748"/>
      <c r="U748">
        <v>0.8</v>
      </c>
      <c r="V748">
        <v>1.35</v>
      </c>
      <c r="W748">
        <v>31</v>
      </c>
      <c r="X748">
        <v>31</v>
      </c>
      <c r="Y748">
        <v>16</v>
      </c>
    </row>
    <row r="749" spans="1:25" ht="60" customHeight="1" x14ac:dyDescent="0.25">
      <c r="A749"/>
      <c r="B749" t="s">
        <v>5</v>
      </c>
      <c r="C749" t="s">
        <v>3377</v>
      </c>
      <c r="D749" t="s">
        <v>671</v>
      </c>
      <c r="E749" t="s">
        <v>902</v>
      </c>
      <c r="F749" t="s">
        <v>903</v>
      </c>
      <c r="G749" t="s">
        <v>713</v>
      </c>
      <c r="H749" s="30">
        <v>167</v>
      </c>
      <c r="I749" s="29">
        <f>H749*(1-IFERROR(VLOOKUP(G749,Rabat!$D$10:$E$41,2,FALSE),0))</f>
        <v>167</v>
      </c>
      <c r="J749" t="s">
        <v>1902</v>
      </c>
      <c r="K749" t="s">
        <v>285</v>
      </c>
      <c r="L749" t="s">
        <v>1901</v>
      </c>
      <c r="M749">
        <v>1</v>
      </c>
      <c r="N749">
        <v>48</v>
      </c>
      <c r="O749" t="s">
        <v>3434</v>
      </c>
      <c r="P749" s="31" t="str">
        <f>HYPERLINK("https://b2b.kobi.pl/pl/product/10498,lampa-wiszaca-boho-riga-1xe27-kobi-design?currency=PLN")</f>
        <v>https://b2b.kobi.pl/pl/product/10498,lampa-wiszaca-boho-riga-1xe27-kobi-design?currency=PLN</v>
      </c>
      <c r="Q749" t="s">
        <v>15</v>
      </c>
      <c r="R749"/>
      <c r="S749" t="s">
        <v>2706</v>
      </c>
      <c r="T749"/>
      <c r="U749">
        <v>0.6</v>
      </c>
      <c r="V749">
        <v>1.25</v>
      </c>
      <c r="W749">
        <v>32.5</v>
      </c>
      <c r="X749">
        <v>32.5</v>
      </c>
      <c r="Y749">
        <v>19.5</v>
      </c>
    </row>
    <row r="750" spans="1:25" ht="60" customHeight="1" x14ac:dyDescent="0.25">
      <c r="A750"/>
      <c r="B750" t="s">
        <v>5</v>
      </c>
      <c r="C750" t="s">
        <v>3377</v>
      </c>
      <c r="D750" t="s">
        <v>671</v>
      </c>
      <c r="E750" t="s">
        <v>904</v>
      </c>
      <c r="F750" t="s">
        <v>905</v>
      </c>
      <c r="G750" t="s">
        <v>713</v>
      </c>
      <c r="H750" s="30">
        <v>153.33000000000001</v>
      </c>
      <c r="I750" s="29">
        <f>H750*(1-IFERROR(VLOOKUP(G750,Rabat!$D$10:$E$41,2,FALSE),0))</f>
        <v>153.33000000000001</v>
      </c>
      <c r="J750" t="s">
        <v>1902</v>
      </c>
      <c r="K750" t="s">
        <v>286</v>
      </c>
      <c r="L750" t="s">
        <v>1901</v>
      </c>
      <c r="M750">
        <v>1</v>
      </c>
      <c r="N750">
        <v>108</v>
      </c>
      <c r="O750" t="s">
        <v>3434</v>
      </c>
      <c r="P750" s="31" t="str">
        <f>HYPERLINK("https://b2b.kobi.pl/pl/product/10499,lampa-wiszaca-boho-ronda-1xe27-kobi-design?currency=PLN")</f>
        <v>https://b2b.kobi.pl/pl/product/10499,lampa-wiszaca-boho-ronda-1xe27-kobi-design?currency=PLN</v>
      </c>
      <c r="Q750" t="s">
        <v>15</v>
      </c>
      <c r="R750"/>
      <c r="S750" t="s">
        <v>2706</v>
      </c>
      <c r="T750"/>
      <c r="U750">
        <v>0.45</v>
      </c>
      <c r="V750">
        <v>0.88</v>
      </c>
      <c r="W750">
        <v>26</v>
      </c>
      <c r="X750">
        <v>26</v>
      </c>
      <c r="Y750">
        <v>18.5</v>
      </c>
    </row>
    <row r="751" spans="1:25" ht="60" customHeight="1" x14ac:dyDescent="0.25">
      <c r="A751"/>
      <c r="B751" t="s">
        <v>5</v>
      </c>
      <c r="C751" t="s">
        <v>3377</v>
      </c>
      <c r="D751" t="s">
        <v>671</v>
      </c>
      <c r="E751" t="s">
        <v>898</v>
      </c>
      <c r="F751" t="s">
        <v>899</v>
      </c>
      <c r="G751" t="s">
        <v>713</v>
      </c>
      <c r="H751" s="30">
        <v>285.83999999999997</v>
      </c>
      <c r="I751" s="29">
        <f>H751*(1-IFERROR(VLOOKUP(G751,Rabat!$D$10:$E$41,2,FALSE),0))</f>
        <v>285.83999999999997</v>
      </c>
      <c r="J751" t="s">
        <v>1902</v>
      </c>
      <c r="K751" t="s">
        <v>283</v>
      </c>
      <c r="L751" t="s">
        <v>1901</v>
      </c>
      <c r="M751">
        <v>1</v>
      </c>
      <c r="N751">
        <v>30</v>
      </c>
      <c r="O751" t="s">
        <v>3434</v>
      </c>
      <c r="P751" s="31" t="str">
        <f>HYPERLINK("https://b2b.kobi.pl/pl/product/10500,lampa-wiszaca-boho-rango-1xe27-kobi-design?currency=PLN")</f>
        <v>https://b2b.kobi.pl/pl/product/10500,lampa-wiszaca-boho-rango-1xe27-kobi-design?currency=PLN</v>
      </c>
      <c r="Q751" t="s">
        <v>15</v>
      </c>
      <c r="R751"/>
      <c r="S751" t="s">
        <v>2706</v>
      </c>
      <c r="T751"/>
      <c r="U751">
        <v>0.69</v>
      </c>
      <c r="V751">
        <v>1.3</v>
      </c>
      <c r="W751">
        <v>31</v>
      </c>
      <c r="X751">
        <v>31</v>
      </c>
      <c r="Y751">
        <v>32.5</v>
      </c>
    </row>
    <row r="752" spans="1:25" ht="60" customHeight="1" x14ac:dyDescent="0.25">
      <c r="A752"/>
      <c r="B752" t="s">
        <v>5</v>
      </c>
      <c r="C752" t="s">
        <v>3377</v>
      </c>
      <c r="D752" t="s">
        <v>671</v>
      </c>
      <c r="E752" t="s">
        <v>900</v>
      </c>
      <c r="F752" t="s">
        <v>901</v>
      </c>
      <c r="G752" t="s">
        <v>713</v>
      </c>
      <c r="H752" s="30">
        <v>188.89</v>
      </c>
      <c r="I752" s="29">
        <f>H752*(1-IFERROR(VLOOKUP(G752,Rabat!$D$10:$E$41,2,FALSE),0))</f>
        <v>188.89</v>
      </c>
      <c r="J752" t="s">
        <v>1902</v>
      </c>
      <c r="K752" t="s">
        <v>284</v>
      </c>
      <c r="L752" t="s">
        <v>1901</v>
      </c>
      <c r="M752">
        <v>1</v>
      </c>
      <c r="N752">
        <v>60</v>
      </c>
      <c r="O752" t="s">
        <v>3434</v>
      </c>
      <c r="P752" s="31" t="str">
        <f>HYPERLINK("https://b2b.kobi.pl/pl/product/10501,lampa-wiszaca-boho-rennes-1xe27-kobi-design?currency=PLN")</f>
        <v>https://b2b.kobi.pl/pl/product/10501,lampa-wiszaca-boho-rennes-1xe27-kobi-design?currency=PLN</v>
      </c>
      <c r="Q752" t="s">
        <v>15</v>
      </c>
      <c r="R752"/>
      <c r="S752" t="s">
        <v>2706</v>
      </c>
      <c r="T752"/>
      <c r="U752">
        <v>0.55000000000000004</v>
      </c>
      <c r="V752">
        <v>0.98</v>
      </c>
      <c r="W752">
        <v>27</v>
      </c>
      <c r="X752">
        <v>27</v>
      </c>
      <c r="Y752">
        <v>30</v>
      </c>
    </row>
    <row r="753" spans="1:25" ht="60" customHeight="1" x14ac:dyDescent="0.25">
      <c r="A753"/>
      <c r="B753" t="s">
        <v>5</v>
      </c>
      <c r="C753" t="s">
        <v>3377</v>
      </c>
      <c r="D753" t="s">
        <v>671</v>
      </c>
      <c r="E753" t="s">
        <v>908</v>
      </c>
      <c r="F753" t="s">
        <v>909</v>
      </c>
      <c r="G753" t="s">
        <v>713</v>
      </c>
      <c r="H753" s="30">
        <v>256.93</v>
      </c>
      <c r="I753" s="29">
        <f>H753*(1-IFERROR(VLOOKUP(G753,Rabat!$D$10:$E$41,2,FALSE),0))</f>
        <v>256.93</v>
      </c>
      <c r="J753" t="s">
        <v>1902</v>
      </c>
      <c r="K753" t="s">
        <v>288</v>
      </c>
      <c r="L753" t="s">
        <v>1901</v>
      </c>
      <c r="M753">
        <v>1</v>
      </c>
      <c r="N753">
        <v>30</v>
      </c>
      <c r="O753" t="s">
        <v>3434</v>
      </c>
      <c r="P753" s="31" t="str">
        <f>HYPERLINK("https://b2b.kobi.pl/pl/product/10502,lampa-wiszaca-boho-siena-3xe27-kobi-design?currency=PLN")</f>
        <v>https://b2b.kobi.pl/pl/product/10502,lampa-wiszaca-boho-siena-3xe27-kobi-design?currency=PLN</v>
      </c>
      <c r="Q753" t="s">
        <v>15</v>
      </c>
      <c r="R753"/>
      <c r="S753" t="s">
        <v>2706</v>
      </c>
      <c r="T753"/>
      <c r="U753">
        <v>1.75</v>
      </c>
      <c r="V753">
        <v>2.8</v>
      </c>
      <c r="W753">
        <v>62</v>
      </c>
      <c r="X753">
        <v>21</v>
      </c>
      <c r="Y753">
        <v>24</v>
      </c>
    </row>
    <row r="754" spans="1:25" ht="60" customHeight="1" x14ac:dyDescent="0.25">
      <c r="A754"/>
      <c r="B754" t="s">
        <v>5</v>
      </c>
      <c r="C754" t="s">
        <v>3377</v>
      </c>
      <c r="D754" t="s">
        <v>671</v>
      </c>
      <c r="E754" t="s">
        <v>906</v>
      </c>
      <c r="F754" t="s">
        <v>907</v>
      </c>
      <c r="G754" t="s">
        <v>713</v>
      </c>
      <c r="H754" s="30">
        <v>229.62</v>
      </c>
      <c r="I754" s="29">
        <f>H754*(1-IFERROR(VLOOKUP(G754,Rabat!$D$10:$E$41,2,FALSE),0))</f>
        <v>229.62</v>
      </c>
      <c r="J754" t="s">
        <v>1902</v>
      </c>
      <c r="K754" t="s">
        <v>287</v>
      </c>
      <c r="L754" t="s">
        <v>1901</v>
      </c>
      <c r="M754">
        <v>1</v>
      </c>
      <c r="N754">
        <v>24</v>
      </c>
      <c r="O754" t="s">
        <v>3434</v>
      </c>
      <c r="P754" s="31" t="str">
        <f>HYPERLINK("https://b2b.kobi.pl/pl/product/10503,lampa-wiszaca-boho-sibu-1xe27-kobi-design?currency=PLN")</f>
        <v>https://b2b.kobi.pl/pl/product/10503,lampa-wiszaca-boho-sibu-1xe27-kobi-design?currency=PLN</v>
      </c>
      <c r="Q754" t="s">
        <v>15</v>
      </c>
      <c r="R754"/>
      <c r="S754" t="s">
        <v>2706</v>
      </c>
      <c r="T754"/>
      <c r="U754">
        <v>0.71</v>
      </c>
      <c r="V754">
        <v>1.32</v>
      </c>
      <c r="W754">
        <v>34</v>
      </c>
      <c r="X754">
        <v>34</v>
      </c>
      <c r="Y754">
        <v>36.5</v>
      </c>
    </row>
    <row r="755" spans="1:25" ht="60" customHeight="1" x14ac:dyDescent="0.25">
      <c r="A755"/>
      <c r="B755" t="s">
        <v>5</v>
      </c>
      <c r="C755" t="s">
        <v>3377</v>
      </c>
      <c r="D755" t="s">
        <v>671</v>
      </c>
      <c r="E755" t="s">
        <v>910</v>
      </c>
      <c r="F755" t="s">
        <v>911</v>
      </c>
      <c r="G755" t="s">
        <v>713</v>
      </c>
      <c r="H755" s="30">
        <v>313.16000000000003</v>
      </c>
      <c r="I755" s="29">
        <f>H755*(1-IFERROR(VLOOKUP(G755,Rabat!$D$10:$E$41,2,FALSE),0))</f>
        <v>313.16000000000003</v>
      </c>
      <c r="J755" t="s">
        <v>1902</v>
      </c>
      <c r="K755" t="s">
        <v>289</v>
      </c>
      <c r="L755" t="s">
        <v>1901</v>
      </c>
      <c r="M755">
        <v>1</v>
      </c>
      <c r="N755">
        <v>22</v>
      </c>
      <c r="O755" t="s">
        <v>3434</v>
      </c>
      <c r="P755" s="31" t="str">
        <f>HYPERLINK("https://b2b.kobi.pl/pl/product/10504,lampa-wiszaca-boho-verona-1xe27-kobi-design?currency=PLN")</f>
        <v>https://b2b.kobi.pl/pl/product/10504,lampa-wiszaca-boho-verona-1xe27-kobi-design?currency=PLN</v>
      </c>
      <c r="Q755" t="s">
        <v>15</v>
      </c>
      <c r="R755"/>
      <c r="S755" t="s">
        <v>2706</v>
      </c>
      <c r="T755"/>
      <c r="U755">
        <v>0.89</v>
      </c>
      <c r="V755">
        <v>1.55</v>
      </c>
      <c r="W755">
        <v>61</v>
      </c>
      <c r="X755">
        <v>60</v>
      </c>
      <c r="Y755">
        <v>17.5</v>
      </c>
    </row>
    <row r="756" spans="1:25" ht="60" customHeight="1" x14ac:dyDescent="0.25">
      <c r="A756"/>
      <c r="B756" t="s">
        <v>5</v>
      </c>
      <c r="C756" t="s">
        <v>3377</v>
      </c>
      <c r="D756" t="s">
        <v>671</v>
      </c>
      <c r="E756" t="s">
        <v>912</v>
      </c>
      <c r="F756" t="s">
        <v>913</v>
      </c>
      <c r="G756" t="s">
        <v>713</v>
      </c>
      <c r="H756" s="30">
        <v>229.62</v>
      </c>
      <c r="I756" s="29">
        <f>H756*(1-IFERROR(VLOOKUP(G756,Rabat!$D$10:$E$41,2,FALSE),0))</f>
        <v>229.62</v>
      </c>
      <c r="J756" t="s">
        <v>1902</v>
      </c>
      <c r="K756" t="s">
        <v>290</v>
      </c>
      <c r="L756" t="s">
        <v>1901</v>
      </c>
      <c r="M756">
        <v>1</v>
      </c>
      <c r="N756">
        <v>24</v>
      </c>
      <c r="O756" t="s">
        <v>3434</v>
      </c>
      <c r="P756" s="31" t="str">
        <f>HYPERLINK("https://b2b.kobi.pl/pl/product/10505,lampa-wiszaca-boho-vienna-1xe27-kobi-design?currency=PLN")</f>
        <v>https://b2b.kobi.pl/pl/product/10505,lampa-wiszaca-boho-vienna-1xe27-kobi-design?currency=PLN</v>
      </c>
      <c r="Q756" t="s">
        <v>15</v>
      </c>
      <c r="R756"/>
      <c r="S756" t="s">
        <v>2706</v>
      </c>
      <c r="T756"/>
      <c r="U756">
        <v>0.79</v>
      </c>
      <c r="V756">
        <v>1.5</v>
      </c>
      <c r="W756">
        <v>40.5</v>
      </c>
      <c r="X756">
        <v>40.5</v>
      </c>
      <c r="Y756">
        <v>40.5</v>
      </c>
    </row>
    <row r="757" spans="1:25" ht="60" customHeight="1" x14ac:dyDescent="0.25">
      <c r="A757"/>
      <c r="B757" t="s">
        <v>5</v>
      </c>
      <c r="C757" t="s">
        <v>3380</v>
      </c>
      <c r="D757" t="s">
        <v>1827</v>
      </c>
      <c r="E757" t="s">
        <v>1863</v>
      </c>
      <c r="F757" t="s">
        <v>1864</v>
      </c>
      <c r="G757" t="s">
        <v>713</v>
      </c>
      <c r="H757" s="30">
        <v>14</v>
      </c>
      <c r="I757" s="29">
        <f>H757*(1-IFERROR(VLOOKUP(G757,Rabat!$D$10:$E$41,2,FALSE),0))</f>
        <v>14</v>
      </c>
      <c r="J757" t="s">
        <v>1902</v>
      </c>
      <c r="K757" t="s">
        <v>2011</v>
      </c>
      <c r="L757" t="s">
        <v>1901</v>
      </c>
      <c r="M757">
        <v>6</v>
      </c>
      <c r="N757"/>
      <c r="O757" t="s">
        <v>3434</v>
      </c>
      <c r="P757" s="31" t="str">
        <f>HYPERLINK("https://b2b.kobi.pl/pl/product/10319,kinkiet-curve-36-1xr7s-jvs?currency=PLN")</f>
        <v>https://b2b.kobi.pl/pl/product/10319,kinkiet-curve-36-1xr7s-jvs?currency=PLN</v>
      </c>
      <c r="Q757" t="s">
        <v>15</v>
      </c>
      <c r="R757" t="s">
        <v>2035</v>
      </c>
      <c r="S757" t="s">
        <v>2716</v>
      </c>
      <c r="T757"/>
      <c r="U757">
        <v>0.94</v>
      </c>
      <c r="V757">
        <v>1.034</v>
      </c>
      <c r="W757">
        <v>0</v>
      </c>
      <c r="X757">
        <v>0</v>
      </c>
      <c r="Y757">
        <v>0</v>
      </c>
    </row>
    <row r="758" spans="1:25" ht="60" customHeight="1" x14ac:dyDescent="0.25">
      <c r="A758"/>
      <c r="B758" t="s">
        <v>5</v>
      </c>
      <c r="C758" t="s">
        <v>16</v>
      </c>
      <c r="D758" t="s">
        <v>643</v>
      </c>
      <c r="E758" t="s">
        <v>2057</v>
      </c>
      <c r="F758" t="s">
        <v>2058</v>
      </c>
      <c r="G758" t="s">
        <v>1283</v>
      </c>
      <c r="H758" s="30">
        <v>37.93</v>
      </c>
      <c r="I758" s="29">
        <f>H758*(1-IFERROR(VLOOKUP(G758,Rabat!$D$10:$E$41,2,FALSE),0))</f>
        <v>37.93</v>
      </c>
      <c r="J758" t="s">
        <v>1902</v>
      </c>
      <c r="K758" t="s">
        <v>2102</v>
      </c>
      <c r="L758" t="s">
        <v>1901</v>
      </c>
      <c r="M758">
        <v>30</v>
      </c>
      <c r="N758">
        <v>1680</v>
      </c>
      <c r="O758" t="s">
        <v>3434</v>
      </c>
      <c r="P758" s="31" t="str">
        <f>HYPERLINK("https://b2b.kobi.pl/pl/product/12273,oprawa-meblowa-led-wl-4w-3cct-kobi?currency=PLN")</f>
        <v>https://b2b.kobi.pl/pl/product/12273,oprawa-meblowa-led-wl-4w-3cct-kobi?currency=PLN</v>
      </c>
      <c r="Q758" s="31" t="str">
        <f>HYPERLINK("https://eprel.ec.europa.eu/qr/2213253")</f>
        <v>https://eprel.ec.europa.eu/qr/2213253</v>
      </c>
      <c r="R758"/>
      <c r="S758" t="s">
        <v>2711</v>
      </c>
      <c r="T758"/>
      <c r="U758">
        <v>4.8000000000000001E-2</v>
      </c>
      <c r="V758">
        <v>0.18099999999999999</v>
      </c>
      <c r="W758">
        <v>4</v>
      </c>
      <c r="X758">
        <v>3</v>
      </c>
      <c r="Y758">
        <v>46.3</v>
      </c>
    </row>
    <row r="759" spans="1:25" ht="60" customHeight="1" x14ac:dyDescent="0.25">
      <c r="A759"/>
      <c r="B759" t="s">
        <v>5</v>
      </c>
      <c r="C759" t="s">
        <v>16</v>
      </c>
      <c r="D759" t="s">
        <v>643</v>
      </c>
      <c r="E759" t="s">
        <v>1286</v>
      </c>
      <c r="F759" t="s">
        <v>1287</v>
      </c>
      <c r="G759" t="s">
        <v>1283</v>
      </c>
      <c r="H759" s="30">
        <v>44.8</v>
      </c>
      <c r="I759" s="29">
        <f>H759*(1-IFERROR(VLOOKUP(G759,Rabat!$D$10:$E$41,2,FALSE),0))</f>
        <v>44.8</v>
      </c>
      <c r="J759" t="s">
        <v>1902</v>
      </c>
      <c r="K759" t="s">
        <v>1952</v>
      </c>
      <c r="L759" t="s">
        <v>1901</v>
      </c>
      <c r="M759">
        <v>30</v>
      </c>
      <c r="N759">
        <v>1200</v>
      </c>
      <c r="O759" t="s">
        <v>3434</v>
      </c>
      <c r="P759" s="31" t="str">
        <f>HYPERLINK("https://b2b.kobi.pl/pl/product/12274,oprawa-meblowa-led-wl-8w-3cct-kobi?currency=PLN")</f>
        <v>https://b2b.kobi.pl/pl/product/12274,oprawa-meblowa-led-wl-8w-3cct-kobi?currency=PLN</v>
      </c>
      <c r="Q759" s="31" t="str">
        <f>HYPERLINK("https://eprel.ec.europa.eu/qr/2213266")</f>
        <v>https://eprel.ec.europa.eu/qr/2213266</v>
      </c>
      <c r="R759"/>
      <c r="S759" t="s">
        <v>2711</v>
      </c>
      <c r="T759"/>
      <c r="U759">
        <v>9.7000000000000003E-2</v>
      </c>
      <c r="V759">
        <v>0.23100000000000001</v>
      </c>
      <c r="W759">
        <v>76.3</v>
      </c>
      <c r="X759">
        <v>3</v>
      </c>
      <c r="Y759">
        <v>4</v>
      </c>
    </row>
    <row r="760" spans="1:25" ht="60" customHeight="1" x14ac:dyDescent="0.25">
      <c r="A760"/>
      <c r="B760" t="s">
        <v>5</v>
      </c>
      <c r="C760" t="s">
        <v>16</v>
      </c>
      <c r="D760" t="s">
        <v>643</v>
      </c>
      <c r="E760" t="s">
        <v>2059</v>
      </c>
      <c r="F760" t="s">
        <v>2060</v>
      </c>
      <c r="G760" t="s">
        <v>1283</v>
      </c>
      <c r="H760" s="30">
        <v>55.04</v>
      </c>
      <c r="I760" s="29">
        <f>H760*(1-IFERROR(VLOOKUP(G760,Rabat!$D$10:$E$41,2,FALSE),0))</f>
        <v>55.04</v>
      </c>
      <c r="J760" t="s">
        <v>1902</v>
      </c>
      <c r="K760" t="s">
        <v>2103</v>
      </c>
      <c r="L760" t="s">
        <v>1901</v>
      </c>
      <c r="M760">
        <v>30</v>
      </c>
      <c r="N760">
        <v>720</v>
      </c>
      <c r="O760" t="s">
        <v>3434</v>
      </c>
      <c r="P760" s="31" t="str">
        <f>HYPERLINK("https://b2b.kobi.pl/pl/product/12275,oprawa-meblowa-led-wl-12w-3cct-kobi?currency=PLN")</f>
        <v>https://b2b.kobi.pl/pl/product/12275,oprawa-meblowa-led-wl-12w-3cct-kobi?currency=PLN</v>
      </c>
      <c r="Q760" s="31" t="str">
        <f>HYPERLINK("https://eprel.ec.europa.eu/qr/2213276")</f>
        <v>https://eprel.ec.europa.eu/qr/2213276</v>
      </c>
      <c r="R760"/>
      <c r="S760" t="s">
        <v>2711</v>
      </c>
      <c r="T760"/>
      <c r="U760">
        <v>0.24</v>
      </c>
      <c r="V760">
        <v>0.56000000000000005</v>
      </c>
      <c r="W760">
        <v>4</v>
      </c>
      <c r="X760">
        <v>3</v>
      </c>
      <c r="Y760">
        <v>106.3</v>
      </c>
    </row>
    <row r="761" spans="1:25" ht="60" customHeight="1" x14ac:dyDescent="0.25">
      <c r="A761"/>
      <c r="B761" t="s">
        <v>5</v>
      </c>
      <c r="C761" t="s">
        <v>16</v>
      </c>
      <c r="D761" t="s">
        <v>643</v>
      </c>
      <c r="E761" t="s">
        <v>2061</v>
      </c>
      <c r="F761" t="s">
        <v>2062</v>
      </c>
      <c r="G761" t="s">
        <v>1283</v>
      </c>
      <c r="H761" s="30">
        <v>60.22</v>
      </c>
      <c r="I761" s="29">
        <f>H761*(1-IFERROR(VLOOKUP(G761,Rabat!$D$10:$E$41,2,FALSE),0))</f>
        <v>60.22</v>
      </c>
      <c r="J761" t="s">
        <v>1902</v>
      </c>
      <c r="K761" t="s">
        <v>2104</v>
      </c>
      <c r="L761" t="s">
        <v>1901</v>
      </c>
      <c r="M761">
        <v>30</v>
      </c>
      <c r="N761">
        <v>720</v>
      </c>
      <c r="O761" t="s">
        <v>3434</v>
      </c>
      <c r="P761" s="31" t="str">
        <f>HYPERLINK("https://b2b.kobi.pl/pl/product/12276,oprawa-meblowa-led-wl-16w-3cct-kobi?currency=PLN")</f>
        <v>https://b2b.kobi.pl/pl/product/12276,oprawa-meblowa-led-wl-16w-3cct-kobi?currency=PLN</v>
      </c>
      <c r="Q761" s="31" t="str">
        <f>HYPERLINK("https://eprel.ec.europa.eu/qr/2213300")</f>
        <v>https://eprel.ec.europa.eu/qr/2213300</v>
      </c>
      <c r="R761"/>
      <c r="S761" t="s">
        <v>2711</v>
      </c>
      <c r="T761"/>
      <c r="U761">
        <v>0.36</v>
      </c>
      <c r="V761">
        <v>0.68</v>
      </c>
      <c r="W761">
        <v>4</v>
      </c>
      <c r="X761">
        <v>3</v>
      </c>
      <c r="Y761">
        <v>136.30000000000001</v>
      </c>
    </row>
    <row r="762" spans="1:25" ht="60" customHeight="1" x14ac:dyDescent="0.25">
      <c r="A762"/>
      <c r="B762" t="s">
        <v>4</v>
      </c>
      <c r="C762" t="s">
        <v>3381</v>
      </c>
      <c r="D762" t="s">
        <v>643</v>
      </c>
      <c r="E762" t="s">
        <v>3074</v>
      </c>
      <c r="F762" t="s">
        <v>1005</v>
      </c>
      <c r="G762" t="s">
        <v>1006</v>
      </c>
      <c r="H762" s="30">
        <v>82.3</v>
      </c>
      <c r="I762" s="29">
        <f>H762*(1-IFERROR(VLOOKUP(G762,Rabat!$D$10:$E$41,2,FALSE),0))</f>
        <v>82.3</v>
      </c>
      <c r="J762" t="s">
        <v>1902</v>
      </c>
      <c r="K762" t="s">
        <v>413</v>
      </c>
      <c r="L762" t="s">
        <v>1901</v>
      </c>
      <c r="M762">
        <v>25</v>
      </c>
      <c r="N762"/>
      <c r="O762" t="s">
        <v>3434</v>
      </c>
      <c r="P762" s="31" t="str">
        <f>HYPERLINK("https://b2b.kobi.pl/pl/product/11151,lacznik-do-szynoprzewodu-3-obwodowy-flex-zewnetrzny-bialy-kobi?currency=PLN")</f>
        <v>https://b2b.kobi.pl/pl/product/11151,lacznik-do-szynoprzewodu-3-obwodowy-flex-zewnetrzny-bialy-kobi?currency=PLN</v>
      </c>
      <c r="Q762" t="s">
        <v>15</v>
      </c>
      <c r="R762"/>
      <c r="S762" t="s">
        <v>2722</v>
      </c>
      <c r="T762"/>
      <c r="U762">
        <v>0.15</v>
      </c>
      <c r="V762">
        <v>0.153</v>
      </c>
      <c r="W762">
        <v>26</v>
      </c>
      <c r="X762">
        <v>3.2</v>
      </c>
      <c r="Y762">
        <v>3.2</v>
      </c>
    </row>
    <row r="763" spans="1:25" ht="60" customHeight="1" x14ac:dyDescent="0.25">
      <c r="A763"/>
      <c r="B763" t="s">
        <v>4</v>
      </c>
      <c r="C763" t="s">
        <v>3381</v>
      </c>
      <c r="D763" t="s">
        <v>643</v>
      </c>
      <c r="E763" t="s">
        <v>3075</v>
      </c>
      <c r="F763" t="s">
        <v>1009</v>
      </c>
      <c r="G763" t="s">
        <v>1006</v>
      </c>
      <c r="H763" s="30">
        <v>82.3</v>
      </c>
      <c r="I763" s="29">
        <f>H763*(1-IFERROR(VLOOKUP(G763,Rabat!$D$10:$E$41,2,FALSE),0))</f>
        <v>82.3</v>
      </c>
      <c r="J763" t="s">
        <v>1902</v>
      </c>
      <c r="K763" t="s">
        <v>414</v>
      </c>
      <c r="L763" t="s">
        <v>1901</v>
      </c>
      <c r="M763">
        <v>25</v>
      </c>
      <c r="N763"/>
      <c r="O763" t="s">
        <v>3434</v>
      </c>
      <c r="P763" s="31" t="str">
        <f>HYPERLINK("https://b2b.kobi.pl/pl/product/11152,lacznik-do-szynoprzewodu-3-obwodowy-flex-zewnetrzny-czarny-kobi?currency=PLN")</f>
        <v>https://b2b.kobi.pl/pl/product/11152,lacznik-do-szynoprzewodu-3-obwodowy-flex-zewnetrzny-czarny-kobi?currency=PLN</v>
      </c>
      <c r="Q763" t="s">
        <v>15</v>
      </c>
      <c r="R763"/>
      <c r="S763" t="s">
        <v>2722</v>
      </c>
      <c r="T763"/>
      <c r="U763">
        <v>0.15</v>
      </c>
      <c r="V763">
        <v>0.153</v>
      </c>
      <c r="W763">
        <v>26</v>
      </c>
      <c r="X763">
        <v>3.2</v>
      </c>
      <c r="Y763">
        <v>3.2</v>
      </c>
    </row>
    <row r="764" spans="1:25" ht="60" customHeight="1" x14ac:dyDescent="0.25">
      <c r="A764"/>
      <c r="B764" t="s">
        <v>4</v>
      </c>
      <c r="C764" t="s">
        <v>3381</v>
      </c>
      <c r="D764" t="s">
        <v>643</v>
      </c>
      <c r="E764" t="s">
        <v>1012</v>
      </c>
      <c r="F764" t="s">
        <v>1013</v>
      </c>
      <c r="G764" t="s">
        <v>1006</v>
      </c>
      <c r="H764" s="30">
        <v>27</v>
      </c>
      <c r="I764" s="29">
        <f>H764*(1-IFERROR(VLOOKUP(G764,Rabat!$D$10:$E$41,2,FALSE),0))</f>
        <v>27</v>
      </c>
      <c r="J764" t="s">
        <v>1902</v>
      </c>
      <c r="K764" t="s">
        <v>405</v>
      </c>
      <c r="L764" t="s">
        <v>1901</v>
      </c>
      <c r="M764">
        <v>100</v>
      </c>
      <c r="N764"/>
      <c r="O764" t="s">
        <v>3434</v>
      </c>
      <c r="P764" s="31" t="str">
        <f>HYPERLINK("https://b2b.kobi.pl/pl/product/11153,lacznik-do-szynoprzewodu-3-obwodowy-i-wewnetrzny-bialy-kobi?currency=PLN")</f>
        <v>https://b2b.kobi.pl/pl/product/11153,lacznik-do-szynoprzewodu-3-obwodowy-i-wewnetrzny-bialy-kobi?currency=PLN</v>
      </c>
      <c r="Q764" t="s">
        <v>15</v>
      </c>
      <c r="R764"/>
      <c r="S764" t="s">
        <v>2722</v>
      </c>
      <c r="T764"/>
      <c r="U764">
        <v>2.5000000000000001E-2</v>
      </c>
      <c r="V764">
        <v>2.7E-2</v>
      </c>
      <c r="W764">
        <v>7</v>
      </c>
      <c r="X764">
        <v>2</v>
      </c>
      <c r="Y764">
        <v>2</v>
      </c>
    </row>
    <row r="765" spans="1:25" ht="60" customHeight="1" x14ac:dyDescent="0.25">
      <c r="A765"/>
      <c r="B765" t="s">
        <v>4</v>
      </c>
      <c r="C765" t="s">
        <v>3381</v>
      </c>
      <c r="D765" t="s">
        <v>643</v>
      </c>
      <c r="E765" t="s">
        <v>1016</v>
      </c>
      <c r="F765" t="s">
        <v>1017</v>
      </c>
      <c r="G765" t="s">
        <v>1006</v>
      </c>
      <c r="H765" s="30">
        <v>27</v>
      </c>
      <c r="I765" s="29">
        <f>H765*(1-IFERROR(VLOOKUP(G765,Rabat!$D$10:$E$41,2,FALSE),0))</f>
        <v>27</v>
      </c>
      <c r="J765" t="s">
        <v>1902</v>
      </c>
      <c r="K765" t="s">
        <v>406</v>
      </c>
      <c r="L765" t="s">
        <v>1901</v>
      </c>
      <c r="M765">
        <v>100</v>
      </c>
      <c r="N765"/>
      <c r="O765" t="s">
        <v>3434</v>
      </c>
      <c r="P765" s="31" t="str">
        <f>HYPERLINK("https://b2b.kobi.pl/pl/product/11154,lacznik-do-szynoprzewodu-3-obwodowy-i-wewnetrzny-czarny-kobi?currency=PLN")</f>
        <v>https://b2b.kobi.pl/pl/product/11154,lacznik-do-szynoprzewodu-3-obwodowy-i-wewnetrzny-czarny-kobi?currency=PLN</v>
      </c>
      <c r="Q765" t="s">
        <v>15</v>
      </c>
      <c r="R765"/>
      <c r="S765" t="s">
        <v>2722</v>
      </c>
      <c r="T765"/>
      <c r="U765">
        <v>2.5000000000000001E-2</v>
      </c>
      <c r="V765">
        <v>0.27</v>
      </c>
      <c r="W765">
        <v>7</v>
      </c>
      <c r="X765">
        <v>2</v>
      </c>
      <c r="Y765">
        <v>2</v>
      </c>
    </row>
    <row r="766" spans="1:25" ht="60" customHeight="1" x14ac:dyDescent="0.25">
      <c r="A766"/>
      <c r="B766" t="s">
        <v>4</v>
      </c>
      <c r="C766" t="s">
        <v>3381</v>
      </c>
      <c r="D766" t="s">
        <v>643</v>
      </c>
      <c r="E766" t="s">
        <v>1020</v>
      </c>
      <c r="F766" t="s">
        <v>1021</v>
      </c>
      <c r="G766" t="s">
        <v>1006</v>
      </c>
      <c r="H766" s="30">
        <v>72</v>
      </c>
      <c r="I766" s="29">
        <f>H766*(1-IFERROR(VLOOKUP(G766,Rabat!$D$10:$E$41,2,FALSE),0))</f>
        <v>72</v>
      </c>
      <c r="J766" t="s">
        <v>1902</v>
      </c>
      <c r="K766" t="s">
        <v>407</v>
      </c>
      <c r="L766" t="s">
        <v>1901</v>
      </c>
      <c r="M766">
        <v>50</v>
      </c>
      <c r="N766"/>
      <c r="O766" t="s">
        <v>3434</v>
      </c>
      <c r="P766" s="31" t="str">
        <f>HYPERLINK("https://b2b.kobi.pl/pl/product/11155,lacznik-do-szynoprzewodu-3-obwodowy-i-zewnetrzny-bialy-kobi?currency=PLN")</f>
        <v>https://b2b.kobi.pl/pl/product/11155,lacznik-do-szynoprzewodu-3-obwodowy-i-zewnetrzny-bialy-kobi?currency=PLN</v>
      </c>
      <c r="Q766" t="s">
        <v>15</v>
      </c>
      <c r="R766"/>
      <c r="S766" t="s">
        <v>2722</v>
      </c>
      <c r="T766"/>
      <c r="U766">
        <v>0.10199999999999999</v>
      </c>
      <c r="V766">
        <v>0.27</v>
      </c>
      <c r="W766">
        <v>7</v>
      </c>
      <c r="X766">
        <v>2</v>
      </c>
      <c r="Y766">
        <v>2</v>
      </c>
    </row>
    <row r="767" spans="1:25" ht="60" customHeight="1" x14ac:dyDescent="0.25">
      <c r="A767"/>
      <c r="B767" t="s">
        <v>4</v>
      </c>
      <c r="C767" t="s">
        <v>3381</v>
      </c>
      <c r="D767" t="s">
        <v>643</v>
      </c>
      <c r="E767" t="s">
        <v>1025</v>
      </c>
      <c r="F767" t="s">
        <v>1026</v>
      </c>
      <c r="G767" t="s">
        <v>1006</v>
      </c>
      <c r="H767" s="30">
        <v>72</v>
      </c>
      <c r="I767" s="29">
        <f>H767*(1-IFERROR(VLOOKUP(G767,Rabat!$D$10:$E$41,2,FALSE),0))</f>
        <v>72</v>
      </c>
      <c r="J767" t="s">
        <v>1902</v>
      </c>
      <c r="K767" t="s">
        <v>408</v>
      </c>
      <c r="L767" t="s">
        <v>1901</v>
      </c>
      <c r="M767">
        <v>50</v>
      </c>
      <c r="N767"/>
      <c r="O767" t="s">
        <v>3434</v>
      </c>
      <c r="P767" s="31" t="str">
        <f>HYPERLINK("https://b2b.kobi.pl/pl/product/11156,lacznik-do-szynoprzewodu-3-obwodowy-i-zewnetrzny-czarny-kobi?currency=PLN")</f>
        <v>https://b2b.kobi.pl/pl/product/11156,lacznik-do-szynoprzewodu-3-obwodowy-i-zewnetrzny-czarny-kobi?currency=PLN</v>
      </c>
      <c r="Q767" t="s">
        <v>15</v>
      </c>
      <c r="R767"/>
      <c r="S767" t="s">
        <v>2722</v>
      </c>
      <c r="T767"/>
      <c r="U767">
        <v>0.10199999999999999</v>
      </c>
      <c r="V767">
        <v>0.27</v>
      </c>
      <c r="W767">
        <v>7</v>
      </c>
      <c r="X767">
        <v>2</v>
      </c>
      <c r="Y767">
        <v>2</v>
      </c>
    </row>
    <row r="768" spans="1:25" ht="60" customHeight="1" x14ac:dyDescent="0.25">
      <c r="A768"/>
      <c r="B768" t="s">
        <v>4</v>
      </c>
      <c r="C768" t="s">
        <v>3381</v>
      </c>
      <c r="D768" t="s">
        <v>643</v>
      </c>
      <c r="E768" t="s">
        <v>3076</v>
      </c>
      <c r="F768" t="s">
        <v>1031</v>
      </c>
      <c r="G768" t="s">
        <v>1006</v>
      </c>
      <c r="H768" s="30">
        <v>122</v>
      </c>
      <c r="I768" s="29">
        <f>H768*(1-IFERROR(VLOOKUP(G768,Rabat!$D$10:$E$41,2,FALSE),0))</f>
        <v>122</v>
      </c>
      <c r="J768" t="s">
        <v>1902</v>
      </c>
      <c r="K768" t="s">
        <v>415</v>
      </c>
      <c r="L768" t="s">
        <v>1901</v>
      </c>
      <c r="M768">
        <v>25</v>
      </c>
      <c r="N768"/>
      <c r="O768" t="s">
        <v>3434</v>
      </c>
      <c r="P768" s="31" t="str">
        <f>HYPERLINK("https://b2b.kobi.pl/pl/product/11157,lacznik-do-szynoprzewodu-3-obwodowy-t-zewnetrzny-bialy-kobi?currency=PLN")</f>
        <v>https://b2b.kobi.pl/pl/product/11157,lacznik-do-szynoprzewodu-3-obwodowy-t-zewnetrzny-bialy-kobi?currency=PLN</v>
      </c>
      <c r="Q768" t="s">
        <v>15</v>
      </c>
      <c r="R768"/>
      <c r="S768" t="s">
        <v>2722</v>
      </c>
      <c r="T768"/>
      <c r="U768">
        <v>0.154</v>
      </c>
      <c r="V768">
        <v>0.158</v>
      </c>
      <c r="W768">
        <v>14</v>
      </c>
      <c r="X768">
        <v>9</v>
      </c>
      <c r="Y768">
        <v>2</v>
      </c>
    </row>
    <row r="769" spans="1:25" ht="60" customHeight="1" x14ac:dyDescent="0.25">
      <c r="A769"/>
      <c r="B769" t="s">
        <v>4</v>
      </c>
      <c r="C769" t="s">
        <v>3381</v>
      </c>
      <c r="D769" t="s">
        <v>643</v>
      </c>
      <c r="E769" t="s">
        <v>3077</v>
      </c>
      <c r="F769" t="s">
        <v>1032</v>
      </c>
      <c r="G769" t="s">
        <v>1006</v>
      </c>
      <c r="H769" s="30">
        <v>122</v>
      </c>
      <c r="I769" s="29">
        <f>H769*(1-IFERROR(VLOOKUP(G769,Rabat!$D$10:$E$41,2,FALSE),0))</f>
        <v>122</v>
      </c>
      <c r="J769" t="s">
        <v>1902</v>
      </c>
      <c r="K769" t="s">
        <v>416</v>
      </c>
      <c r="L769" t="s">
        <v>1901</v>
      </c>
      <c r="M769">
        <v>25</v>
      </c>
      <c r="N769"/>
      <c r="O769" t="s">
        <v>3434</v>
      </c>
      <c r="P769" s="31" t="str">
        <f>HYPERLINK("https://b2b.kobi.pl/pl/product/11158,lacznik-do-szynoprzewodu-3-obwodowy-t-zewnetrzny-czarny-kobi?currency=PLN")</f>
        <v>https://b2b.kobi.pl/pl/product/11158,lacznik-do-szynoprzewodu-3-obwodowy-t-zewnetrzny-czarny-kobi?currency=PLN</v>
      </c>
      <c r="Q769" t="s">
        <v>15</v>
      </c>
      <c r="R769"/>
      <c r="S769" t="s">
        <v>2722</v>
      </c>
      <c r="T769"/>
      <c r="U769">
        <v>0.154</v>
      </c>
      <c r="V769">
        <v>0.158</v>
      </c>
      <c r="W769">
        <v>14</v>
      </c>
      <c r="X769">
        <v>9</v>
      </c>
      <c r="Y769">
        <v>2</v>
      </c>
    </row>
    <row r="770" spans="1:25" ht="60" customHeight="1" x14ac:dyDescent="0.25">
      <c r="A770"/>
      <c r="B770" t="s">
        <v>4</v>
      </c>
      <c r="C770" t="s">
        <v>3381</v>
      </c>
      <c r="D770" t="s">
        <v>643</v>
      </c>
      <c r="E770" t="s">
        <v>3078</v>
      </c>
      <c r="F770" t="s">
        <v>1033</v>
      </c>
      <c r="G770" t="s">
        <v>1006</v>
      </c>
      <c r="H770" s="30">
        <v>167</v>
      </c>
      <c r="I770" s="29">
        <f>H770*(1-IFERROR(VLOOKUP(G770,Rabat!$D$10:$E$41,2,FALSE),0))</f>
        <v>167</v>
      </c>
      <c r="J770" t="s">
        <v>1902</v>
      </c>
      <c r="K770" t="s">
        <v>417</v>
      </c>
      <c r="L770" t="s">
        <v>1901</v>
      </c>
      <c r="M770">
        <v>10</v>
      </c>
      <c r="N770"/>
      <c r="O770" t="s">
        <v>3434</v>
      </c>
      <c r="P770" s="31" t="str">
        <f>HYPERLINK("https://b2b.kobi.pl/pl/product/11159,lacznik-do-szynoprzewodu-3-obwodowy-x-zewnetrzny-bialy-kobi?currency=PLN")</f>
        <v>https://b2b.kobi.pl/pl/product/11159,lacznik-do-szynoprzewodu-3-obwodowy-x-zewnetrzny-bialy-kobi?currency=PLN</v>
      </c>
      <c r="Q770" t="s">
        <v>15</v>
      </c>
      <c r="R770"/>
      <c r="S770" t="s">
        <v>2722</v>
      </c>
      <c r="T770"/>
      <c r="U770">
        <v>0.20499999999999999</v>
      </c>
      <c r="V770">
        <v>0.21099999999999999</v>
      </c>
      <c r="W770">
        <v>16</v>
      </c>
      <c r="X770">
        <v>16</v>
      </c>
      <c r="Y770">
        <v>3</v>
      </c>
    </row>
    <row r="771" spans="1:25" ht="60" customHeight="1" x14ac:dyDescent="0.25">
      <c r="A771"/>
      <c r="B771" t="s">
        <v>4</v>
      </c>
      <c r="C771" t="s">
        <v>3381</v>
      </c>
      <c r="D771" t="s">
        <v>643</v>
      </c>
      <c r="E771" t="s">
        <v>3079</v>
      </c>
      <c r="F771" t="s">
        <v>1034</v>
      </c>
      <c r="G771" t="s">
        <v>1006</v>
      </c>
      <c r="H771" s="30">
        <v>167</v>
      </c>
      <c r="I771" s="29">
        <f>H771*(1-IFERROR(VLOOKUP(G771,Rabat!$D$10:$E$41,2,FALSE),0))</f>
        <v>167</v>
      </c>
      <c r="J771" t="s">
        <v>1902</v>
      </c>
      <c r="K771" t="s">
        <v>418</v>
      </c>
      <c r="L771" t="s">
        <v>1901</v>
      </c>
      <c r="M771">
        <v>10</v>
      </c>
      <c r="N771"/>
      <c r="O771" t="s">
        <v>3434</v>
      </c>
      <c r="P771" s="31" t="str">
        <f>HYPERLINK("https://b2b.kobi.pl/pl/product/11160,lacznik-do-szynoprzewodu-3-obwodowy-x-zewnetrzny-czarny-kobi?currency=PLN")</f>
        <v>https://b2b.kobi.pl/pl/product/11160,lacznik-do-szynoprzewodu-3-obwodowy-x-zewnetrzny-czarny-kobi?currency=PLN</v>
      </c>
      <c r="Q771" t="s">
        <v>15</v>
      </c>
      <c r="R771"/>
      <c r="S771" t="s">
        <v>2722</v>
      </c>
      <c r="T771"/>
      <c r="U771">
        <v>0.20499999999999999</v>
      </c>
      <c r="V771">
        <v>0.21099999999999999</v>
      </c>
      <c r="W771">
        <v>16</v>
      </c>
      <c r="X771">
        <v>16</v>
      </c>
      <c r="Y771">
        <v>3</v>
      </c>
    </row>
    <row r="772" spans="1:25" ht="60" customHeight="1" x14ac:dyDescent="0.25">
      <c r="A772"/>
      <c r="B772" t="s">
        <v>4</v>
      </c>
      <c r="C772" t="s">
        <v>3381</v>
      </c>
      <c r="D772" t="s">
        <v>643</v>
      </c>
      <c r="E772" t="s">
        <v>3080</v>
      </c>
      <c r="F772" t="s">
        <v>1027</v>
      </c>
      <c r="G772" t="s">
        <v>1006</v>
      </c>
      <c r="H772" s="30">
        <v>72</v>
      </c>
      <c r="I772" s="29">
        <f>H772*(1-IFERROR(VLOOKUP(G772,Rabat!$D$10:$E$41,2,FALSE),0))</f>
        <v>72</v>
      </c>
      <c r="J772" t="s">
        <v>1902</v>
      </c>
      <c r="K772" t="s">
        <v>409</v>
      </c>
      <c r="L772" t="s">
        <v>1901</v>
      </c>
      <c r="M772">
        <v>25</v>
      </c>
      <c r="N772"/>
      <c r="O772" t="s">
        <v>3434</v>
      </c>
      <c r="P772" s="31" t="str">
        <f>HYPERLINK("https://b2b.kobi.pl/pl/product/11161,lacznik-do-szynoprzewodu-3-obwodowy-l-lewy-zewnetrzny-bialy-kobi?currency=PLN")</f>
        <v>https://b2b.kobi.pl/pl/product/11161,lacznik-do-szynoprzewodu-3-obwodowy-l-lewy-zewnetrzny-bialy-kobi?currency=PLN</v>
      </c>
      <c r="Q772" t="s">
        <v>15</v>
      </c>
      <c r="R772"/>
      <c r="S772" t="s">
        <v>2722</v>
      </c>
      <c r="T772"/>
      <c r="U772">
        <v>0.10299999999999999</v>
      </c>
      <c r="V772">
        <v>0.106</v>
      </c>
      <c r="W772">
        <v>9</v>
      </c>
      <c r="X772">
        <v>9</v>
      </c>
      <c r="Y772">
        <v>3</v>
      </c>
    </row>
    <row r="773" spans="1:25" ht="60" customHeight="1" x14ac:dyDescent="0.25">
      <c r="A773"/>
      <c r="B773" t="s">
        <v>4</v>
      </c>
      <c r="C773" t="s">
        <v>3381</v>
      </c>
      <c r="D773" t="s">
        <v>643</v>
      </c>
      <c r="E773" t="s">
        <v>3081</v>
      </c>
      <c r="F773" t="s">
        <v>1028</v>
      </c>
      <c r="G773" t="s">
        <v>1006</v>
      </c>
      <c r="H773" s="30">
        <v>72</v>
      </c>
      <c r="I773" s="29">
        <f>H773*(1-IFERROR(VLOOKUP(G773,Rabat!$D$10:$E$41,2,FALSE),0))</f>
        <v>72</v>
      </c>
      <c r="J773" t="s">
        <v>1902</v>
      </c>
      <c r="K773" t="s">
        <v>410</v>
      </c>
      <c r="L773" t="s">
        <v>1901</v>
      </c>
      <c r="M773">
        <v>25</v>
      </c>
      <c r="N773"/>
      <c r="O773" t="s">
        <v>3434</v>
      </c>
      <c r="P773" s="31" t="str">
        <f>HYPERLINK("https://b2b.kobi.pl/pl/product/11162,lacznik-do-szynoprzewodu-3-obwodowy-l-lewy-zewnetrzny-czarny-kobi?currency=PLN")</f>
        <v>https://b2b.kobi.pl/pl/product/11162,lacznik-do-szynoprzewodu-3-obwodowy-l-lewy-zewnetrzny-czarny-kobi?currency=PLN</v>
      </c>
      <c r="Q773" t="s">
        <v>15</v>
      </c>
      <c r="R773"/>
      <c r="S773" t="s">
        <v>2722</v>
      </c>
      <c r="T773"/>
      <c r="U773">
        <v>0.10299999999999999</v>
      </c>
      <c r="V773">
        <v>0.106</v>
      </c>
      <c r="W773">
        <v>9</v>
      </c>
      <c r="X773">
        <v>9</v>
      </c>
      <c r="Y773">
        <v>3</v>
      </c>
    </row>
    <row r="774" spans="1:25" ht="60" customHeight="1" x14ac:dyDescent="0.25">
      <c r="A774"/>
      <c r="B774" t="s">
        <v>4</v>
      </c>
      <c r="C774" t="s">
        <v>3381</v>
      </c>
      <c r="D774" t="s">
        <v>643</v>
      </c>
      <c r="E774" t="s">
        <v>3082</v>
      </c>
      <c r="F774" t="s">
        <v>1029</v>
      </c>
      <c r="G774" t="s">
        <v>1006</v>
      </c>
      <c r="H774" s="30">
        <v>72</v>
      </c>
      <c r="I774" s="29">
        <f>H774*(1-IFERROR(VLOOKUP(G774,Rabat!$D$10:$E$41,2,FALSE),0))</f>
        <v>72</v>
      </c>
      <c r="J774" t="s">
        <v>1902</v>
      </c>
      <c r="K774" t="s">
        <v>411</v>
      </c>
      <c r="L774" t="s">
        <v>1901</v>
      </c>
      <c r="M774">
        <v>25</v>
      </c>
      <c r="N774"/>
      <c r="O774" t="s">
        <v>3434</v>
      </c>
      <c r="P774" s="31" t="str">
        <f>HYPERLINK("https://b2b.kobi.pl/pl/product/11163,lacznik-do-szynoprzewodu-3-obwodowy-l-prawy-zewnetrzny-bialy-kobi?currency=PLN")</f>
        <v>https://b2b.kobi.pl/pl/product/11163,lacznik-do-szynoprzewodu-3-obwodowy-l-prawy-zewnetrzny-bialy-kobi?currency=PLN</v>
      </c>
      <c r="Q774" t="s">
        <v>15</v>
      </c>
      <c r="R774"/>
      <c r="S774" t="s">
        <v>2722</v>
      </c>
      <c r="T774"/>
      <c r="U774">
        <v>0.10299999999999999</v>
      </c>
      <c r="V774">
        <v>0.106</v>
      </c>
      <c r="W774">
        <v>10</v>
      </c>
      <c r="X774">
        <v>10</v>
      </c>
      <c r="Y774">
        <v>3.2</v>
      </c>
    </row>
    <row r="775" spans="1:25" ht="60" customHeight="1" x14ac:dyDescent="0.25">
      <c r="A775"/>
      <c r="B775" t="s">
        <v>4</v>
      </c>
      <c r="C775" t="s">
        <v>3381</v>
      </c>
      <c r="D775" t="s">
        <v>643</v>
      </c>
      <c r="E775" t="s">
        <v>3083</v>
      </c>
      <c r="F775" t="s">
        <v>1030</v>
      </c>
      <c r="G775" t="s">
        <v>1006</v>
      </c>
      <c r="H775" s="30">
        <v>72</v>
      </c>
      <c r="I775" s="29">
        <f>H775*(1-IFERROR(VLOOKUP(G775,Rabat!$D$10:$E$41,2,FALSE),0))</f>
        <v>72</v>
      </c>
      <c r="J775" t="s">
        <v>1902</v>
      </c>
      <c r="K775" t="s">
        <v>412</v>
      </c>
      <c r="L775" t="s">
        <v>1901</v>
      </c>
      <c r="M775">
        <v>25</v>
      </c>
      <c r="N775"/>
      <c r="O775" t="s">
        <v>3434</v>
      </c>
      <c r="P775" s="31" t="str">
        <f>HYPERLINK("https://b2b.kobi.pl/pl/product/11164,lacznik-do-szynoprzewodu-3-obwodowy-l-prawy-zewnetrzny-czarny-kobi?currency=PLN")</f>
        <v>https://b2b.kobi.pl/pl/product/11164,lacznik-do-szynoprzewodu-3-obwodowy-l-prawy-zewnetrzny-czarny-kobi?currency=PLN</v>
      </c>
      <c r="Q775" t="s">
        <v>15</v>
      </c>
      <c r="R775"/>
      <c r="S775" t="s">
        <v>2722</v>
      </c>
      <c r="T775"/>
      <c r="U775">
        <v>0.10299999999999999</v>
      </c>
      <c r="V775">
        <v>0.106</v>
      </c>
      <c r="W775">
        <v>10</v>
      </c>
      <c r="X775">
        <v>10</v>
      </c>
      <c r="Y775">
        <v>3.2</v>
      </c>
    </row>
    <row r="776" spans="1:25" ht="60" customHeight="1" x14ac:dyDescent="0.25">
      <c r="A776"/>
      <c r="B776" t="s">
        <v>4</v>
      </c>
      <c r="C776" t="s">
        <v>3381</v>
      </c>
      <c r="D776" t="s">
        <v>643</v>
      </c>
      <c r="E776" t="s">
        <v>1449</v>
      </c>
      <c r="F776" t="s">
        <v>1450</v>
      </c>
      <c r="G776" t="s">
        <v>1006</v>
      </c>
      <c r="H776" s="30">
        <v>211</v>
      </c>
      <c r="I776" s="29">
        <f>H776*(1-IFERROR(VLOOKUP(G776,Rabat!$D$10:$E$41,2,FALSE),0))</f>
        <v>211</v>
      </c>
      <c r="J776" t="s">
        <v>1902</v>
      </c>
      <c r="K776" t="s">
        <v>395</v>
      </c>
      <c r="L776" t="s">
        <v>1901</v>
      </c>
      <c r="M776">
        <v>10</v>
      </c>
      <c r="N776"/>
      <c r="O776" t="s">
        <v>3434</v>
      </c>
      <c r="P776" s="31" t="str">
        <f>HYPERLINK("https://b2b.kobi.pl/pl/product/11167,szynoprzewod-3-obwodowy-2m-bialy-kobi?currency=PLN")</f>
        <v>https://b2b.kobi.pl/pl/product/11167,szynoprzewod-3-obwodowy-2m-bialy-kobi?currency=PLN</v>
      </c>
      <c r="Q776" t="s">
        <v>15</v>
      </c>
      <c r="R776"/>
      <c r="S776" t="s">
        <v>2721</v>
      </c>
      <c r="T776"/>
      <c r="U776">
        <v>1.54</v>
      </c>
      <c r="V776">
        <v>1.7</v>
      </c>
      <c r="W776">
        <v>200</v>
      </c>
      <c r="X776">
        <v>4</v>
      </c>
      <c r="Y776">
        <v>3</v>
      </c>
    </row>
    <row r="777" spans="1:25" ht="60" customHeight="1" x14ac:dyDescent="0.25">
      <c r="A777"/>
      <c r="B777" t="s">
        <v>4</v>
      </c>
      <c r="C777" t="s">
        <v>3381</v>
      </c>
      <c r="D777" t="s">
        <v>643</v>
      </c>
      <c r="E777" t="s">
        <v>1451</v>
      </c>
      <c r="F777" t="s">
        <v>1452</v>
      </c>
      <c r="G777" t="s">
        <v>1006</v>
      </c>
      <c r="H777" s="30">
        <v>211</v>
      </c>
      <c r="I777" s="29">
        <f>H777*(1-IFERROR(VLOOKUP(G777,Rabat!$D$10:$E$41,2,FALSE),0))</f>
        <v>211</v>
      </c>
      <c r="J777" t="s">
        <v>1902</v>
      </c>
      <c r="K777" t="s">
        <v>396</v>
      </c>
      <c r="L777" t="s">
        <v>1901</v>
      </c>
      <c r="M777">
        <v>10</v>
      </c>
      <c r="N777"/>
      <c r="O777" t="s">
        <v>3434</v>
      </c>
      <c r="P777" s="31" t="str">
        <f>HYPERLINK("https://b2b.kobi.pl/pl/product/11168,szynoprzewod-3-obwodowy-2m-czarny-kobi?currency=PLN")</f>
        <v>https://b2b.kobi.pl/pl/product/11168,szynoprzewod-3-obwodowy-2m-czarny-kobi?currency=PLN</v>
      </c>
      <c r="Q777" t="s">
        <v>15</v>
      </c>
      <c r="R777"/>
      <c r="S777" t="s">
        <v>2721</v>
      </c>
      <c r="T777"/>
      <c r="U777">
        <v>1.54</v>
      </c>
      <c r="V777">
        <v>1.7</v>
      </c>
      <c r="W777">
        <v>200</v>
      </c>
      <c r="X777">
        <v>4</v>
      </c>
      <c r="Y777">
        <v>3</v>
      </c>
    </row>
    <row r="778" spans="1:25" ht="60" customHeight="1" x14ac:dyDescent="0.25">
      <c r="A778"/>
      <c r="B778" t="s">
        <v>4</v>
      </c>
      <c r="C778" t="s">
        <v>3381</v>
      </c>
      <c r="D778" t="s">
        <v>643</v>
      </c>
      <c r="E778" t="s">
        <v>1536</v>
      </c>
      <c r="F778" t="s">
        <v>1537</v>
      </c>
      <c r="G778" t="s">
        <v>1006</v>
      </c>
      <c r="H778" s="30">
        <v>7</v>
      </c>
      <c r="I778" s="29">
        <f>H778*(1-IFERROR(VLOOKUP(G778,Rabat!$D$10:$E$41,2,FALSE),0))</f>
        <v>7</v>
      </c>
      <c r="J778" t="s">
        <v>1902</v>
      </c>
      <c r="K778" t="s">
        <v>401</v>
      </c>
      <c r="L778" t="s">
        <v>1901</v>
      </c>
      <c r="M778">
        <v>200</v>
      </c>
      <c r="N778"/>
      <c r="O778" t="s">
        <v>3434</v>
      </c>
      <c r="P778" s="31" t="str">
        <f>HYPERLINK("https://b2b.kobi.pl/pl/product/11169,zaslepka-do-szynoprzewodu-3-obwodowego-biala-kobi?currency=PLN")</f>
        <v>https://b2b.kobi.pl/pl/product/11169,zaslepka-do-szynoprzewodu-3-obwodowego-biala-kobi?currency=PLN</v>
      </c>
      <c r="Q778" t="s">
        <v>15</v>
      </c>
      <c r="R778"/>
      <c r="S778" t="s">
        <v>2723</v>
      </c>
      <c r="T778"/>
      <c r="U778">
        <v>8.0000000000000002E-3</v>
      </c>
      <c r="V778">
        <v>8.9999999999999993E-3</v>
      </c>
      <c r="W778">
        <v>3</v>
      </c>
      <c r="X778">
        <v>1</v>
      </c>
      <c r="Y778">
        <v>4</v>
      </c>
    </row>
    <row r="779" spans="1:25" ht="60" customHeight="1" x14ac:dyDescent="0.25">
      <c r="A779"/>
      <c r="B779" t="s">
        <v>4</v>
      </c>
      <c r="C779" t="s">
        <v>3381</v>
      </c>
      <c r="D779" t="s">
        <v>643</v>
      </c>
      <c r="E779" t="s">
        <v>1538</v>
      </c>
      <c r="F779" t="s">
        <v>1539</v>
      </c>
      <c r="G779" t="s">
        <v>1006</v>
      </c>
      <c r="H779" s="30">
        <v>7</v>
      </c>
      <c r="I779" s="29">
        <f>H779*(1-IFERROR(VLOOKUP(G779,Rabat!$D$10:$E$41,2,FALSE),0))</f>
        <v>7</v>
      </c>
      <c r="J779" t="s">
        <v>1902</v>
      </c>
      <c r="K779" t="s">
        <v>402</v>
      </c>
      <c r="L779" t="s">
        <v>1901</v>
      </c>
      <c r="M779">
        <v>200</v>
      </c>
      <c r="N779"/>
      <c r="O779" t="s">
        <v>3434</v>
      </c>
      <c r="P779" s="31" t="str">
        <f>HYPERLINK("https://b2b.kobi.pl/pl/product/11170,zaslepka-do-szynoprzewodu-3-obwodowego-czarna-kobi?currency=PLN")</f>
        <v>https://b2b.kobi.pl/pl/product/11170,zaslepka-do-szynoprzewodu-3-obwodowego-czarna-kobi?currency=PLN</v>
      </c>
      <c r="Q779" t="s">
        <v>15</v>
      </c>
      <c r="R779"/>
      <c r="S779" t="s">
        <v>2723</v>
      </c>
      <c r="T779"/>
      <c r="U779">
        <v>8.0000000000000002E-3</v>
      </c>
      <c r="V779">
        <v>8.9999999999999993E-3</v>
      </c>
      <c r="W779">
        <v>3</v>
      </c>
      <c r="X779">
        <v>1</v>
      </c>
      <c r="Y779">
        <v>4</v>
      </c>
    </row>
    <row r="780" spans="1:25" ht="60" customHeight="1" x14ac:dyDescent="0.25">
      <c r="A780"/>
      <c r="B780" t="s">
        <v>4</v>
      </c>
      <c r="C780" t="s">
        <v>3381</v>
      </c>
      <c r="D780" t="s">
        <v>643</v>
      </c>
      <c r="E780" t="s">
        <v>1528</v>
      </c>
      <c r="F780" t="s">
        <v>1529</v>
      </c>
      <c r="G780" t="s">
        <v>1006</v>
      </c>
      <c r="H780" s="30">
        <v>33</v>
      </c>
      <c r="I780" s="29">
        <f>H780*(1-IFERROR(VLOOKUP(G780,Rabat!$D$10:$E$41,2,FALSE),0))</f>
        <v>33</v>
      </c>
      <c r="J780" t="s">
        <v>1902</v>
      </c>
      <c r="K780" t="s">
        <v>397</v>
      </c>
      <c r="L780" t="s">
        <v>1901</v>
      </c>
      <c r="M780">
        <v>50</v>
      </c>
      <c r="N780"/>
      <c r="O780" t="s">
        <v>3434</v>
      </c>
      <c r="P780" s="31" t="str">
        <f>HYPERLINK("https://b2b.kobi.pl/pl/product/11171,zasilanie-do-szynoprzewodu-3-obwodowego-lewe-biale-kobi?currency=PLN")</f>
        <v>https://b2b.kobi.pl/pl/product/11171,zasilanie-do-szynoprzewodu-3-obwodowego-lewe-biale-kobi?currency=PLN</v>
      </c>
      <c r="Q780" t="s">
        <v>15</v>
      </c>
      <c r="R780"/>
      <c r="S780" t="s">
        <v>2722</v>
      </c>
      <c r="T780"/>
      <c r="U780">
        <v>5.3999999999999999E-2</v>
      </c>
      <c r="V780">
        <v>5.7000000000000002E-2</v>
      </c>
      <c r="W780">
        <v>10</v>
      </c>
      <c r="X780">
        <v>3</v>
      </c>
      <c r="Y780">
        <v>3</v>
      </c>
    </row>
    <row r="781" spans="1:25" ht="60" customHeight="1" x14ac:dyDescent="0.25">
      <c r="A781"/>
      <c r="B781" t="s">
        <v>4</v>
      </c>
      <c r="C781" t="s">
        <v>3381</v>
      </c>
      <c r="D781" t="s">
        <v>643</v>
      </c>
      <c r="E781" t="s">
        <v>1530</v>
      </c>
      <c r="F781" t="s">
        <v>1531</v>
      </c>
      <c r="G781" t="s">
        <v>1006</v>
      </c>
      <c r="H781" s="30">
        <v>33</v>
      </c>
      <c r="I781" s="29">
        <f>H781*(1-IFERROR(VLOOKUP(G781,Rabat!$D$10:$E$41,2,FALSE),0))</f>
        <v>33</v>
      </c>
      <c r="J781" t="s">
        <v>1902</v>
      </c>
      <c r="K781" t="s">
        <v>398</v>
      </c>
      <c r="L781" t="s">
        <v>1901</v>
      </c>
      <c r="M781">
        <v>50</v>
      </c>
      <c r="N781"/>
      <c r="O781" t="s">
        <v>3434</v>
      </c>
      <c r="P781" s="31" t="str">
        <f>HYPERLINK("https://b2b.kobi.pl/pl/product/11172,zasilanie-do-szynoprzewodu-3-obwodowego-lewe-czarne-kobi?currency=PLN")</f>
        <v>https://b2b.kobi.pl/pl/product/11172,zasilanie-do-szynoprzewodu-3-obwodowego-lewe-czarne-kobi?currency=PLN</v>
      </c>
      <c r="Q781" t="s">
        <v>15</v>
      </c>
      <c r="R781"/>
      <c r="S781" t="s">
        <v>2722</v>
      </c>
      <c r="T781"/>
      <c r="U781">
        <v>5.3999999999999999E-2</v>
      </c>
      <c r="V781">
        <v>5.7000000000000002E-2</v>
      </c>
      <c r="W781">
        <v>10</v>
      </c>
      <c r="X781">
        <v>3</v>
      </c>
      <c r="Y781">
        <v>3</v>
      </c>
    </row>
    <row r="782" spans="1:25" ht="60" customHeight="1" x14ac:dyDescent="0.25">
      <c r="A782"/>
      <c r="B782" t="s">
        <v>4</v>
      </c>
      <c r="C782" t="s">
        <v>3381</v>
      </c>
      <c r="D782" t="s">
        <v>643</v>
      </c>
      <c r="E782" t="s">
        <v>1532</v>
      </c>
      <c r="F782" t="s">
        <v>1533</v>
      </c>
      <c r="G782" t="s">
        <v>1006</v>
      </c>
      <c r="H782" s="30">
        <v>33</v>
      </c>
      <c r="I782" s="29">
        <f>H782*(1-IFERROR(VLOOKUP(G782,Rabat!$D$10:$E$41,2,FALSE),0))</f>
        <v>33</v>
      </c>
      <c r="J782" t="s">
        <v>1902</v>
      </c>
      <c r="K782" t="s">
        <v>399</v>
      </c>
      <c r="L782" t="s">
        <v>1901</v>
      </c>
      <c r="M782">
        <v>50</v>
      </c>
      <c r="N782"/>
      <c r="O782" t="s">
        <v>3434</v>
      </c>
      <c r="P782" s="31" t="str">
        <f>HYPERLINK("https://b2b.kobi.pl/pl/product/11173,zasilanie-do-szynoprzewodu-3-obwodowego-prawe-biale-kobi?currency=PLN")</f>
        <v>https://b2b.kobi.pl/pl/product/11173,zasilanie-do-szynoprzewodu-3-obwodowego-prawe-biale-kobi?currency=PLN</v>
      </c>
      <c r="Q782" t="s">
        <v>15</v>
      </c>
      <c r="R782"/>
      <c r="S782" t="s">
        <v>2722</v>
      </c>
      <c r="T782"/>
      <c r="U782">
        <v>5.3999999999999999E-2</v>
      </c>
      <c r="V782">
        <v>5.7000000000000002E-2</v>
      </c>
      <c r="W782">
        <v>10</v>
      </c>
      <c r="X782">
        <v>3</v>
      </c>
      <c r="Y782">
        <v>3</v>
      </c>
    </row>
    <row r="783" spans="1:25" ht="60" customHeight="1" x14ac:dyDescent="0.25">
      <c r="A783"/>
      <c r="B783" t="s">
        <v>4</v>
      </c>
      <c r="C783" t="s">
        <v>3381</v>
      </c>
      <c r="D783" t="s">
        <v>643</v>
      </c>
      <c r="E783" t="s">
        <v>1534</v>
      </c>
      <c r="F783" t="s">
        <v>1535</v>
      </c>
      <c r="G783" t="s">
        <v>1006</v>
      </c>
      <c r="H783" s="30">
        <v>33</v>
      </c>
      <c r="I783" s="29">
        <f>H783*(1-IFERROR(VLOOKUP(G783,Rabat!$D$10:$E$41,2,FALSE),0))</f>
        <v>33</v>
      </c>
      <c r="J783" t="s">
        <v>1902</v>
      </c>
      <c r="K783" t="s">
        <v>400</v>
      </c>
      <c r="L783" t="s">
        <v>1901</v>
      </c>
      <c r="M783">
        <v>50</v>
      </c>
      <c r="N783"/>
      <c r="O783" t="s">
        <v>3434</v>
      </c>
      <c r="P783" s="31" t="str">
        <f>HYPERLINK("https://b2b.kobi.pl/pl/product/11174,zasilanie-do-szynoprzewodu-3-obwodowego-prawe-czarne-kobi?currency=PLN")</f>
        <v>https://b2b.kobi.pl/pl/product/11174,zasilanie-do-szynoprzewodu-3-obwodowego-prawe-czarne-kobi?currency=PLN</v>
      </c>
      <c r="Q783" t="s">
        <v>15</v>
      </c>
      <c r="R783"/>
      <c r="S783" t="s">
        <v>2722</v>
      </c>
      <c r="T783"/>
      <c r="U783">
        <v>5.3999999999999999E-2</v>
      </c>
      <c r="V783">
        <v>5.7000000000000002E-2</v>
      </c>
      <c r="W783">
        <v>10</v>
      </c>
      <c r="X783">
        <v>3</v>
      </c>
      <c r="Y783">
        <v>3</v>
      </c>
    </row>
    <row r="784" spans="1:25" ht="60" customHeight="1" x14ac:dyDescent="0.25">
      <c r="A784"/>
      <c r="B784" t="s">
        <v>4</v>
      </c>
      <c r="C784" t="s">
        <v>3381</v>
      </c>
      <c r="D784" t="s">
        <v>643</v>
      </c>
      <c r="E784" t="s">
        <v>1540</v>
      </c>
      <c r="F784" t="s">
        <v>1541</v>
      </c>
      <c r="G784" t="s">
        <v>1006</v>
      </c>
      <c r="H784" s="30">
        <v>27</v>
      </c>
      <c r="I784" s="29">
        <f>H784*(1-IFERROR(VLOOKUP(G784,Rabat!$D$10:$E$41,2,FALSE),0))</f>
        <v>27</v>
      </c>
      <c r="J784" t="s">
        <v>1902</v>
      </c>
      <c r="K784" t="s">
        <v>403</v>
      </c>
      <c r="L784" t="s">
        <v>1901</v>
      </c>
      <c r="M784">
        <v>100</v>
      </c>
      <c r="N784"/>
      <c r="O784" t="s">
        <v>3434</v>
      </c>
      <c r="P784" s="31" t="str">
        <f>HYPERLINK("https://b2b.kobi.pl/pl/product/11175,zestaw-do-zwieszania-szynoprzewodu-3-obwodowego-bialy-kobi?currency=PLN")</f>
        <v>https://b2b.kobi.pl/pl/product/11175,zestaw-do-zwieszania-szynoprzewodu-3-obwodowego-bialy-kobi?currency=PLN</v>
      </c>
      <c r="Q784" t="s">
        <v>15</v>
      </c>
      <c r="R784"/>
      <c r="S784" t="s">
        <v>2724</v>
      </c>
      <c r="T784"/>
      <c r="U784">
        <v>5.3999999999999999E-2</v>
      </c>
      <c r="V784">
        <v>5.4199999999999998E-2</v>
      </c>
      <c r="W784">
        <v>7</v>
      </c>
      <c r="X784">
        <v>7</v>
      </c>
      <c r="Y784">
        <v>1</v>
      </c>
    </row>
    <row r="785" spans="1:25" ht="60" customHeight="1" x14ac:dyDescent="0.25">
      <c r="A785"/>
      <c r="B785" t="s">
        <v>4</v>
      </c>
      <c r="C785" t="s">
        <v>3381</v>
      </c>
      <c r="D785" t="s">
        <v>643</v>
      </c>
      <c r="E785" t="s">
        <v>1542</v>
      </c>
      <c r="F785" t="s">
        <v>1543</v>
      </c>
      <c r="G785" t="s">
        <v>1006</v>
      </c>
      <c r="H785" s="30">
        <v>26.67</v>
      </c>
      <c r="I785" s="29">
        <f>H785*(1-IFERROR(VLOOKUP(G785,Rabat!$D$10:$E$41,2,FALSE),0))</f>
        <v>26.67</v>
      </c>
      <c r="J785" t="s">
        <v>1902</v>
      </c>
      <c r="K785" t="s">
        <v>404</v>
      </c>
      <c r="L785" t="s">
        <v>1901</v>
      </c>
      <c r="M785">
        <v>100</v>
      </c>
      <c r="N785"/>
      <c r="O785" t="s">
        <v>3434</v>
      </c>
      <c r="P785" s="31" t="str">
        <f>HYPERLINK("https://b2b.kobi.pl/pl/product/11176,zestaw-do-zwieszania-szynoprzewodu-3-obwodowego-czarny-kobi?currency=PLN")</f>
        <v>https://b2b.kobi.pl/pl/product/11176,zestaw-do-zwieszania-szynoprzewodu-3-obwodowego-czarny-kobi?currency=PLN</v>
      </c>
      <c r="Q785" t="s">
        <v>15</v>
      </c>
      <c r="R785"/>
      <c r="S785" t="s">
        <v>2724</v>
      </c>
      <c r="T785"/>
      <c r="U785">
        <v>5.3999999999999999E-2</v>
      </c>
      <c r="V785">
        <v>0.59599999999999997</v>
      </c>
      <c r="W785">
        <v>7</v>
      </c>
      <c r="X785">
        <v>7</v>
      </c>
      <c r="Y785">
        <v>1</v>
      </c>
    </row>
    <row r="786" spans="1:25" ht="60" customHeight="1" x14ac:dyDescent="0.25">
      <c r="A786"/>
      <c r="B786" t="s">
        <v>4</v>
      </c>
      <c r="C786" t="s">
        <v>3381</v>
      </c>
      <c r="D786" t="s">
        <v>643</v>
      </c>
      <c r="E786" t="s">
        <v>2219</v>
      </c>
      <c r="F786" t="s">
        <v>2220</v>
      </c>
      <c r="G786" t="s">
        <v>1006</v>
      </c>
      <c r="H786" s="30">
        <v>8.1999999999999993</v>
      </c>
      <c r="I786" s="29">
        <f>H786*(1-IFERROR(VLOOKUP(G786,Rabat!$D$10:$E$41,2,FALSE),0))</f>
        <v>8.1999999999999993</v>
      </c>
      <c r="J786" t="s">
        <v>1902</v>
      </c>
      <c r="K786" t="s">
        <v>2258</v>
      </c>
      <c r="L786" t="s">
        <v>1901</v>
      </c>
      <c r="M786"/>
      <c r="N786"/>
      <c r="O786" t="s">
        <v>3434</v>
      </c>
      <c r="P786" s="31" t="str">
        <f>HYPERLINK("https://b2b.kobi.pl/pl/product/12163,lacznik-do-szynoprzewodu-1-obwodowy-i-wewnetrzny-bialy-kobi?currency=PLN")</f>
        <v>https://b2b.kobi.pl/pl/product/12163,lacznik-do-szynoprzewodu-1-obwodowy-i-wewnetrzny-bialy-kobi?currency=PLN</v>
      </c>
      <c r="Q786" t="s">
        <v>15</v>
      </c>
      <c r="R786"/>
      <c r="S786" t="s">
        <v>2723</v>
      </c>
      <c r="T786"/>
      <c r="U786">
        <v>3.9E-2</v>
      </c>
      <c r="V786">
        <v>0.04</v>
      </c>
      <c r="W786">
        <v>15</v>
      </c>
      <c r="X786">
        <v>8</v>
      </c>
      <c r="Y786">
        <v>1</v>
      </c>
    </row>
    <row r="787" spans="1:25" ht="60" customHeight="1" x14ac:dyDescent="0.25">
      <c r="A787"/>
      <c r="B787" t="s">
        <v>4</v>
      </c>
      <c r="C787" t="s">
        <v>3381</v>
      </c>
      <c r="D787" t="s">
        <v>643</v>
      </c>
      <c r="E787" t="s">
        <v>2221</v>
      </c>
      <c r="F787" t="s">
        <v>2222</v>
      </c>
      <c r="G787" t="s">
        <v>1006</v>
      </c>
      <c r="H787" s="30">
        <v>8.1999999999999993</v>
      </c>
      <c r="I787" s="29">
        <f>H787*(1-IFERROR(VLOOKUP(G787,Rabat!$D$10:$E$41,2,FALSE),0))</f>
        <v>8.1999999999999993</v>
      </c>
      <c r="J787" t="s">
        <v>1902</v>
      </c>
      <c r="K787" t="s">
        <v>2259</v>
      </c>
      <c r="L787" t="s">
        <v>1901</v>
      </c>
      <c r="M787"/>
      <c r="N787"/>
      <c r="O787" t="s">
        <v>3434</v>
      </c>
      <c r="P787" s="31" t="str">
        <f>HYPERLINK("https://b2b.kobi.pl/pl/product/12164,lacznik-do-szynoprzewodu-1-obwodowy-i-wewnetrzny-czarny-kobi?currency=PLN")</f>
        <v>https://b2b.kobi.pl/pl/product/12164,lacznik-do-szynoprzewodu-1-obwodowy-i-wewnetrzny-czarny-kobi?currency=PLN</v>
      </c>
      <c r="Q787" t="s">
        <v>15</v>
      </c>
      <c r="R787"/>
      <c r="S787" t="s">
        <v>2723</v>
      </c>
      <c r="T787"/>
      <c r="U787">
        <v>3.9E-2</v>
      </c>
      <c r="V787">
        <v>0.04</v>
      </c>
      <c r="W787">
        <v>15</v>
      </c>
      <c r="X787">
        <v>8</v>
      </c>
      <c r="Y787">
        <v>1</v>
      </c>
    </row>
    <row r="788" spans="1:25" ht="60" customHeight="1" x14ac:dyDescent="0.25">
      <c r="A788"/>
      <c r="B788" t="s">
        <v>5</v>
      </c>
      <c r="C788" t="s">
        <v>3375</v>
      </c>
      <c r="D788" t="s">
        <v>17</v>
      </c>
      <c r="E788" t="s">
        <v>3246</v>
      </c>
      <c r="F788" t="s">
        <v>3247</v>
      </c>
      <c r="G788" t="s">
        <v>773</v>
      </c>
      <c r="H788" s="30">
        <v>38.146000000000001</v>
      </c>
      <c r="I788" s="29">
        <f>H788*(1-IFERROR(VLOOKUP(G788,Rabat!$D$10:$E$41,2,FALSE),0))</f>
        <v>38.146000000000001</v>
      </c>
      <c r="J788" t="s">
        <v>1902</v>
      </c>
      <c r="K788" t="s">
        <v>3254</v>
      </c>
      <c r="L788" t="s">
        <v>1901</v>
      </c>
      <c r="M788">
        <v>6</v>
      </c>
      <c r="N788">
        <v>180</v>
      </c>
      <c r="O788" t="s">
        <v>3434</v>
      </c>
      <c r="P788" s="31" t="str">
        <f>HYPERLINK("https://b2b.kobi.pl/pl/product/10570,lampa-solarna-solar-led-candelio-2700k-bialy-led2b?currency=PLN")</f>
        <v>https://b2b.kobi.pl/pl/product/10570,lampa-solarna-solar-led-candelio-2700k-bialy-led2b?currency=PLN</v>
      </c>
      <c r="Q788" t="s">
        <v>15</v>
      </c>
      <c r="R788"/>
      <c r="S788" t="s">
        <v>2712</v>
      </c>
      <c r="T788"/>
      <c r="U788">
        <v>0.63200000000000001</v>
      </c>
      <c r="V788">
        <v>0.72699999999999998</v>
      </c>
      <c r="W788">
        <v>14.5</v>
      </c>
      <c r="X788">
        <v>14.5</v>
      </c>
      <c r="Y788">
        <v>28</v>
      </c>
    </row>
    <row r="789" spans="1:25" ht="60" customHeight="1" x14ac:dyDescent="0.25">
      <c r="A789"/>
      <c r="B789" t="s">
        <v>5</v>
      </c>
      <c r="C789" t="s">
        <v>3375</v>
      </c>
      <c r="D789" t="s">
        <v>17</v>
      </c>
      <c r="E789" t="s">
        <v>3248</v>
      </c>
      <c r="F789" t="s">
        <v>3249</v>
      </c>
      <c r="G789" t="s">
        <v>773</v>
      </c>
      <c r="H789" s="30">
        <v>38.146000000000001</v>
      </c>
      <c r="I789" s="29">
        <f>H789*(1-IFERROR(VLOOKUP(G789,Rabat!$D$10:$E$41,2,FALSE),0))</f>
        <v>38.146000000000001</v>
      </c>
      <c r="J789" t="s">
        <v>1902</v>
      </c>
      <c r="K789" t="s">
        <v>3255</v>
      </c>
      <c r="L789" t="s">
        <v>1901</v>
      </c>
      <c r="M789">
        <v>6</v>
      </c>
      <c r="N789">
        <v>180</v>
      </c>
      <c r="O789" t="s">
        <v>3434</v>
      </c>
      <c r="P789" s="31" t="str">
        <f>HYPERLINK("https://b2b.kobi.pl/pl/product/10571,lampa-solarna-solar-led-candelio-2700k-czarna-led2b?currency=PLN")</f>
        <v>https://b2b.kobi.pl/pl/product/10571,lampa-solarna-solar-led-candelio-2700k-czarna-led2b?currency=PLN</v>
      </c>
      <c r="Q789" t="s">
        <v>15</v>
      </c>
      <c r="R789"/>
      <c r="S789" t="s">
        <v>2712</v>
      </c>
      <c r="T789"/>
      <c r="U789">
        <v>0.63200000000000001</v>
      </c>
      <c r="V789">
        <v>0.72699999999999998</v>
      </c>
      <c r="W789">
        <v>14.5</v>
      </c>
      <c r="X789">
        <v>14.5</v>
      </c>
      <c r="Y789">
        <v>28</v>
      </c>
    </row>
    <row r="790" spans="1:25" ht="60" customHeight="1" x14ac:dyDescent="0.25">
      <c r="A790"/>
      <c r="B790" t="s">
        <v>5</v>
      </c>
      <c r="C790" t="s">
        <v>3375</v>
      </c>
      <c r="D790" t="s">
        <v>17</v>
      </c>
      <c r="E790" t="s">
        <v>3250</v>
      </c>
      <c r="F790" t="s">
        <v>3251</v>
      </c>
      <c r="G790" t="s">
        <v>773</v>
      </c>
      <c r="H790" s="30">
        <v>38.146000000000001</v>
      </c>
      <c r="I790" s="29">
        <f>H790*(1-IFERROR(VLOOKUP(G790,Rabat!$D$10:$E$41,2,FALSE),0))</f>
        <v>38.146000000000001</v>
      </c>
      <c r="J790" t="s">
        <v>1902</v>
      </c>
      <c r="K790" t="s">
        <v>3256</v>
      </c>
      <c r="L790" t="s">
        <v>1901</v>
      </c>
      <c r="M790">
        <v>6</v>
      </c>
      <c r="N790">
        <v>180</v>
      </c>
      <c r="O790" t="s">
        <v>3434</v>
      </c>
      <c r="P790" s="31" t="str">
        <f>HYPERLINK("https://b2b.kobi.pl/pl/product/10572,lampa-solarna-solar-led-candelio-2700k-zlota-led2b?currency=PLN")</f>
        <v>https://b2b.kobi.pl/pl/product/10572,lampa-solarna-solar-led-candelio-2700k-zlota-led2b?currency=PLN</v>
      </c>
      <c r="Q790" t="s">
        <v>15</v>
      </c>
      <c r="R790"/>
      <c r="S790" t="s">
        <v>2712</v>
      </c>
      <c r="T790"/>
      <c r="U790">
        <v>0.63200000000000001</v>
      </c>
      <c r="V790">
        <v>0.72699999999999998</v>
      </c>
      <c r="W790">
        <v>14.5</v>
      </c>
      <c r="X790">
        <v>14.5</v>
      </c>
      <c r="Y790">
        <v>28</v>
      </c>
    </row>
    <row r="791" spans="1:25" ht="60" customHeight="1" x14ac:dyDescent="0.25">
      <c r="A791"/>
      <c r="B791" t="s">
        <v>5</v>
      </c>
      <c r="C791" t="s">
        <v>3375</v>
      </c>
      <c r="D791" t="s">
        <v>17</v>
      </c>
      <c r="E791" t="s">
        <v>1425</v>
      </c>
      <c r="F791" t="s">
        <v>1426</v>
      </c>
      <c r="G791" t="s">
        <v>773</v>
      </c>
      <c r="H791" s="30">
        <v>58.75</v>
      </c>
      <c r="I791" s="29">
        <f>H791*(1-IFERROR(VLOOKUP(G791,Rabat!$D$10:$E$41,2,FALSE),0))</f>
        <v>58.75</v>
      </c>
      <c r="J791" t="s">
        <v>1902</v>
      </c>
      <c r="K791" t="s">
        <v>384</v>
      </c>
      <c r="L791" t="s">
        <v>1917</v>
      </c>
      <c r="M791">
        <v>24</v>
      </c>
      <c r="N791"/>
      <c r="O791" t="s">
        <v>3434</v>
      </c>
      <c r="P791" s="31" t="str">
        <f>HYPERLINK("https://b2b.kobi.pl/pl/product/10573,slupek-ogrodowy-solar-led-eclipse-6000k-ip44-10-pak-led2b?currency=PLN")</f>
        <v>https://b2b.kobi.pl/pl/product/10573,slupek-ogrodowy-solar-led-eclipse-6000k-ip44-10-pak-led2b?currency=PLN</v>
      </c>
      <c r="Q791" t="s">
        <v>15</v>
      </c>
      <c r="R791" t="s">
        <v>2035</v>
      </c>
      <c r="S791" t="s">
        <v>2712</v>
      </c>
      <c r="T791"/>
      <c r="U791">
        <v>0.45</v>
      </c>
      <c r="V791">
        <v>0.52639999999999998</v>
      </c>
      <c r="W791">
        <v>23.5</v>
      </c>
      <c r="X791">
        <v>9.6999999999999993</v>
      </c>
      <c r="Y791">
        <v>13</v>
      </c>
    </row>
    <row r="792" spans="1:25" ht="60" customHeight="1" x14ac:dyDescent="0.25">
      <c r="A792"/>
      <c r="B792" t="s">
        <v>5</v>
      </c>
      <c r="C792" t="s">
        <v>3375</v>
      </c>
      <c r="D792" t="s">
        <v>17</v>
      </c>
      <c r="E792" t="s">
        <v>1427</v>
      </c>
      <c r="F792" t="s">
        <v>1428</v>
      </c>
      <c r="G792" t="s">
        <v>773</v>
      </c>
      <c r="H792" s="30">
        <v>108.75</v>
      </c>
      <c r="I792" s="29">
        <f>H792*(1-IFERROR(VLOOKUP(G792,Rabat!$D$10:$E$41,2,FALSE),0))</f>
        <v>108.75</v>
      </c>
      <c r="J792" t="s">
        <v>1902</v>
      </c>
      <c r="K792" t="s">
        <v>385</v>
      </c>
      <c r="L792" t="s">
        <v>1917</v>
      </c>
      <c r="M792">
        <v>12</v>
      </c>
      <c r="N792"/>
      <c r="O792" t="s">
        <v>3434</v>
      </c>
      <c r="P792" s="31" t="str">
        <f>HYPERLINK("https://b2b.kobi.pl/pl/product/10574,slupek-ogrodowy-solar-led-fusion-6500k-ip44-12-pak-led2b?currency=PLN")</f>
        <v>https://b2b.kobi.pl/pl/product/10574,slupek-ogrodowy-solar-led-fusion-6500k-ip44-12-pak-led2b?currency=PLN</v>
      </c>
      <c r="Q792" t="s">
        <v>15</v>
      </c>
      <c r="R792" t="s">
        <v>2035</v>
      </c>
      <c r="S792" t="s">
        <v>2712</v>
      </c>
      <c r="T792"/>
      <c r="U792">
        <v>0.95</v>
      </c>
      <c r="V792">
        <v>1.0828</v>
      </c>
      <c r="W792">
        <v>28</v>
      </c>
      <c r="X792">
        <v>21</v>
      </c>
      <c r="Y792">
        <v>9.5</v>
      </c>
    </row>
    <row r="793" spans="1:25" ht="60" customHeight="1" x14ac:dyDescent="0.25">
      <c r="A793"/>
      <c r="B793" t="s">
        <v>5</v>
      </c>
      <c r="C793" t="s">
        <v>3375</v>
      </c>
      <c r="D793" t="s">
        <v>17</v>
      </c>
      <c r="E793" t="s">
        <v>1429</v>
      </c>
      <c r="F793" t="s">
        <v>1430</v>
      </c>
      <c r="G793" t="s">
        <v>773</v>
      </c>
      <c r="H793" s="30">
        <v>51.25</v>
      </c>
      <c r="I793" s="29">
        <f>H793*(1-IFERROR(VLOOKUP(G793,Rabat!$D$10:$E$41,2,FALSE),0))</f>
        <v>51.25</v>
      </c>
      <c r="J793" t="s">
        <v>1902</v>
      </c>
      <c r="K793" t="s">
        <v>386</v>
      </c>
      <c r="L793" t="s">
        <v>1917</v>
      </c>
      <c r="M793">
        <v>6</v>
      </c>
      <c r="N793"/>
      <c r="O793" t="s">
        <v>3434</v>
      </c>
      <c r="P793" s="31" t="str">
        <f>HYPERLINK("https://b2b.kobi.pl/pl/product/10575,slupek-ogrodowy-solar-led-globe-3000k-ip44-5-pak-led2b?currency=PLN")</f>
        <v>https://b2b.kobi.pl/pl/product/10575,slupek-ogrodowy-solar-led-globe-3000k-ip44-5-pak-led2b?currency=PLN</v>
      </c>
      <c r="Q793" t="s">
        <v>15</v>
      </c>
      <c r="R793" t="s">
        <v>2035</v>
      </c>
      <c r="S793" t="s">
        <v>2712</v>
      </c>
      <c r="T793"/>
      <c r="U793">
        <v>0.4</v>
      </c>
      <c r="V793">
        <v>0.53649999999999998</v>
      </c>
      <c r="W793">
        <v>30.5</v>
      </c>
      <c r="X793">
        <v>20.5</v>
      </c>
      <c r="Y793">
        <v>12.5</v>
      </c>
    </row>
    <row r="794" spans="1:25" ht="60" customHeight="1" x14ac:dyDescent="0.25">
      <c r="A794"/>
      <c r="B794" t="s">
        <v>5</v>
      </c>
      <c r="C794" t="s">
        <v>3375</v>
      </c>
      <c r="D794" t="s">
        <v>17</v>
      </c>
      <c r="E794" t="s">
        <v>817</v>
      </c>
      <c r="F794" t="s">
        <v>818</v>
      </c>
      <c r="G794" t="s">
        <v>773</v>
      </c>
      <c r="H794" s="30">
        <v>32.25</v>
      </c>
      <c r="I794" s="29">
        <f>H794*(1-IFERROR(VLOOKUP(G794,Rabat!$D$10:$E$41,2,FALSE),0))</f>
        <v>32.25</v>
      </c>
      <c r="J794" t="s">
        <v>1902</v>
      </c>
      <c r="K794" t="s">
        <v>387</v>
      </c>
      <c r="L794" t="s">
        <v>1901</v>
      </c>
      <c r="M794">
        <v>12</v>
      </c>
      <c r="N794"/>
      <c r="O794" t="s">
        <v>3434</v>
      </c>
      <c r="P794" s="31" t="str">
        <f>HYPERLINK("https://b2b.kobi.pl/pl/product/10578,lampa-ogrodowa-solar-led-harmony-3000k-ip44-led2b?currency=PLN")</f>
        <v>https://b2b.kobi.pl/pl/product/10578,lampa-ogrodowa-solar-led-harmony-3000k-ip44-led2b?currency=PLN</v>
      </c>
      <c r="Q794" t="s">
        <v>15</v>
      </c>
      <c r="R794" t="s">
        <v>2035</v>
      </c>
      <c r="S794" t="s">
        <v>2712</v>
      </c>
      <c r="T794"/>
      <c r="U794">
        <v>7.0000000000000007E-2</v>
      </c>
      <c r="V794">
        <v>0.1114</v>
      </c>
      <c r="W794">
        <v>20.5</v>
      </c>
      <c r="X794">
        <v>20.5</v>
      </c>
      <c r="Y794">
        <v>2.5</v>
      </c>
    </row>
    <row r="795" spans="1:25" ht="60" customHeight="1" x14ac:dyDescent="0.25">
      <c r="A795"/>
      <c r="B795" t="s">
        <v>5</v>
      </c>
      <c r="C795" t="s">
        <v>3375</v>
      </c>
      <c r="D795" t="s">
        <v>17</v>
      </c>
      <c r="E795" t="s">
        <v>828</v>
      </c>
      <c r="F795" t="s">
        <v>829</v>
      </c>
      <c r="G795" t="s">
        <v>773</v>
      </c>
      <c r="H795" s="30">
        <v>37.94</v>
      </c>
      <c r="I795" s="29">
        <f>H795*(1-IFERROR(VLOOKUP(G795,Rabat!$D$10:$E$41,2,FALSE),0))</f>
        <v>37.94</v>
      </c>
      <c r="J795" t="s">
        <v>1902</v>
      </c>
      <c r="K795" t="s">
        <v>383</v>
      </c>
      <c r="L795" t="s">
        <v>1901</v>
      </c>
      <c r="M795">
        <v>30</v>
      </c>
      <c r="N795">
        <v>1350</v>
      </c>
      <c r="O795" t="s">
        <v>3434</v>
      </c>
      <c r="P795" s="31" t="str">
        <f>HYPERLINK("https://b2b.kobi.pl/pl/product/10582,lampa-solarna-solar-50-led-lume-rgb-led2b?currency=PLN")</f>
        <v>https://b2b.kobi.pl/pl/product/10582,lampa-solarna-solar-50-led-lume-rgb-led2b?currency=PLN</v>
      </c>
      <c r="Q795" t="s">
        <v>15</v>
      </c>
      <c r="R795"/>
      <c r="S795" t="s">
        <v>2712</v>
      </c>
      <c r="T795"/>
      <c r="U795">
        <v>0.16</v>
      </c>
      <c r="V795">
        <v>0.18490000000000001</v>
      </c>
      <c r="W795">
        <v>14</v>
      </c>
      <c r="X795">
        <v>8</v>
      </c>
      <c r="Y795">
        <v>9</v>
      </c>
    </row>
    <row r="796" spans="1:25" ht="60" customHeight="1" x14ac:dyDescent="0.25">
      <c r="A796"/>
      <c r="B796" t="s">
        <v>5</v>
      </c>
      <c r="C796" t="s">
        <v>3375</v>
      </c>
      <c r="D796" t="s">
        <v>17</v>
      </c>
      <c r="E796" t="s">
        <v>1431</v>
      </c>
      <c r="F796" t="s">
        <v>1432</v>
      </c>
      <c r="G796" t="s">
        <v>773</v>
      </c>
      <c r="H796" s="30">
        <v>82.25</v>
      </c>
      <c r="I796" s="29">
        <f>H796*(1-IFERROR(VLOOKUP(G796,Rabat!$D$10:$E$41,2,FALSE),0))</f>
        <v>82.25</v>
      </c>
      <c r="J796" t="s">
        <v>1902</v>
      </c>
      <c r="K796" t="s">
        <v>388</v>
      </c>
      <c r="L796" t="s">
        <v>1901</v>
      </c>
      <c r="M796">
        <v>12</v>
      </c>
      <c r="N796"/>
      <c r="O796" t="s">
        <v>3434</v>
      </c>
      <c r="P796" s="31" t="str">
        <f>HYPERLINK("https://b2b.kobi.pl/pl/product/10583,slupek-ogrodowy-solar-led-lance-6000k-ip44-led2b?currency=PLN")</f>
        <v>https://b2b.kobi.pl/pl/product/10583,slupek-ogrodowy-solar-led-lance-6000k-ip44-led2b?currency=PLN</v>
      </c>
      <c r="Q796" t="s">
        <v>15</v>
      </c>
      <c r="R796" t="s">
        <v>2035</v>
      </c>
      <c r="S796" t="s">
        <v>2712</v>
      </c>
      <c r="T796"/>
      <c r="U796">
        <v>0.24</v>
      </c>
      <c r="V796">
        <v>0.29499999999999998</v>
      </c>
      <c r="W796">
        <v>16.3</v>
      </c>
      <c r="X796">
        <v>8</v>
      </c>
      <c r="Y796">
        <v>15.5</v>
      </c>
    </row>
    <row r="797" spans="1:25" ht="60" customHeight="1" x14ac:dyDescent="0.25">
      <c r="A797"/>
      <c r="B797" t="s">
        <v>5</v>
      </c>
      <c r="C797" t="s">
        <v>3375</v>
      </c>
      <c r="D797" t="s">
        <v>17</v>
      </c>
      <c r="E797" t="s">
        <v>1139</v>
      </c>
      <c r="F797" t="s">
        <v>1140</v>
      </c>
      <c r="G797" t="s">
        <v>773</v>
      </c>
      <c r="H797" s="30">
        <v>52.58</v>
      </c>
      <c r="I797" s="29">
        <f>H797*(1-IFERROR(VLOOKUP(G797,Rabat!$D$10:$E$41,2,FALSE),0))</f>
        <v>52.58</v>
      </c>
      <c r="J797" t="s">
        <v>1902</v>
      </c>
      <c r="K797" t="s">
        <v>389</v>
      </c>
      <c r="L797" t="s">
        <v>1917</v>
      </c>
      <c r="M797">
        <v>30</v>
      </c>
      <c r="N797">
        <v>1020</v>
      </c>
      <c r="O797" t="s">
        <v>3434</v>
      </c>
      <c r="P797" s="31" t="str">
        <f>HYPERLINK("https://b2b.kobi.pl/pl/product/10641,naswietlacz-solar-led-photon-3000k-ip44-8-pak-led2b?currency=PLN")</f>
        <v>https://b2b.kobi.pl/pl/product/10641,naswietlacz-solar-led-photon-3000k-ip44-8-pak-led2b?currency=PLN</v>
      </c>
      <c r="Q797" t="s">
        <v>15</v>
      </c>
      <c r="R797"/>
      <c r="S797" t="s">
        <v>2712</v>
      </c>
      <c r="T797"/>
      <c r="U797">
        <v>0.28000000000000003</v>
      </c>
      <c r="V797">
        <v>0.33360000000000001</v>
      </c>
      <c r="W797">
        <v>18.7</v>
      </c>
      <c r="X797">
        <v>8.1999999999999993</v>
      </c>
      <c r="Y797">
        <v>6.6</v>
      </c>
    </row>
    <row r="798" spans="1:25" ht="60" customHeight="1" x14ac:dyDescent="0.25">
      <c r="A798"/>
      <c r="B798" t="s">
        <v>5</v>
      </c>
      <c r="C798" t="s">
        <v>3375</v>
      </c>
      <c r="D798" t="s">
        <v>17</v>
      </c>
      <c r="E798" t="s">
        <v>819</v>
      </c>
      <c r="F798" t="s">
        <v>820</v>
      </c>
      <c r="G798" t="s">
        <v>773</v>
      </c>
      <c r="H798" s="30">
        <v>60.32</v>
      </c>
      <c r="I798" s="29">
        <f>H798*(1-IFERROR(VLOOKUP(G798,Rabat!$D$10:$E$41,2,FALSE),0))</f>
        <v>60.32</v>
      </c>
      <c r="J798" t="s">
        <v>1902</v>
      </c>
      <c r="K798" t="s">
        <v>390</v>
      </c>
      <c r="L798" t="s">
        <v>1901</v>
      </c>
      <c r="M798">
        <v>6</v>
      </c>
      <c r="N798">
        <v>216</v>
      </c>
      <c r="O798" t="s">
        <v>3434</v>
      </c>
      <c r="P798" s="31" t="str">
        <f>HYPERLINK("https://b2b.kobi.pl/pl/product/10647,lampa-ogrodowa-solar-led-spectra-2700k-ip44-led2b?currency=PLN")</f>
        <v>https://b2b.kobi.pl/pl/product/10647,lampa-ogrodowa-solar-led-spectra-2700k-ip44-led2b?currency=PLN</v>
      </c>
      <c r="Q798" t="s">
        <v>15</v>
      </c>
      <c r="R798"/>
      <c r="S798" t="s">
        <v>2712</v>
      </c>
      <c r="T798"/>
      <c r="U798">
        <v>0.39</v>
      </c>
      <c r="V798">
        <v>0.50239999999999996</v>
      </c>
      <c r="W798">
        <v>24.5</v>
      </c>
      <c r="X798">
        <v>13.5</v>
      </c>
      <c r="Y798">
        <v>18.5</v>
      </c>
    </row>
    <row r="799" spans="1:25" ht="60" customHeight="1" x14ac:dyDescent="0.25">
      <c r="A799"/>
      <c r="B799" t="s">
        <v>5</v>
      </c>
      <c r="C799" t="s">
        <v>3375</v>
      </c>
      <c r="D799" t="s">
        <v>17</v>
      </c>
      <c r="E799" t="s">
        <v>1435</v>
      </c>
      <c r="F799" t="s">
        <v>1436</v>
      </c>
      <c r="G799" t="s">
        <v>773</v>
      </c>
      <c r="H799" s="30">
        <v>84.75</v>
      </c>
      <c r="I799" s="29">
        <f>H799*(1-IFERROR(VLOOKUP(G799,Rabat!$D$10:$E$41,2,FALSE),0))</f>
        <v>84.75</v>
      </c>
      <c r="J799" t="s">
        <v>1902</v>
      </c>
      <c r="K799" t="s">
        <v>392</v>
      </c>
      <c r="L799" t="s">
        <v>1901</v>
      </c>
      <c r="M799">
        <v>24</v>
      </c>
      <c r="N799"/>
      <c r="O799" t="s">
        <v>3434</v>
      </c>
      <c r="P799" s="31" t="str">
        <f>HYPERLINK("https://b2b.kobi.pl/pl/product/10648,slupek-ogrodowy-solar-led-spike-6500k-ip44-led2b?currency=PLN")</f>
        <v>https://b2b.kobi.pl/pl/product/10648,slupek-ogrodowy-solar-led-spike-6500k-ip44-led2b?currency=PLN</v>
      </c>
      <c r="Q799" t="s">
        <v>15</v>
      </c>
      <c r="R799"/>
      <c r="S799" t="s">
        <v>2712</v>
      </c>
      <c r="T799"/>
      <c r="U799">
        <v>0.41</v>
      </c>
      <c r="V799">
        <v>0.51500000000000001</v>
      </c>
      <c r="W799">
        <v>39.700000000000003</v>
      </c>
      <c r="X799">
        <v>105</v>
      </c>
      <c r="Y799">
        <v>9.5</v>
      </c>
    </row>
    <row r="800" spans="1:25" ht="60" customHeight="1" x14ac:dyDescent="0.25">
      <c r="A800"/>
      <c r="B800" t="s">
        <v>5</v>
      </c>
      <c r="C800" t="s">
        <v>3375</v>
      </c>
      <c r="D800" t="s">
        <v>17</v>
      </c>
      <c r="E800" t="s">
        <v>1433</v>
      </c>
      <c r="F800" t="s">
        <v>1434</v>
      </c>
      <c r="G800" t="s">
        <v>773</v>
      </c>
      <c r="H800" s="30">
        <v>84.75</v>
      </c>
      <c r="I800" s="29">
        <f>H800*(1-IFERROR(VLOOKUP(G800,Rabat!$D$10:$E$41,2,FALSE),0))</f>
        <v>84.75</v>
      </c>
      <c r="J800" t="s">
        <v>1902</v>
      </c>
      <c r="K800" t="s">
        <v>391</v>
      </c>
      <c r="L800" t="s">
        <v>1917</v>
      </c>
      <c r="M800">
        <v>3</v>
      </c>
      <c r="N800"/>
      <c r="O800" t="s">
        <v>3434</v>
      </c>
      <c r="P800" s="31" t="str">
        <f>HYPERLINK("https://b2b.kobi.pl/pl/product/10649,slupek-ogrodowy-solar-led-sphere-6500k-ip44-10-pak-led2b?currency=PLN")</f>
        <v>https://b2b.kobi.pl/pl/product/10649,slupek-ogrodowy-solar-led-sphere-6500k-ip44-10-pak-led2b?currency=PLN</v>
      </c>
      <c r="Q800" t="s">
        <v>15</v>
      </c>
      <c r="R800" t="s">
        <v>2035</v>
      </c>
      <c r="S800" t="s">
        <v>2712</v>
      </c>
      <c r="T800"/>
      <c r="U800">
        <v>0.75</v>
      </c>
      <c r="V800">
        <v>1</v>
      </c>
      <c r="W800">
        <v>20.5</v>
      </c>
      <c r="X800">
        <v>12.8</v>
      </c>
      <c r="Y800">
        <v>0.99299999999999999</v>
      </c>
    </row>
    <row r="801" spans="1:25" ht="60" customHeight="1" x14ac:dyDescent="0.25">
      <c r="A801"/>
      <c r="B801" t="s">
        <v>5</v>
      </c>
      <c r="C801" t="s">
        <v>3375</v>
      </c>
      <c r="D801" t="s">
        <v>17</v>
      </c>
      <c r="E801" t="s">
        <v>812</v>
      </c>
      <c r="F801" t="s">
        <v>813</v>
      </c>
      <c r="G801" t="s">
        <v>773</v>
      </c>
      <c r="H801" s="30">
        <v>59.75</v>
      </c>
      <c r="I801" s="29">
        <f>H801*(1-IFERROR(VLOOKUP(G801,Rabat!$D$10:$E$41,2,FALSE),0))</f>
        <v>59.75</v>
      </c>
      <c r="J801" t="s">
        <v>1902</v>
      </c>
      <c r="K801" t="s">
        <v>393</v>
      </c>
      <c r="L801" t="s">
        <v>1901</v>
      </c>
      <c r="M801">
        <v>36</v>
      </c>
      <c r="N801"/>
      <c r="O801" t="s">
        <v>3434</v>
      </c>
      <c r="P801" s="31" t="str">
        <f>HYPERLINK("https://b2b.kobi.pl/pl/product/10651,lampa-ogrodowa-solar-300-led-spark-3000k-ip44-led2b?currency=PLN")</f>
        <v>https://b2b.kobi.pl/pl/product/10651,lampa-ogrodowa-solar-300-led-spark-3000k-ip44-led2b?currency=PLN</v>
      </c>
      <c r="Q801" t="s">
        <v>15</v>
      </c>
      <c r="R801" t="s">
        <v>2035</v>
      </c>
      <c r="S801" t="s">
        <v>2712</v>
      </c>
      <c r="T801"/>
      <c r="U801">
        <v>0.15</v>
      </c>
      <c r="V801">
        <v>0.1807</v>
      </c>
      <c r="W801">
        <v>14</v>
      </c>
      <c r="X801">
        <v>7</v>
      </c>
      <c r="Y801">
        <v>8</v>
      </c>
    </row>
    <row r="802" spans="1:25" ht="60" customHeight="1" x14ac:dyDescent="0.25">
      <c r="A802"/>
      <c r="B802" t="s">
        <v>5</v>
      </c>
      <c r="C802" t="s">
        <v>3375</v>
      </c>
      <c r="D802" t="s">
        <v>17</v>
      </c>
      <c r="E802" t="s">
        <v>821</v>
      </c>
      <c r="F802" t="s">
        <v>822</v>
      </c>
      <c r="G802" t="s">
        <v>773</v>
      </c>
      <c r="H802" s="30">
        <v>83.95</v>
      </c>
      <c r="I802" s="29">
        <f>H802*(1-IFERROR(VLOOKUP(G802,Rabat!$D$10:$E$41,2,FALSE),0))</f>
        <v>83.95</v>
      </c>
      <c r="J802" t="s">
        <v>1902</v>
      </c>
      <c r="K802" t="s">
        <v>394</v>
      </c>
      <c r="L802" t="s">
        <v>1901</v>
      </c>
      <c r="M802">
        <v>36</v>
      </c>
      <c r="N802">
        <v>216</v>
      </c>
      <c r="O802" t="s">
        <v>3434</v>
      </c>
      <c r="P802" s="31" t="str">
        <f>HYPERLINK("https://b2b.kobi.pl/pl/product/10655,lampa-ogrodowa-solar-led-sway-6000k-ip44-led2b?currency=PLN")</f>
        <v>https://b2b.kobi.pl/pl/product/10655,lampa-ogrodowa-solar-led-sway-6000k-ip44-led2b?currency=PLN</v>
      </c>
      <c r="Q802" t="s">
        <v>15</v>
      </c>
      <c r="R802"/>
      <c r="S802" t="s">
        <v>2712</v>
      </c>
      <c r="T802"/>
      <c r="U802">
        <v>0.46</v>
      </c>
      <c r="V802">
        <v>0.57310000000000005</v>
      </c>
      <c r="W802">
        <v>19</v>
      </c>
      <c r="X802">
        <v>14.3</v>
      </c>
      <c r="Y802">
        <v>18</v>
      </c>
    </row>
    <row r="803" spans="1:25" ht="60" customHeight="1" x14ac:dyDescent="0.25">
      <c r="A803"/>
      <c r="B803" t="s">
        <v>5</v>
      </c>
      <c r="C803" t="s">
        <v>3375</v>
      </c>
      <c r="D803" t="s">
        <v>17</v>
      </c>
      <c r="E803" t="s">
        <v>1437</v>
      </c>
      <c r="F803" t="s">
        <v>1438</v>
      </c>
      <c r="G803" t="s">
        <v>773</v>
      </c>
      <c r="H803" s="30">
        <v>51.25</v>
      </c>
      <c r="I803" s="29">
        <f>H803*(1-IFERROR(VLOOKUP(G803,Rabat!$D$10:$E$41,2,FALSE),0))</f>
        <v>51.25</v>
      </c>
      <c r="J803" t="s">
        <v>1902</v>
      </c>
      <c r="K803" t="s">
        <v>382</v>
      </c>
      <c r="L803" t="s">
        <v>1917</v>
      </c>
      <c r="M803">
        <v>24</v>
      </c>
      <c r="N803"/>
      <c r="O803" t="s">
        <v>3434</v>
      </c>
      <c r="P803" s="31" t="str">
        <f>HYPERLINK("https://b2b.kobi.pl/pl/product/10656,slupek-ogrodowy-solar-led-zen-6000k-ip44-10-pak-led2b?currency=PLN")</f>
        <v>https://b2b.kobi.pl/pl/product/10656,slupek-ogrodowy-solar-led-zen-6000k-ip44-10-pak-led2b?currency=PLN</v>
      </c>
      <c r="Q803" t="s">
        <v>15</v>
      </c>
      <c r="R803" t="s">
        <v>2035</v>
      </c>
      <c r="S803" t="s">
        <v>2712</v>
      </c>
      <c r="T803"/>
      <c r="U803">
        <v>0.4</v>
      </c>
      <c r="V803">
        <v>0.47639999999999999</v>
      </c>
      <c r="W803">
        <v>23.5</v>
      </c>
      <c r="X803">
        <v>9.6999999999999993</v>
      </c>
      <c r="Y803">
        <v>13</v>
      </c>
    </row>
    <row r="804" spans="1:25" ht="60" customHeight="1" x14ac:dyDescent="0.25">
      <c r="A804"/>
      <c r="B804" t="s">
        <v>5</v>
      </c>
      <c r="C804" t="s">
        <v>3375</v>
      </c>
      <c r="D804" t="s">
        <v>17</v>
      </c>
      <c r="E804" t="s">
        <v>1222</v>
      </c>
      <c r="F804" t="s">
        <v>1223</v>
      </c>
      <c r="G804" t="s">
        <v>773</v>
      </c>
      <c r="H804" s="30">
        <v>197.5</v>
      </c>
      <c r="I804" s="29">
        <f>H804*(1-IFERROR(VLOOKUP(G804,Rabat!$D$10:$E$41,2,FALSE),0))</f>
        <v>197.5</v>
      </c>
      <c r="J804" t="s">
        <v>1902</v>
      </c>
      <c r="K804" t="s">
        <v>1945</v>
      </c>
      <c r="L804" t="s">
        <v>1901</v>
      </c>
      <c r="M804">
        <v>5</v>
      </c>
      <c r="N804"/>
      <c r="O804" t="s">
        <v>3434</v>
      </c>
      <c r="P804" s="31" t="str">
        <f>HYPERLINK("https://b2b.kobi.pl/pl/product/12124,oprawa-drogowa-z-czujnikiem-ruchu-solar-led-urbi-8w-6500k-ip54-led2b?currency=PLN")</f>
        <v>https://b2b.kobi.pl/pl/product/12124,oprawa-drogowa-z-czujnikiem-ruchu-solar-led-urbi-8w-6500k-ip54-led2b?currency=PLN</v>
      </c>
      <c r="Q804" t="s">
        <v>15</v>
      </c>
      <c r="R804"/>
      <c r="S804" t="s">
        <v>2713</v>
      </c>
      <c r="T804"/>
      <c r="U804">
        <v>1.98</v>
      </c>
      <c r="V804">
        <v>2.2200000000000002</v>
      </c>
      <c r="W804">
        <v>63</v>
      </c>
      <c r="X804">
        <v>24.5</v>
      </c>
      <c r="Y804">
        <v>6.5</v>
      </c>
    </row>
    <row r="805" spans="1:25" ht="60" customHeight="1" x14ac:dyDescent="0.25">
      <c r="A805"/>
      <c r="B805" t="s">
        <v>5</v>
      </c>
      <c r="C805" t="s">
        <v>3375</v>
      </c>
      <c r="D805" t="s">
        <v>17</v>
      </c>
      <c r="E805" t="s">
        <v>1894</v>
      </c>
      <c r="F805" t="s">
        <v>1895</v>
      </c>
      <c r="G805" t="s">
        <v>773</v>
      </c>
      <c r="H805" s="30">
        <v>287.5</v>
      </c>
      <c r="I805" s="29">
        <f>H805*(1-IFERROR(VLOOKUP(G805,Rabat!$D$10:$E$41,2,FALSE),0))</f>
        <v>287.5</v>
      </c>
      <c r="J805" t="s">
        <v>1902</v>
      </c>
      <c r="K805" t="s">
        <v>2025</v>
      </c>
      <c r="L805" t="s">
        <v>1901</v>
      </c>
      <c r="M805">
        <v>5</v>
      </c>
      <c r="N805"/>
      <c r="O805" t="s">
        <v>3434</v>
      </c>
      <c r="P805" s="31" t="str">
        <f>HYPERLINK("https://b2b.kobi.pl/pl/product/12125,oprawa-drogowa-solar-led-urbi-11w-6500k-ip54-led2b?currency=PLN")</f>
        <v>https://b2b.kobi.pl/pl/product/12125,oprawa-drogowa-solar-led-urbi-11w-6500k-ip54-led2b?currency=PLN</v>
      </c>
      <c r="Q805" t="s">
        <v>15</v>
      </c>
      <c r="R805"/>
      <c r="S805" t="s">
        <v>2713</v>
      </c>
      <c r="T805"/>
      <c r="U805">
        <v>2.34</v>
      </c>
      <c r="V805">
        <v>2.76</v>
      </c>
      <c r="W805">
        <v>72.5</v>
      </c>
      <c r="X805">
        <v>24.5</v>
      </c>
      <c r="Y805">
        <v>6.5</v>
      </c>
    </row>
    <row r="806" spans="1:25" ht="60" customHeight="1" x14ac:dyDescent="0.25">
      <c r="A806"/>
      <c r="B806" t="s">
        <v>5</v>
      </c>
      <c r="C806" t="s">
        <v>3375</v>
      </c>
      <c r="D806" t="s">
        <v>17</v>
      </c>
      <c r="E806" t="s">
        <v>2308</v>
      </c>
      <c r="F806" t="s">
        <v>2309</v>
      </c>
      <c r="G806" t="s">
        <v>773</v>
      </c>
      <c r="H806" s="30">
        <v>297.5</v>
      </c>
      <c r="I806" s="29">
        <f>H806*(1-IFERROR(VLOOKUP(G806,Rabat!$D$10:$E$41,2,FALSE),0))</f>
        <v>297.5</v>
      </c>
      <c r="J806" t="s">
        <v>1902</v>
      </c>
      <c r="K806" t="s">
        <v>2347</v>
      </c>
      <c r="L806" t="s">
        <v>1901</v>
      </c>
      <c r="M806">
        <v>5</v>
      </c>
      <c r="N806">
        <v>60</v>
      </c>
      <c r="O806" t="s">
        <v>3434</v>
      </c>
      <c r="P806" s="31" t="str">
        <f>HYPERLINK("https://b2b.kobi.pl/pl/product/12127,oprawa-parkowa-solar-led-luvia-15w-6500k-ip54-led2b?currency=PLN")</f>
        <v>https://b2b.kobi.pl/pl/product/12127,oprawa-parkowa-solar-led-luvia-15w-6500k-ip54-led2b?currency=PLN</v>
      </c>
      <c r="Q806" t="s">
        <v>15</v>
      </c>
      <c r="R806"/>
      <c r="S806" t="s">
        <v>2712</v>
      </c>
      <c r="T806"/>
      <c r="U806">
        <v>2.15</v>
      </c>
      <c r="V806">
        <v>2.88</v>
      </c>
      <c r="W806">
        <v>45</v>
      </c>
      <c r="X806">
        <v>44.5</v>
      </c>
      <c r="Y806">
        <v>7.5</v>
      </c>
    </row>
    <row r="807" spans="1:25" ht="60" customHeight="1" x14ac:dyDescent="0.25">
      <c r="A807"/>
      <c r="B807" t="s">
        <v>5</v>
      </c>
      <c r="C807" t="s">
        <v>3375</v>
      </c>
      <c r="D807" t="s">
        <v>17</v>
      </c>
      <c r="E807" t="s">
        <v>2054</v>
      </c>
      <c r="F807" t="s">
        <v>1146</v>
      </c>
      <c r="G807" t="s">
        <v>773</v>
      </c>
      <c r="H807" s="30">
        <v>114.75</v>
      </c>
      <c r="I807" s="29">
        <f>H807*(1-IFERROR(VLOOKUP(G807,Rabat!$D$10:$E$41,2,FALSE),0))</f>
        <v>114.75</v>
      </c>
      <c r="J807" t="s">
        <v>1902</v>
      </c>
      <c r="K807" t="s">
        <v>1941</v>
      </c>
      <c r="L807" t="s">
        <v>1901</v>
      </c>
      <c r="M807">
        <v>24</v>
      </c>
      <c r="N807"/>
      <c r="O807" t="s">
        <v>3434</v>
      </c>
      <c r="P807" s="31" t="str">
        <f>HYPERLINK("https://b2b.kobi.pl/pl/product/12130,naswietlacz-z-czujnikiem-ruchu-solar-led-glow-g2-2-5w-6000k-led2b?currency=PLN")</f>
        <v>https://b2b.kobi.pl/pl/product/12130,naswietlacz-z-czujnikiem-ruchu-solar-led-glow-g2-2-5w-6000k-led2b?currency=PLN</v>
      </c>
      <c r="Q807" t="s">
        <v>15</v>
      </c>
      <c r="R807"/>
      <c r="S807" t="s">
        <v>2712</v>
      </c>
      <c r="T807"/>
      <c r="U807">
        <v>0.57599999999999996</v>
      </c>
      <c r="V807">
        <v>0.7</v>
      </c>
      <c r="W807">
        <v>18.5</v>
      </c>
      <c r="X807">
        <v>13.5</v>
      </c>
      <c r="Y807">
        <v>14.5</v>
      </c>
    </row>
    <row r="808" spans="1:25" ht="60" customHeight="1" x14ac:dyDescent="0.25">
      <c r="A808"/>
      <c r="B808" t="s">
        <v>5</v>
      </c>
      <c r="C808" t="s">
        <v>3375</v>
      </c>
      <c r="D808" t="s">
        <v>643</v>
      </c>
      <c r="E808" t="s">
        <v>1214</v>
      </c>
      <c r="F808" t="s">
        <v>1215</v>
      </c>
      <c r="G808" t="s">
        <v>773</v>
      </c>
      <c r="H808" s="30">
        <v>372.51</v>
      </c>
      <c r="I808" s="29">
        <f>H808*(1-IFERROR(VLOOKUP(G808,Rabat!$D$10:$E$41,2,FALSE),0))</f>
        <v>372.51</v>
      </c>
      <c r="J808" t="s">
        <v>1902</v>
      </c>
      <c r="K808" t="s">
        <v>1943</v>
      </c>
      <c r="L808" t="s">
        <v>1901</v>
      </c>
      <c r="M808">
        <v>1</v>
      </c>
      <c r="N808"/>
      <c r="O808" t="s">
        <v>3434</v>
      </c>
      <c r="P808" s="31" t="str">
        <f>HYPERLINK("https://b2b.kobi.pl/pl/product/12131,oprawa-drogowa-solar-led-solit-11w-4000k-ip54-kobi?currency=PLN")</f>
        <v>https://b2b.kobi.pl/pl/product/12131,oprawa-drogowa-solar-led-solit-11w-4000k-ip54-kobi?currency=PLN</v>
      </c>
      <c r="Q808" t="s">
        <v>15</v>
      </c>
      <c r="R808"/>
      <c r="S808" t="s">
        <v>2712</v>
      </c>
      <c r="T808"/>
      <c r="U808">
        <v>3.85</v>
      </c>
      <c r="V808">
        <v>4.7</v>
      </c>
      <c r="W808">
        <v>50.5</v>
      </c>
      <c r="X808">
        <v>36</v>
      </c>
      <c r="Y808">
        <v>12</v>
      </c>
    </row>
    <row r="809" spans="1:25" ht="60" customHeight="1" x14ac:dyDescent="0.25">
      <c r="A809"/>
      <c r="B809" t="s">
        <v>5</v>
      </c>
      <c r="C809" t="s">
        <v>3375</v>
      </c>
      <c r="D809" t="s">
        <v>671</v>
      </c>
      <c r="E809" t="s">
        <v>814</v>
      </c>
      <c r="F809" t="s">
        <v>815</v>
      </c>
      <c r="G809" t="s">
        <v>773</v>
      </c>
      <c r="H809" s="30">
        <v>137.25</v>
      </c>
      <c r="I809" s="29">
        <f>H809*(1-IFERROR(VLOOKUP(G809,Rabat!$D$10:$E$41,2,FALSE),0))</f>
        <v>137.25</v>
      </c>
      <c r="J809" t="s">
        <v>1902</v>
      </c>
      <c r="K809" t="s">
        <v>1918</v>
      </c>
      <c r="L809" t="s">
        <v>1901</v>
      </c>
      <c r="M809">
        <v>1</v>
      </c>
      <c r="N809">
        <v>40</v>
      </c>
      <c r="O809" t="s">
        <v>3434</v>
      </c>
      <c r="P809" s="31" t="str">
        <f>HYPERLINK("https://b2b.kobi.pl/pl/product/12133,lampa-ogrodowa-solar-led-garden-ball-30cm-3000k-rgb-kobi-design?currency=PLN")</f>
        <v>https://b2b.kobi.pl/pl/product/12133,lampa-ogrodowa-solar-led-garden-ball-30cm-3000k-rgb-kobi-design?currency=PLN</v>
      </c>
      <c r="Q809" t="s">
        <v>15</v>
      </c>
      <c r="R809"/>
      <c r="S809" t="s">
        <v>2712</v>
      </c>
      <c r="T809"/>
      <c r="U809">
        <v>0.81499999999999995</v>
      </c>
      <c r="V809">
        <v>1.31</v>
      </c>
      <c r="W809">
        <v>31.7</v>
      </c>
      <c r="X809">
        <v>31.7</v>
      </c>
      <c r="Y809">
        <v>32.5</v>
      </c>
    </row>
    <row r="810" spans="1:25" ht="60" customHeight="1" x14ac:dyDescent="0.25">
      <c r="A810"/>
      <c r="B810" t="s">
        <v>5</v>
      </c>
      <c r="C810" t="s">
        <v>3375</v>
      </c>
      <c r="D810" t="s">
        <v>643</v>
      </c>
      <c r="E810" t="s">
        <v>2593</v>
      </c>
      <c r="F810" t="s">
        <v>816</v>
      </c>
      <c r="G810" t="s">
        <v>773</v>
      </c>
      <c r="H810" s="30">
        <v>199.75</v>
      </c>
      <c r="I810" s="29">
        <f>H810*(1-IFERROR(VLOOKUP(G810,Rabat!$D$10:$E$41,2,FALSE),0))</f>
        <v>199.75</v>
      </c>
      <c r="J810" t="s">
        <v>1902</v>
      </c>
      <c r="K810" t="s">
        <v>1919</v>
      </c>
      <c r="L810" t="s">
        <v>1901</v>
      </c>
      <c r="M810">
        <v>1</v>
      </c>
      <c r="N810">
        <v>24</v>
      </c>
      <c r="O810" t="s">
        <v>3434</v>
      </c>
      <c r="P810" s="31" t="str">
        <f>HYPERLINK("https://b2b.kobi.pl/pl/product/12134,lampa-ogrodowa-solar-led-garden-ball-40cm-3000k-rgb-kobi-design?currency=PLN")</f>
        <v>https://b2b.kobi.pl/pl/product/12134,lampa-ogrodowa-solar-led-garden-ball-40cm-3000k-rgb-kobi-design?currency=PLN</v>
      </c>
      <c r="Q810" t="s">
        <v>15</v>
      </c>
      <c r="R810"/>
      <c r="S810" t="s">
        <v>2712</v>
      </c>
      <c r="T810"/>
      <c r="U810">
        <v>1.33</v>
      </c>
      <c r="V810">
        <v>2.1800000000000002</v>
      </c>
      <c r="W810">
        <v>42</v>
      </c>
      <c r="X810">
        <v>41.5</v>
      </c>
      <c r="Y810">
        <v>42</v>
      </c>
    </row>
    <row r="811" spans="1:25" ht="60" customHeight="1" x14ac:dyDescent="0.25">
      <c r="A811"/>
      <c r="B811" t="s">
        <v>5</v>
      </c>
      <c r="C811" t="s">
        <v>3375</v>
      </c>
      <c r="D811" t="s">
        <v>17</v>
      </c>
      <c r="E811" t="s">
        <v>2310</v>
      </c>
      <c r="F811" t="s">
        <v>2311</v>
      </c>
      <c r="G811" t="s">
        <v>773</v>
      </c>
      <c r="H811" s="30">
        <v>297.5</v>
      </c>
      <c r="I811" s="29">
        <f>H811*(1-IFERROR(VLOOKUP(G811,Rabat!$D$10:$E$41,2,FALSE),0))</f>
        <v>297.5</v>
      </c>
      <c r="J811" t="s">
        <v>1902</v>
      </c>
      <c r="K811" t="s">
        <v>2348</v>
      </c>
      <c r="L811" t="s">
        <v>1901</v>
      </c>
      <c r="M811">
        <v>5</v>
      </c>
      <c r="N811">
        <v>60</v>
      </c>
      <c r="O811" t="s">
        <v>3434</v>
      </c>
      <c r="P811" s="31" t="str">
        <f>HYPERLINK("https://b2b.kobi.pl/pl/product/12624,oprawa-parkowa-solar-led-luvia-15w-4000k-ip54-led2b?currency=PLN")</f>
        <v>https://b2b.kobi.pl/pl/product/12624,oprawa-parkowa-solar-led-luvia-15w-4000k-ip54-led2b?currency=PLN</v>
      </c>
      <c r="Q811" t="s">
        <v>15</v>
      </c>
      <c r="R811"/>
      <c r="S811" t="s">
        <v>2712</v>
      </c>
      <c r="T811"/>
      <c r="U811">
        <v>2.15</v>
      </c>
      <c r="V811">
        <v>2.88</v>
      </c>
      <c r="W811">
        <v>45</v>
      </c>
      <c r="X811">
        <v>44.5</v>
      </c>
      <c r="Y811">
        <v>7.5</v>
      </c>
    </row>
    <row r="812" spans="1:25" ht="60" customHeight="1" x14ac:dyDescent="0.25">
      <c r="A812"/>
      <c r="B812" t="s">
        <v>5</v>
      </c>
      <c r="C812" t="s">
        <v>3375</v>
      </c>
      <c r="D812" t="s">
        <v>631</v>
      </c>
      <c r="E812" t="s">
        <v>2812</v>
      </c>
      <c r="F812" t="s">
        <v>2312</v>
      </c>
      <c r="G812" t="s">
        <v>773</v>
      </c>
      <c r="H812" s="30">
        <v>497.5</v>
      </c>
      <c r="I812" s="29">
        <f>H812*(1-IFERROR(VLOOKUP(G812,Rabat!$D$10:$E$41,2,FALSE),0))</f>
        <v>497.5</v>
      </c>
      <c r="J812" t="s">
        <v>1902</v>
      </c>
      <c r="K812" t="s">
        <v>2349</v>
      </c>
      <c r="L812" t="s">
        <v>1901</v>
      </c>
      <c r="M812">
        <v>4</v>
      </c>
      <c r="N812">
        <v>40</v>
      </c>
      <c r="O812" t="s">
        <v>3435</v>
      </c>
      <c r="P812" s="31" t="str">
        <f>HYPERLINK("https://b2b.kobi.pl/pl/product/12625,oprawa-parkowa-solar-led-solsumi-25w-4000k-ip54-kobi-premium?currency=PLN")</f>
        <v>https://b2b.kobi.pl/pl/product/12625,oprawa-parkowa-solar-led-solsumi-25w-4000k-ip54-kobi-premium?currency=PLN</v>
      </c>
      <c r="Q812" t="s">
        <v>15</v>
      </c>
      <c r="R812"/>
      <c r="S812" t="s">
        <v>2712</v>
      </c>
      <c r="T812"/>
      <c r="U812">
        <v>3.18</v>
      </c>
      <c r="V812">
        <v>4.5</v>
      </c>
      <c r="W812">
        <v>55.3</v>
      </c>
      <c r="X812">
        <v>59.3</v>
      </c>
      <c r="Y812">
        <v>9.6</v>
      </c>
    </row>
    <row r="813" spans="1:25" ht="60" customHeight="1" x14ac:dyDescent="0.25">
      <c r="A813"/>
      <c r="B813" t="s">
        <v>5</v>
      </c>
      <c r="C813" t="s">
        <v>3375</v>
      </c>
      <c r="D813" t="s">
        <v>631</v>
      </c>
      <c r="E813" t="s">
        <v>3106</v>
      </c>
      <c r="F813" t="s">
        <v>3107</v>
      </c>
      <c r="G813" t="s">
        <v>773</v>
      </c>
      <c r="H813" s="30">
        <v>537.5</v>
      </c>
      <c r="I813" s="29">
        <f>H813*(1-IFERROR(VLOOKUP(G813,Rabat!$D$10:$E$41,2,FALSE),0))</f>
        <v>537.5</v>
      </c>
      <c r="J813" t="s">
        <v>1902</v>
      </c>
      <c r="K813" t="s">
        <v>3143</v>
      </c>
      <c r="L813" t="s">
        <v>1901</v>
      </c>
      <c r="M813">
        <v>5</v>
      </c>
      <c r="N813">
        <v>60</v>
      </c>
      <c r="O813" t="s">
        <v>3435</v>
      </c>
      <c r="P813" s="31" t="str">
        <f>HYPERLINK("https://b2b.kobi.pl/pl/product/13064,oprawa-parkowa-solar-led-solsumi-square-25w-3cct-ip54-kobi-premium?currency=PLN")</f>
        <v>https://b2b.kobi.pl/pl/product/13064,oprawa-parkowa-solar-led-solsumi-square-25w-3cct-ip54-kobi-premium?currency=PLN</v>
      </c>
      <c r="Q813" t="s">
        <v>15</v>
      </c>
      <c r="R813"/>
      <c r="S813" t="s">
        <v>2712</v>
      </c>
      <c r="T813"/>
      <c r="U813">
        <v>3.01</v>
      </c>
      <c r="V813">
        <v>4</v>
      </c>
      <c r="W813">
        <v>45</v>
      </c>
      <c r="X813">
        <v>58</v>
      </c>
      <c r="Y813">
        <v>7.5</v>
      </c>
    </row>
    <row r="814" spans="1:25" ht="60" customHeight="1" x14ac:dyDescent="0.25">
      <c r="A814"/>
      <c r="B814" t="s">
        <v>5</v>
      </c>
      <c r="C814" t="s">
        <v>3375</v>
      </c>
      <c r="D814" t="s">
        <v>17</v>
      </c>
      <c r="E814" t="s">
        <v>2919</v>
      </c>
      <c r="F814" t="s">
        <v>2920</v>
      </c>
      <c r="G814" t="s">
        <v>773</v>
      </c>
      <c r="H814" s="30">
        <v>22.3</v>
      </c>
      <c r="I814" s="29">
        <f>H814*(1-IFERROR(VLOOKUP(G814,Rabat!$D$10:$E$41,2,FALSE),0))</f>
        <v>22.3</v>
      </c>
      <c r="J814" t="s">
        <v>1902</v>
      </c>
      <c r="K814" t="s">
        <v>2934</v>
      </c>
      <c r="L814" t="s">
        <v>1901</v>
      </c>
      <c r="M814">
        <v>24</v>
      </c>
      <c r="N814">
        <v>768</v>
      </c>
      <c r="O814" t="s">
        <v>3434</v>
      </c>
      <c r="P814" s="31" t="str">
        <f>HYPERLINK("https://b2b.kobi.pl/pl/product/12949,kinkiet-ogrodowy-solar-led-omvia-3000k-ip44-czarny-led2b?currency=PLN")</f>
        <v>https://b2b.kobi.pl/pl/product/12949,kinkiet-ogrodowy-solar-led-omvia-3000k-ip44-czarny-led2b?currency=PLN</v>
      </c>
      <c r="Q814" t="s">
        <v>15</v>
      </c>
      <c r="R814"/>
      <c r="S814" t="s">
        <v>2712</v>
      </c>
      <c r="T814"/>
      <c r="U814">
        <v>0.185</v>
      </c>
      <c r="V814">
        <v>0.24</v>
      </c>
      <c r="W814">
        <v>13</v>
      </c>
      <c r="X814">
        <v>6.5</v>
      </c>
      <c r="Y814">
        <v>17.5</v>
      </c>
    </row>
    <row r="815" spans="1:25" ht="60" customHeight="1" x14ac:dyDescent="0.25">
      <c r="A815"/>
      <c r="B815" t="s">
        <v>5</v>
      </c>
      <c r="C815" t="s">
        <v>3375</v>
      </c>
      <c r="D815" t="s">
        <v>17</v>
      </c>
      <c r="E815" t="s">
        <v>2921</v>
      </c>
      <c r="F815" t="s">
        <v>2922</v>
      </c>
      <c r="G815" t="s">
        <v>773</v>
      </c>
      <c r="H815" s="30">
        <v>41.17</v>
      </c>
      <c r="I815" s="29">
        <f>H815*(1-IFERROR(VLOOKUP(G815,Rabat!$D$10:$E$41,2,FALSE),0))</f>
        <v>41.17</v>
      </c>
      <c r="J815" t="s">
        <v>1902</v>
      </c>
      <c r="K815" t="s">
        <v>2935</v>
      </c>
      <c r="L815" t="s">
        <v>1901</v>
      </c>
      <c r="M815">
        <v>6</v>
      </c>
      <c r="N815">
        <v>180</v>
      </c>
      <c r="O815" t="s">
        <v>3434</v>
      </c>
      <c r="P815" s="31" t="str">
        <f>HYPERLINK("https://b2b.kobi.pl/pl/product/12947,lampa-ogrodowa-solar-led-candelio-milky-1600k-ip44-czarna-led2b?currency=PLN")</f>
        <v>https://b2b.kobi.pl/pl/product/12947,lampa-ogrodowa-solar-led-candelio-milky-1600k-ip44-czarna-led2b?currency=PLN</v>
      </c>
      <c r="Q815" t="s">
        <v>15</v>
      </c>
      <c r="R815"/>
      <c r="S815" t="s">
        <v>2712</v>
      </c>
      <c r="T815"/>
      <c r="U815">
        <v>0.58599999999999997</v>
      </c>
      <c r="V815">
        <v>0.70699999999999996</v>
      </c>
      <c r="W815">
        <v>14.5</v>
      </c>
      <c r="X815">
        <v>14.5</v>
      </c>
      <c r="Y815">
        <v>28.5</v>
      </c>
    </row>
    <row r="816" spans="1:25" ht="60" customHeight="1" x14ac:dyDescent="0.25">
      <c r="A816"/>
      <c r="B816" t="s">
        <v>5</v>
      </c>
      <c r="C816" t="s">
        <v>3375</v>
      </c>
      <c r="D816" t="s">
        <v>17</v>
      </c>
      <c r="E816" t="s">
        <v>2923</v>
      </c>
      <c r="F816" t="s">
        <v>2924</v>
      </c>
      <c r="G816" t="s">
        <v>773</v>
      </c>
      <c r="H816" s="30">
        <v>38.75</v>
      </c>
      <c r="I816" s="29">
        <f>H816*(1-IFERROR(VLOOKUP(G816,Rabat!$D$10:$E$41,2,FALSE),0))</f>
        <v>38.75</v>
      </c>
      <c r="J816" t="s">
        <v>1902</v>
      </c>
      <c r="K816" t="s">
        <v>2936</v>
      </c>
      <c r="L816" t="s">
        <v>1901</v>
      </c>
      <c r="M816">
        <v>6</v>
      </c>
      <c r="N816">
        <v>180</v>
      </c>
      <c r="O816" t="s">
        <v>3434</v>
      </c>
      <c r="P816" s="31" t="str">
        <f>HYPERLINK("https://b2b.kobi.pl/pl/product/12946,lampa-ogrodowa-solar-led-candelio-star-2700k-ip44-czarna-led2b?currency=PLN")</f>
        <v>https://b2b.kobi.pl/pl/product/12946,lampa-ogrodowa-solar-led-candelio-star-2700k-ip44-czarna-led2b?currency=PLN</v>
      </c>
      <c r="Q816" t="s">
        <v>15</v>
      </c>
      <c r="R816"/>
      <c r="S816" t="s">
        <v>2712</v>
      </c>
      <c r="T816"/>
      <c r="U816">
        <v>0.58899999999999997</v>
      </c>
      <c r="V816">
        <v>0.71099999999999997</v>
      </c>
      <c r="W816">
        <v>14.5</v>
      </c>
      <c r="X816">
        <v>14.5</v>
      </c>
      <c r="Y816">
        <v>28.5</v>
      </c>
    </row>
    <row r="817" spans="1:25" ht="60" customHeight="1" x14ac:dyDescent="0.25">
      <c r="A817"/>
      <c r="B817" t="s">
        <v>5</v>
      </c>
      <c r="C817" t="s">
        <v>3375</v>
      </c>
      <c r="D817" t="s">
        <v>17</v>
      </c>
      <c r="E817" t="s">
        <v>2925</v>
      </c>
      <c r="F817" t="s">
        <v>2926</v>
      </c>
      <c r="G817" t="s">
        <v>773</v>
      </c>
      <c r="H817" s="30">
        <v>21.61</v>
      </c>
      <c r="I817" s="29">
        <f>H817*(1-IFERROR(VLOOKUP(G817,Rabat!$D$10:$E$41,2,FALSE),0))</f>
        <v>21.61</v>
      </c>
      <c r="J817" t="s">
        <v>1902</v>
      </c>
      <c r="K817" t="s">
        <v>2937</v>
      </c>
      <c r="L817" t="s">
        <v>1901</v>
      </c>
      <c r="M817"/>
      <c r="N817">
        <v>640</v>
      </c>
      <c r="O817" t="s">
        <v>3434</v>
      </c>
      <c r="P817" s="31" t="str">
        <f>HYPERLINK("https://b2b.kobi.pl/pl/product/12951,slupek-ogrodowy-solar-led-lance-g2-4000k-ip44-led2b?currency=PLN")</f>
        <v>https://b2b.kobi.pl/pl/product/12951,slupek-ogrodowy-solar-led-lance-g2-4000k-ip44-led2b?currency=PLN</v>
      </c>
      <c r="Q817" t="s">
        <v>15</v>
      </c>
      <c r="R817"/>
      <c r="S817" t="s">
        <v>2712</v>
      </c>
      <c r="T817"/>
      <c r="U817">
        <v>0.11700000000000001</v>
      </c>
      <c r="V817">
        <v>0.13</v>
      </c>
      <c r="W817">
        <v>28.8</v>
      </c>
      <c r="X817">
        <v>33</v>
      </c>
      <c r="Y817">
        <v>8.8000000000000007</v>
      </c>
    </row>
    <row r="818" spans="1:25" ht="60" customHeight="1" x14ac:dyDescent="0.25">
      <c r="A818"/>
      <c r="B818" t="s">
        <v>5</v>
      </c>
      <c r="C818" t="s">
        <v>3375</v>
      </c>
      <c r="D818" t="s">
        <v>17</v>
      </c>
      <c r="E818" t="s">
        <v>2927</v>
      </c>
      <c r="F818" t="s">
        <v>2928</v>
      </c>
      <c r="G818" t="s">
        <v>773</v>
      </c>
      <c r="H818" s="30">
        <v>36.61</v>
      </c>
      <c r="I818" s="29">
        <f>H818*(1-IFERROR(VLOOKUP(G818,Rabat!$D$10:$E$41,2,FALSE),0))</f>
        <v>36.61</v>
      </c>
      <c r="J818" t="s">
        <v>1902</v>
      </c>
      <c r="K818" t="s">
        <v>2938</v>
      </c>
      <c r="L818" t="s">
        <v>1901</v>
      </c>
      <c r="M818">
        <v>6</v>
      </c>
      <c r="N818">
        <v>180</v>
      </c>
      <c r="O818" t="s">
        <v>3434</v>
      </c>
      <c r="P818" s="31" t="str">
        <f>HYPERLINK("https://b2b.kobi.pl/pl/product/12945,solar-garden-lamp-led-candelio-p-2700k-ip44-black-led2b?currency=PLN")</f>
        <v>https://b2b.kobi.pl/pl/product/12945,solar-garden-lamp-led-candelio-p-2700k-ip44-black-led2b?currency=PLN</v>
      </c>
      <c r="Q818" t="s">
        <v>15</v>
      </c>
      <c r="R818"/>
      <c r="S818" t="s">
        <v>2712</v>
      </c>
      <c r="T818"/>
      <c r="U818">
        <v>0.65700000000000003</v>
      </c>
      <c r="V818">
        <v>0.77400000000000002</v>
      </c>
      <c r="W818">
        <v>14.5</v>
      </c>
      <c r="X818">
        <v>14.5</v>
      </c>
      <c r="Y818">
        <v>28.5</v>
      </c>
    </row>
    <row r="819" spans="1:25" ht="60" customHeight="1" x14ac:dyDescent="0.25">
      <c r="A819"/>
      <c r="B819" t="s">
        <v>5</v>
      </c>
      <c r="C819" t="s">
        <v>3375</v>
      </c>
      <c r="D819" t="s">
        <v>17</v>
      </c>
      <c r="E819" t="s">
        <v>2991</v>
      </c>
      <c r="F819" t="s">
        <v>2992</v>
      </c>
      <c r="G819" t="s">
        <v>773</v>
      </c>
      <c r="H819" s="30">
        <v>38.18</v>
      </c>
      <c r="I819" s="29">
        <f>H819*(1-IFERROR(VLOOKUP(G819,Rabat!$D$10:$E$41,2,FALSE),0))</f>
        <v>38.18</v>
      </c>
      <c r="J819" t="s">
        <v>1902</v>
      </c>
      <c r="K819" t="s">
        <v>3028</v>
      </c>
      <c r="L819" t="s">
        <v>1901</v>
      </c>
      <c r="M819">
        <v>6</v>
      </c>
      <c r="N819">
        <v>288</v>
      </c>
      <c r="O819" t="s">
        <v>3434</v>
      </c>
      <c r="P819" s="31" t="str">
        <f>HYPERLINK("https://b2b.kobi.pl/pl/product/12956,lampa-ogrodowa-solar-led-luvetra-4000k-ip44-czarna-led2b?currency=PLN")</f>
        <v>https://b2b.kobi.pl/pl/product/12956,lampa-ogrodowa-solar-led-luvetra-4000k-ip44-czarna-led2b?currency=PLN</v>
      </c>
      <c r="Q819" t="s">
        <v>15</v>
      </c>
      <c r="R819"/>
      <c r="S819" t="s">
        <v>2712</v>
      </c>
      <c r="T819"/>
      <c r="U819">
        <v>0.27500000000000002</v>
      </c>
      <c r="V819">
        <v>0.36599999999999999</v>
      </c>
      <c r="W819">
        <v>12.5</v>
      </c>
      <c r="X819">
        <v>12.5</v>
      </c>
      <c r="Y819">
        <v>23.9</v>
      </c>
    </row>
    <row r="820" spans="1:25" ht="60" customHeight="1" x14ac:dyDescent="0.25">
      <c r="A820"/>
      <c r="B820" t="s">
        <v>5</v>
      </c>
      <c r="C820" t="s">
        <v>3375</v>
      </c>
      <c r="D820" t="s">
        <v>17</v>
      </c>
      <c r="E820" t="s">
        <v>2993</v>
      </c>
      <c r="F820" t="s">
        <v>2994</v>
      </c>
      <c r="G820" t="s">
        <v>773</v>
      </c>
      <c r="H820" s="30">
        <v>29.98</v>
      </c>
      <c r="I820" s="29">
        <f>H820*(1-IFERROR(VLOOKUP(G820,Rabat!$D$10:$E$41,2,FALSE),0))</f>
        <v>29.98</v>
      </c>
      <c r="J820" t="s">
        <v>1902</v>
      </c>
      <c r="K820" t="s">
        <v>3029</v>
      </c>
      <c r="L820" t="s">
        <v>1901</v>
      </c>
      <c r="M820">
        <v>12</v>
      </c>
      <c r="N820">
        <v>96</v>
      </c>
      <c r="O820" t="s">
        <v>3434</v>
      </c>
      <c r="P820" s="31" t="str">
        <f>HYPERLINK("https://b2b.kobi.pl/pl/product/12960,slupek-ogrodowy-solar-led-sphere-g2-20cm-4000k-ip44-led2b?currency=PLN")</f>
        <v>https://b2b.kobi.pl/pl/product/12960,slupek-ogrodowy-solar-led-sphere-g2-20cm-4000k-ip44-led2b?currency=PLN</v>
      </c>
      <c r="Q820" t="s">
        <v>15</v>
      </c>
      <c r="R820"/>
      <c r="S820" t="s">
        <v>2712</v>
      </c>
      <c r="T820"/>
      <c r="U820">
        <v>0.20499999999999999</v>
      </c>
      <c r="V820">
        <v>0.34499999999999997</v>
      </c>
      <c r="W820">
        <v>20</v>
      </c>
      <c r="X820">
        <v>20</v>
      </c>
      <c r="Y820">
        <v>21.7</v>
      </c>
    </row>
    <row r="821" spans="1:25" ht="60" customHeight="1" x14ac:dyDescent="0.25">
      <c r="A821"/>
      <c r="B821" t="s">
        <v>5</v>
      </c>
      <c r="C821" t="s">
        <v>3375</v>
      </c>
      <c r="D821" t="s">
        <v>17</v>
      </c>
      <c r="E821" t="s">
        <v>2995</v>
      </c>
      <c r="F821" t="s">
        <v>2996</v>
      </c>
      <c r="G821" t="s">
        <v>773</v>
      </c>
      <c r="H821" s="30">
        <v>8.1300000000000008</v>
      </c>
      <c r="I821" s="29">
        <f>H821*(1-IFERROR(VLOOKUP(G821,Rabat!$D$10:$E$41,2,FALSE),0))</f>
        <v>8.1300000000000008</v>
      </c>
      <c r="J821" t="s">
        <v>1902</v>
      </c>
      <c r="K821" t="s">
        <v>3030</v>
      </c>
      <c r="L821" t="s">
        <v>1901</v>
      </c>
      <c r="M821">
        <v>24</v>
      </c>
      <c r="N821">
        <v>480</v>
      </c>
      <c r="O821" t="s">
        <v>3434</v>
      </c>
      <c r="P821" s="31" t="str">
        <f>HYPERLINK("https://b2b.kobi.pl/pl/product/12962,slupek-ogrodowy-solar-led-sphere-g2-10cm-rgb-ip44-led2b?currency=PLN")</f>
        <v>https://b2b.kobi.pl/pl/product/12962,slupek-ogrodowy-solar-led-sphere-g2-10cm-rgb-ip44-led2b?currency=PLN</v>
      </c>
      <c r="Q821" t="s">
        <v>15</v>
      </c>
      <c r="R821"/>
      <c r="S821" t="s">
        <v>2712</v>
      </c>
      <c r="T821"/>
      <c r="U821">
        <v>7.4999999999999997E-2</v>
      </c>
      <c r="V821">
        <v>9.8000000000000004E-2</v>
      </c>
      <c r="W821">
        <v>40</v>
      </c>
      <c r="X821">
        <v>30</v>
      </c>
      <c r="Y821">
        <v>10</v>
      </c>
    </row>
    <row r="822" spans="1:25" ht="60" customHeight="1" x14ac:dyDescent="0.25">
      <c r="A822"/>
      <c r="B822" t="s">
        <v>5</v>
      </c>
      <c r="C822" t="s">
        <v>3375</v>
      </c>
      <c r="D822" t="s">
        <v>17</v>
      </c>
      <c r="E822" t="s">
        <v>2997</v>
      </c>
      <c r="F822" t="s">
        <v>2998</v>
      </c>
      <c r="G822" t="s">
        <v>773</v>
      </c>
      <c r="H822" s="30">
        <v>30.48</v>
      </c>
      <c r="I822" s="29">
        <f>H822*(1-IFERROR(VLOOKUP(G822,Rabat!$D$10:$E$41,2,FALSE),0))</f>
        <v>30.48</v>
      </c>
      <c r="J822" t="s">
        <v>1902</v>
      </c>
      <c r="K822" t="s">
        <v>3031</v>
      </c>
      <c r="L822" t="s">
        <v>1901</v>
      </c>
      <c r="M822">
        <v>12</v>
      </c>
      <c r="N822">
        <v>108</v>
      </c>
      <c r="O822" t="s">
        <v>3434</v>
      </c>
      <c r="P822" s="31" t="str">
        <f>HYPERLINK("https://b2b.kobi.pl/pl/product/12963,slupek-ogrodowy-solar-led-sphere-g2-20cm-rgb-ip44-led2b?currency=PLN")</f>
        <v>https://b2b.kobi.pl/pl/product/12963,slupek-ogrodowy-solar-led-sphere-g2-20cm-rgb-ip44-led2b?currency=PLN</v>
      </c>
      <c r="Q822" t="s">
        <v>15</v>
      </c>
      <c r="R822"/>
      <c r="S822" t="s">
        <v>2712</v>
      </c>
      <c r="T822"/>
      <c r="U822">
        <v>0.20499999999999999</v>
      </c>
      <c r="V822">
        <v>0.34499999999999997</v>
      </c>
      <c r="W822">
        <v>20</v>
      </c>
      <c r="X822">
        <v>20</v>
      </c>
      <c r="Y822">
        <v>21.7</v>
      </c>
    </row>
    <row r="823" spans="1:25" ht="60" customHeight="1" x14ac:dyDescent="0.25">
      <c r="A823"/>
      <c r="B823" t="s">
        <v>5</v>
      </c>
      <c r="C823" t="s">
        <v>3375</v>
      </c>
      <c r="D823" t="s">
        <v>17</v>
      </c>
      <c r="E823" t="s">
        <v>2999</v>
      </c>
      <c r="F823" t="s">
        <v>3000</v>
      </c>
      <c r="G823" t="s">
        <v>773</v>
      </c>
      <c r="H823" s="30">
        <v>13.374000000000001</v>
      </c>
      <c r="I823" s="29">
        <f>H823*(1-IFERROR(VLOOKUP(G823,Rabat!$D$10:$E$41,2,FALSE),0))</f>
        <v>13.374000000000001</v>
      </c>
      <c r="J823" t="s">
        <v>1902</v>
      </c>
      <c r="K823" t="s">
        <v>3032</v>
      </c>
      <c r="L823" t="s">
        <v>1901</v>
      </c>
      <c r="M823">
        <v>12</v>
      </c>
      <c r="N823">
        <v>540</v>
      </c>
      <c r="O823" t="s">
        <v>3434</v>
      </c>
      <c r="P823" s="31" t="str">
        <f>HYPERLINK("https://b2b.kobi.pl/pl/product/12939,slupek-ogrodowy-solar-led-aurora-4000k-ip44-led2b?currency=PLN")</f>
        <v>https://b2b.kobi.pl/pl/product/12939,slupek-ogrodowy-solar-led-aurora-4000k-ip44-led2b?currency=PLN</v>
      </c>
      <c r="Q823" t="s">
        <v>15</v>
      </c>
      <c r="R823"/>
      <c r="S823" t="s">
        <v>2712</v>
      </c>
      <c r="T823"/>
      <c r="U823">
        <v>0.20499999999999999</v>
      </c>
      <c r="V823">
        <v>0.218</v>
      </c>
      <c r="W823">
        <v>33</v>
      </c>
      <c r="X823">
        <v>25.5</v>
      </c>
      <c r="Y823">
        <v>9.8000000000000007</v>
      </c>
    </row>
    <row r="824" spans="1:25" ht="60" customHeight="1" x14ac:dyDescent="0.25">
      <c r="A824"/>
      <c r="B824" t="s">
        <v>5</v>
      </c>
      <c r="C824" t="s">
        <v>3375</v>
      </c>
      <c r="D824" t="s">
        <v>17</v>
      </c>
      <c r="E824" t="s">
        <v>3001</v>
      </c>
      <c r="F824" t="s">
        <v>3002</v>
      </c>
      <c r="G824" t="s">
        <v>773</v>
      </c>
      <c r="H824" s="30">
        <v>8.6259999999999994</v>
      </c>
      <c r="I824" s="29">
        <f>H824*(1-IFERROR(VLOOKUP(G824,Rabat!$D$10:$E$41,2,FALSE),0))</f>
        <v>8.6259999999999994</v>
      </c>
      <c r="J824" t="s">
        <v>1902</v>
      </c>
      <c r="K824" t="s">
        <v>3033</v>
      </c>
      <c r="L824" t="s">
        <v>1901</v>
      </c>
      <c r="M824">
        <v>24</v>
      </c>
      <c r="N824">
        <v>480</v>
      </c>
      <c r="O824" t="s">
        <v>3434</v>
      </c>
      <c r="P824" s="31" t="str">
        <f>HYPERLINK("https://b2b.kobi.pl/pl/product/12940,slupek-ogrodowy-solar-led-gleam-3000k-ip44-led2b?currency=PLN")</f>
        <v>https://b2b.kobi.pl/pl/product/12940,slupek-ogrodowy-solar-led-gleam-3000k-ip44-led2b?currency=PLN</v>
      </c>
      <c r="Q824" t="s">
        <v>15</v>
      </c>
      <c r="R824"/>
      <c r="S824" t="s">
        <v>2712</v>
      </c>
      <c r="T824"/>
      <c r="U824">
        <v>0.08</v>
      </c>
      <c r="V824">
        <v>0.10299999999999999</v>
      </c>
      <c r="W824">
        <v>39.799999999999997</v>
      </c>
      <c r="X824">
        <v>30.2</v>
      </c>
      <c r="Y824">
        <v>9.6999999999999993</v>
      </c>
    </row>
    <row r="825" spans="1:25" ht="60" customHeight="1" x14ac:dyDescent="0.25">
      <c r="A825"/>
      <c r="B825" t="s">
        <v>5</v>
      </c>
      <c r="C825" t="s">
        <v>3375</v>
      </c>
      <c r="D825" t="s">
        <v>17</v>
      </c>
      <c r="E825" t="s">
        <v>3003</v>
      </c>
      <c r="F825" t="s">
        <v>3004</v>
      </c>
      <c r="G825" t="s">
        <v>773</v>
      </c>
      <c r="H825" s="30">
        <v>8.6259999999999994</v>
      </c>
      <c r="I825" s="29">
        <f>H825*(1-IFERROR(VLOOKUP(G825,Rabat!$D$10:$E$41,2,FALSE),0))</f>
        <v>8.6259999999999994</v>
      </c>
      <c r="J825" t="s">
        <v>1902</v>
      </c>
      <c r="K825" t="s">
        <v>3034</v>
      </c>
      <c r="L825" t="s">
        <v>1901</v>
      </c>
      <c r="M825">
        <v>24</v>
      </c>
      <c r="N825">
        <v>480</v>
      </c>
      <c r="O825" t="s">
        <v>3434</v>
      </c>
      <c r="P825" s="31" t="str">
        <f>HYPERLINK("https://b2b.kobi.pl/pl/product/12941,slupek-ogrodowy-solar-led-globe-3000k-ip44-led2b?currency=PLN")</f>
        <v>https://b2b.kobi.pl/pl/product/12941,slupek-ogrodowy-solar-led-globe-3000k-ip44-led2b?currency=PLN</v>
      </c>
      <c r="Q825" t="s">
        <v>15</v>
      </c>
      <c r="R825"/>
      <c r="S825" t="s">
        <v>2712</v>
      </c>
      <c r="T825"/>
      <c r="U825">
        <v>7.4999999999999997E-2</v>
      </c>
      <c r="V825">
        <v>9.8000000000000004E-2</v>
      </c>
      <c r="W825">
        <v>39.799999999999997</v>
      </c>
      <c r="X825">
        <v>30.2</v>
      </c>
      <c r="Y825">
        <v>9.6999999999999993</v>
      </c>
    </row>
    <row r="826" spans="1:25" ht="60" customHeight="1" x14ac:dyDescent="0.25">
      <c r="A826"/>
      <c r="B826" t="s">
        <v>5</v>
      </c>
      <c r="C826" t="s">
        <v>3375</v>
      </c>
      <c r="D826" t="s">
        <v>17</v>
      </c>
      <c r="E826" t="s">
        <v>3005</v>
      </c>
      <c r="F826" t="s">
        <v>3006</v>
      </c>
      <c r="G826" t="s">
        <v>773</v>
      </c>
      <c r="H826" s="30">
        <v>12.48</v>
      </c>
      <c r="I826" s="29">
        <f>H826*(1-IFERROR(VLOOKUP(G826,Rabat!$D$10:$E$41,2,FALSE),0))</f>
        <v>12.48</v>
      </c>
      <c r="J826" t="s">
        <v>1902</v>
      </c>
      <c r="K826" t="s">
        <v>3035</v>
      </c>
      <c r="L826" t="s">
        <v>1901</v>
      </c>
      <c r="M826">
        <v>12</v>
      </c>
      <c r="N826">
        <v>480</v>
      </c>
      <c r="O826" t="s">
        <v>3434</v>
      </c>
      <c r="P826" s="31" t="str">
        <f>HYPERLINK("https://b2b.kobi.pl/pl/product/12950,slupek-ogrodowy-solar-led-aurora-round-4000k-ip44-led2b?currency=PLN")</f>
        <v>https://b2b.kobi.pl/pl/product/12950,slupek-ogrodowy-solar-led-aurora-round-4000k-ip44-led2b?currency=PLN</v>
      </c>
      <c r="Q826" t="s">
        <v>15</v>
      </c>
      <c r="R826"/>
      <c r="S826" t="s">
        <v>2712</v>
      </c>
      <c r="T826"/>
      <c r="U826">
        <v>0.16400000000000001</v>
      </c>
      <c r="V826">
        <v>0.17499999999999999</v>
      </c>
      <c r="W826">
        <v>30</v>
      </c>
      <c r="X826">
        <v>23.5</v>
      </c>
      <c r="Y826">
        <v>9</v>
      </c>
    </row>
    <row r="827" spans="1:25" ht="60" customHeight="1" x14ac:dyDescent="0.25">
      <c r="A827"/>
      <c r="B827" t="s">
        <v>5</v>
      </c>
      <c r="C827" t="s">
        <v>3375</v>
      </c>
      <c r="D827" t="s">
        <v>17</v>
      </c>
      <c r="E827" t="s">
        <v>3007</v>
      </c>
      <c r="F827" t="s">
        <v>3008</v>
      </c>
      <c r="G827" t="s">
        <v>773</v>
      </c>
      <c r="H827" s="30">
        <v>38.18</v>
      </c>
      <c r="I827" s="29">
        <f>H827*(1-IFERROR(VLOOKUP(G827,Rabat!$D$10:$E$41,2,FALSE),0))</f>
        <v>38.18</v>
      </c>
      <c r="J827" t="s">
        <v>1902</v>
      </c>
      <c r="K827" t="s">
        <v>3036</v>
      </c>
      <c r="L827" t="s">
        <v>1901</v>
      </c>
      <c r="M827">
        <v>6</v>
      </c>
      <c r="N827">
        <v>288</v>
      </c>
      <c r="O827" t="s">
        <v>3434</v>
      </c>
      <c r="P827" s="31" t="str">
        <f>HYPERLINK("https://b2b.kobi.pl/pl/product/12957,lampa-ogrodowa-solar-led-luvetra-4000k-ip44-biala-led2b?currency=PLN")</f>
        <v>https://b2b.kobi.pl/pl/product/12957,lampa-ogrodowa-solar-led-luvetra-4000k-ip44-biala-led2b?currency=PLN</v>
      </c>
      <c r="Q827" t="s">
        <v>15</v>
      </c>
      <c r="R827"/>
      <c r="S827" t="s">
        <v>2712</v>
      </c>
      <c r="T827"/>
      <c r="U827">
        <v>0.27500000000000002</v>
      </c>
      <c r="V827">
        <v>0.36599999999999999</v>
      </c>
      <c r="W827">
        <v>12.5</v>
      </c>
      <c r="X827">
        <v>12.5</v>
      </c>
      <c r="Y827">
        <v>23.8</v>
      </c>
    </row>
    <row r="828" spans="1:25" ht="60" customHeight="1" x14ac:dyDescent="0.25">
      <c r="A828"/>
      <c r="B828" t="s">
        <v>5</v>
      </c>
      <c r="C828" t="s">
        <v>3375</v>
      </c>
      <c r="D828" t="s">
        <v>17</v>
      </c>
      <c r="E828" t="s">
        <v>3009</v>
      </c>
      <c r="F828" t="s">
        <v>3010</v>
      </c>
      <c r="G828" t="s">
        <v>773</v>
      </c>
      <c r="H828" s="30">
        <v>20.2</v>
      </c>
      <c r="I828" s="29">
        <f>H828*(1-IFERROR(VLOOKUP(G828,Rabat!$D$10:$E$41,2,FALSE),0))</f>
        <v>20.2</v>
      </c>
      <c r="J828" t="s">
        <v>1902</v>
      </c>
      <c r="K828" t="s">
        <v>3037</v>
      </c>
      <c r="L828" t="s">
        <v>1901</v>
      </c>
      <c r="M828">
        <v>16</v>
      </c>
      <c r="N828">
        <v>928</v>
      </c>
      <c r="O828" t="s">
        <v>3434</v>
      </c>
      <c r="P828" s="31" t="str">
        <f>HYPERLINK("https://b2b.kobi.pl/pl/product/12958,slupek-ogrodowy-solar-led-sprinkle-3000k-ip44-led2b?currency=PLN")</f>
        <v>https://b2b.kobi.pl/pl/product/12958,slupek-ogrodowy-solar-led-sprinkle-3000k-ip44-led2b?currency=PLN</v>
      </c>
      <c r="Q828" t="s">
        <v>15</v>
      </c>
      <c r="R828"/>
      <c r="S828" t="s">
        <v>2712</v>
      </c>
      <c r="T828"/>
      <c r="U828">
        <v>0.105</v>
      </c>
      <c r="V828">
        <v>0.16200000000000001</v>
      </c>
      <c r="W828">
        <v>6.5</v>
      </c>
      <c r="X828">
        <v>5</v>
      </c>
      <c r="Y828">
        <v>38</v>
      </c>
    </row>
    <row r="829" spans="1:25" ht="60" customHeight="1" x14ac:dyDescent="0.25">
      <c r="A829"/>
      <c r="B829" t="s">
        <v>5</v>
      </c>
      <c r="C829" t="s">
        <v>3375</v>
      </c>
      <c r="D829" t="s">
        <v>17</v>
      </c>
      <c r="E829" t="s">
        <v>3011</v>
      </c>
      <c r="F829" t="s">
        <v>3012</v>
      </c>
      <c r="G829" t="s">
        <v>773</v>
      </c>
      <c r="H829" s="30">
        <v>7.88</v>
      </c>
      <c r="I829" s="29">
        <f>H829*(1-IFERROR(VLOOKUP(G829,Rabat!$D$10:$E$41,2,FALSE),0))</f>
        <v>7.88</v>
      </c>
      <c r="J829" t="s">
        <v>1902</v>
      </c>
      <c r="K829" t="s">
        <v>3038</v>
      </c>
      <c r="L829" t="s">
        <v>1901</v>
      </c>
      <c r="M829">
        <v>24</v>
      </c>
      <c r="N829">
        <v>480</v>
      </c>
      <c r="O829" t="s">
        <v>3434</v>
      </c>
      <c r="P829" s="31" t="str">
        <f>HYPERLINK("https://b2b.kobi.pl/pl/product/12959,slupek-ogrodowy-solar-led-sphere-g2-10cm-4000k-ip44-led2b?currency=PLN")</f>
        <v>https://b2b.kobi.pl/pl/product/12959,slupek-ogrodowy-solar-led-sphere-g2-10cm-4000k-ip44-led2b?currency=PLN</v>
      </c>
      <c r="Q829" t="s">
        <v>15</v>
      </c>
      <c r="R829"/>
      <c r="S829" t="s">
        <v>2712</v>
      </c>
      <c r="T829"/>
      <c r="U829">
        <v>7.4999999999999997E-2</v>
      </c>
      <c r="V829">
        <v>9.8000000000000004E-2</v>
      </c>
      <c r="W829">
        <v>40</v>
      </c>
      <c r="X829">
        <v>30</v>
      </c>
      <c r="Y829">
        <v>10</v>
      </c>
    </row>
    <row r="830" spans="1:25" ht="60" customHeight="1" x14ac:dyDescent="0.25">
      <c r="A830"/>
      <c r="B830" t="s">
        <v>5</v>
      </c>
      <c r="C830" t="s">
        <v>3375</v>
      </c>
      <c r="D830" t="s">
        <v>17</v>
      </c>
      <c r="E830" t="s">
        <v>3084</v>
      </c>
      <c r="F830" t="s">
        <v>3013</v>
      </c>
      <c r="G830" t="s">
        <v>645</v>
      </c>
      <c r="H830" s="30">
        <v>14.75</v>
      </c>
      <c r="I830" s="29">
        <f>H830*(1-IFERROR(VLOOKUP(G830,Rabat!$D$10:$E$41,2,FALSE),0))</f>
        <v>14.75</v>
      </c>
      <c r="J830" t="s">
        <v>1902</v>
      </c>
      <c r="K830" t="s">
        <v>3039</v>
      </c>
      <c r="L830" t="s">
        <v>1901</v>
      </c>
      <c r="M830">
        <v>200</v>
      </c>
      <c r="N830"/>
      <c r="O830" t="s">
        <v>3434</v>
      </c>
      <c r="P830" s="31" t="str">
        <f>HYPERLINK("https://b2b.kobi.pl/pl/product/12971,zasilacz-do-led-starlight-neo-9w-24v-led2b?currency=PLN")</f>
        <v>https://b2b.kobi.pl/pl/product/12971,zasilacz-do-led-starlight-neo-9w-24v-led2b?currency=PLN</v>
      </c>
      <c r="Q830" t="s">
        <v>15</v>
      </c>
      <c r="R830"/>
      <c r="S830" t="s">
        <v>3040</v>
      </c>
      <c r="T830"/>
      <c r="U830">
        <v>4.4999999999999998E-2</v>
      </c>
      <c r="V830">
        <v>0.06</v>
      </c>
      <c r="W830">
        <v>4.5</v>
      </c>
      <c r="X830">
        <v>4.5</v>
      </c>
      <c r="Y830">
        <v>11</v>
      </c>
    </row>
    <row r="831" spans="1:25" ht="60" customHeight="1" x14ac:dyDescent="0.25">
      <c r="A831"/>
      <c r="B831" t="s">
        <v>5</v>
      </c>
      <c r="C831" t="s">
        <v>3375</v>
      </c>
      <c r="D831" t="s">
        <v>17</v>
      </c>
      <c r="E831" t="s">
        <v>3014</v>
      </c>
      <c r="F831" t="s">
        <v>3015</v>
      </c>
      <c r="G831" t="s">
        <v>1506</v>
      </c>
      <c r="H831" s="30">
        <v>2.48</v>
      </c>
      <c r="I831" s="29">
        <f>H831*(1-IFERROR(VLOOKUP(G831,Rabat!$D$10:$E$41,2,FALSE),0))</f>
        <v>2.48</v>
      </c>
      <c r="J831" t="s">
        <v>1902</v>
      </c>
      <c r="K831" t="s">
        <v>3041</v>
      </c>
      <c r="L831" t="s">
        <v>1901</v>
      </c>
      <c r="M831">
        <v>200</v>
      </c>
      <c r="N831"/>
      <c r="O831" t="s">
        <v>3434</v>
      </c>
      <c r="P831" s="31" t="str">
        <f>HYPERLINK("https://b2b.kobi.pl/pl/product/12972,zarowka-led-s14-0-042w-24v-e27-2700k-led2b?currency=PLN")</f>
        <v>https://b2b.kobi.pl/pl/product/12972,zarowka-led-s14-0-042w-24v-e27-2700k-led2b?currency=PLN</v>
      </c>
      <c r="Q831" t="s">
        <v>15</v>
      </c>
      <c r="R831"/>
      <c r="S831" t="s">
        <v>2673</v>
      </c>
      <c r="T831"/>
      <c r="U831">
        <v>1.17E-2</v>
      </c>
      <c r="V831">
        <v>1.8200000000000001E-2</v>
      </c>
      <c r="W831">
        <v>4.3</v>
      </c>
      <c r="X831">
        <v>4.3</v>
      </c>
      <c r="Y831">
        <v>8.5</v>
      </c>
    </row>
    <row r="832" spans="1:25" ht="60" customHeight="1" x14ac:dyDescent="0.25">
      <c r="A832"/>
      <c r="B832" t="s">
        <v>5</v>
      </c>
      <c r="C832" t="s">
        <v>3375</v>
      </c>
      <c r="D832" t="s">
        <v>17</v>
      </c>
      <c r="E832" t="s">
        <v>3016</v>
      </c>
      <c r="F832" t="s">
        <v>3017</v>
      </c>
      <c r="G832" t="s">
        <v>773</v>
      </c>
      <c r="H832" s="30">
        <v>45.88</v>
      </c>
      <c r="I832" s="29">
        <f>H832*(1-IFERROR(VLOOKUP(G832,Rabat!$D$10:$E$41,2,FALSE),0))</f>
        <v>45.88</v>
      </c>
      <c r="J832" t="s">
        <v>1902</v>
      </c>
      <c r="K832" t="s">
        <v>3042</v>
      </c>
      <c r="L832" t="s">
        <v>1917</v>
      </c>
      <c r="M832">
        <v>24</v>
      </c>
      <c r="N832">
        <v>576</v>
      </c>
      <c r="O832" t="s">
        <v>3434</v>
      </c>
      <c r="P832" s="31" t="str">
        <f>HYPERLINK("https://b2b.kobi.pl/pl/product/12955,lampa-ogrodowa-solar-led-clavo-g2-4000k-ip44-4-pak-led2b?currency=PLN")</f>
        <v>https://b2b.kobi.pl/pl/product/12955,lampa-ogrodowa-solar-led-clavo-g2-4000k-ip44-4-pak-led2b?currency=PLN</v>
      </c>
      <c r="Q832" t="s">
        <v>15</v>
      </c>
      <c r="R832"/>
      <c r="S832" t="s">
        <v>2712</v>
      </c>
      <c r="T832"/>
      <c r="U832">
        <v>0.42399999999999999</v>
      </c>
      <c r="V832">
        <v>0.48799999999999999</v>
      </c>
      <c r="W832">
        <v>12</v>
      </c>
      <c r="X832">
        <v>12</v>
      </c>
      <c r="Y832">
        <v>13</v>
      </c>
    </row>
    <row r="833" spans="1:25" ht="60" customHeight="1" x14ac:dyDescent="0.25">
      <c r="A833"/>
      <c r="B833" t="s">
        <v>5</v>
      </c>
      <c r="C833" t="s">
        <v>3375</v>
      </c>
      <c r="D833" t="s">
        <v>17</v>
      </c>
      <c r="E833" t="s">
        <v>3049</v>
      </c>
      <c r="F833" t="s">
        <v>3018</v>
      </c>
      <c r="G833" t="s">
        <v>773</v>
      </c>
      <c r="H833" s="30">
        <v>102.62</v>
      </c>
      <c r="I833" s="29">
        <f>H833*(1-IFERROR(VLOOKUP(G833,Rabat!$D$10:$E$41,2,FALSE),0))</f>
        <v>102.62</v>
      </c>
      <c r="J833" t="s">
        <v>1902</v>
      </c>
      <c r="K833" t="s">
        <v>3043</v>
      </c>
      <c r="L833" t="s">
        <v>1901</v>
      </c>
      <c r="M833">
        <v>40</v>
      </c>
      <c r="N833">
        <v>640</v>
      </c>
      <c r="O833" t="s">
        <v>3434</v>
      </c>
      <c r="P833"/>
      <c r="Q833" t="s">
        <v>15</v>
      </c>
      <c r="R833"/>
      <c r="S833" t="s">
        <v>2712</v>
      </c>
      <c r="T833"/>
      <c r="U833">
        <v>0.36399999999999999</v>
      </c>
      <c r="V833">
        <v>0.438</v>
      </c>
      <c r="W833">
        <v>19.5</v>
      </c>
      <c r="X833">
        <v>9</v>
      </c>
      <c r="Y833">
        <v>10.199999999999999</v>
      </c>
    </row>
    <row r="834" spans="1:25" ht="60" customHeight="1" x14ac:dyDescent="0.25">
      <c r="A834"/>
      <c r="B834" t="s">
        <v>5</v>
      </c>
      <c r="C834" t="s">
        <v>3375</v>
      </c>
      <c r="D834" t="s">
        <v>17</v>
      </c>
      <c r="E834" t="s">
        <v>3050</v>
      </c>
      <c r="F834" t="s">
        <v>3019</v>
      </c>
      <c r="G834" t="s">
        <v>773</v>
      </c>
      <c r="H834" s="30">
        <v>51.33</v>
      </c>
      <c r="I834" s="29">
        <f>H834*(1-IFERROR(VLOOKUP(G834,Rabat!$D$10:$E$41,2,FALSE),0))</f>
        <v>51.33</v>
      </c>
      <c r="J834" t="s">
        <v>1902</v>
      </c>
      <c r="K834" t="s">
        <v>3044</v>
      </c>
      <c r="L834" t="s">
        <v>1901</v>
      </c>
      <c r="M834">
        <v>80</v>
      </c>
      <c r="N834">
        <v>1280</v>
      </c>
      <c r="O834" t="s">
        <v>3434</v>
      </c>
      <c r="P834" s="31" t="str">
        <f>HYPERLINK("https://b2b.kobi.pl/pl/product/12965,kinkiet-ogrodowy-solar-led-querk-2cct-ip54-led2b?currency=PLN")</f>
        <v>https://b2b.kobi.pl/pl/product/12965,kinkiet-ogrodowy-solar-led-querk-2cct-ip54-led2b?currency=PLN</v>
      </c>
      <c r="Q834" t="s">
        <v>15</v>
      </c>
      <c r="R834"/>
      <c r="S834" t="s">
        <v>2712</v>
      </c>
      <c r="T834"/>
      <c r="U834">
        <v>0.182</v>
      </c>
      <c r="V834">
        <v>0.22800000000000001</v>
      </c>
      <c r="W834">
        <v>9.5</v>
      </c>
      <c r="X834">
        <v>8.8000000000000007</v>
      </c>
      <c r="Y834">
        <v>10.3</v>
      </c>
    </row>
    <row r="835" spans="1:25" ht="60" customHeight="1" x14ac:dyDescent="0.25">
      <c r="A835"/>
      <c r="B835" t="s">
        <v>5</v>
      </c>
      <c r="C835" t="s">
        <v>3375</v>
      </c>
      <c r="D835" t="s">
        <v>17</v>
      </c>
      <c r="E835" t="s">
        <v>3020</v>
      </c>
      <c r="F835" t="s">
        <v>3021</v>
      </c>
      <c r="G835" t="s">
        <v>773</v>
      </c>
      <c r="H835" s="30">
        <v>112.48</v>
      </c>
      <c r="I835" s="29">
        <f>H835*(1-IFERROR(VLOOKUP(G835,Rabat!$D$10:$E$41,2,FALSE),0))</f>
        <v>112.48</v>
      </c>
      <c r="J835" t="s">
        <v>1902</v>
      </c>
      <c r="K835" t="s">
        <v>3045</v>
      </c>
      <c r="L835" t="s">
        <v>1901</v>
      </c>
      <c r="M835">
        <v>12</v>
      </c>
      <c r="N835">
        <v>192</v>
      </c>
      <c r="O835" t="s">
        <v>3434</v>
      </c>
      <c r="P835" s="31" t="str">
        <f>HYPERLINK("https://b2b.kobi.pl/pl/product/12968,girlanda-solar-led-starlight-neo-10m-10x0-042w-e27-led2b?currency=PLN")</f>
        <v>https://b2b.kobi.pl/pl/product/12968,girlanda-solar-led-starlight-neo-10m-10x0-042w-e27-led2b?currency=PLN</v>
      </c>
      <c r="Q835" t="s">
        <v>15</v>
      </c>
      <c r="R835"/>
      <c r="S835" t="s">
        <v>2712</v>
      </c>
      <c r="T835"/>
      <c r="U835">
        <v>0.93500000000000005</v>
      </c>
      <c r="V835">
        <v>1.1100000000000001</v>
      </c>
      <c r="W835">
        <v>25</v>
      </c>
      <c r="X835">
        <v>16</v>
      </c>
      <c r="Y835">
        <v>12</v>
      </c>
    </row>
    <row r="836" spans="1:25" ht="60" customHeight="1" x14ac:dyDescent="0.25">
      <c r="A836"/>
      <c r="B836" t="s">
        <v>5</v>
      </c>
      <c r="C836" t="s">
        <v>3375</v>
      </c>
      <c r="D836" t="s">
        <v>17</v>
      </c>
      <c r="E836" t="s">
        <v>3022</v>
      </c>
      <c r="F836" t="s">
        <v>3023</v>
      </c>
      <c r="G836" t="s">
        <v>773</v>
      </c>
      <c r="H836" s="30">
        <v>199.98</v>
      </c>
      <c r="I836" s="29">
        <f>H836*(1-IFERROR(VLOOKUP(G836,Rabat!$D$10:$E$41,2,FALSE),0))</f>
        <v>199.98</v>
      </c>
      <c r="J836" t="s">
        <v>1902</v>
      </c>
      <c r="K836" t="s">
        <v>3046</v>
      </c>
      <c r="L836" t="s">
        <v>1901</v>
      </c>
      <c r="M836">
        <v>8</v>
      </c>
      <c r="N836">
        <v>128</v>
      </c>
      <c r="O836" t="s">
        <v>3434</v>
      </c>
      <c r="P836" s="31" t="str">
        <f>HYPERLINK("https://b2b.kobi.pl/pl/product/12969,girlanda-solar-led-starlight-neo-10m-20x0-042w-e27-led2b?currency=PLN")</f>
        <v>https://b2b.kobi.pl/pl/product/12969,girlanda-solar-led-starlight-neo-10m-20x0-042w-e27-led2b?currency=PLN</v>
      </c>
      <c r="Q836" t="s">
        <v>15</v>
      </c>
      <c r="R836"/>
      <c r="S836" t="s">
        <v>2712</v>
      </c>
      <c r="T836"/>
      <c r="U836">
        <v>1.5960000000000001</v>
      </c>
      <c r="V836">
        <v>1.7849999999999999</v>
      </c>
      <c r="W836">
        <v>27</v>
      </c>
      <c r="X836">
        <v>17</v>
      </c>
      <c r="Y836">
        <v>17.5</v>
      </c>
    </row>
    <row r="837" spans="1:25" ht="60" customHeight="1" x14ac:dyDescent="0.25">
      <c r="A837"/>
      <c r="B837" t="s">
        <v>5</v>
      </c>
      <c r="C837" t="s">
        <v>3375</v>
      </c>
      <c r="D837" t="s">
        <v>17</v>
      </c>
      <c r="E837" t="s">
        <v>3024</v>
      </c>
      <c r="F837" t="s">
        <v>3025</v>
      </c>
      <c r="G837" t="s">
        <v>773</v>
      </c>
      <c r="H837" s="30">
        <v>211.25</v>
      </c>
      <c r="I837" s="29">
        <f>H837*(1-IFERROR(VLOOKUP(G837,Rabat!$D$10:$E$41,2,FALSE),0))</f>
        <v>211.25</v>
      </c>
      <c r="J837" t="s">
        <v>1902</v>
      </c>
      <c r="K837" t="s">
        <v>3047</v>
      </c>
      <c r="L837" t="s">
        <v>1901</v>
      </c>
      <c r="M837">
        <v>8</v>
      </c>
      <c r="N837">
        <v>128</v>
      </c>
      <c r="O837" t="s">
        <v>3434</v>
      </c>
      <c r="P837" s="31" t="str">
        <f>HYPERLINK("https://b2b.kobi.pl/pl/product/12970,girlanda-solar-led-starlight-neo-20m-20x0-042w-e27-led2b?currency=PLN")</f>
        <v>https://b2b.kobi.pl/pl/product/12970,girlanda-solar-led-starlight-neo-20m-20x0-042w-e27-led2b?currency=PLN</v>
      </c>
      <c r="Q837" t="s">
        <v>15</v>
      </c>
      <c r="R837"/>
      <c r="S837" t="s">
        <v>2712</v>
      </c>
      <c r="T837"/>
      <c r="U837">
        <v>1.915</v>
      </c>
      <c r="V837">
        <v>2.125</v>
      </c>
      <c r="W837">
        <v>27</v>
      </c>
      <c r="X837">
        <v>19</v>
      </c>
      <c r="Y837">
        <v>17.5</v>
      </c>
    </row>
    <row r="838" spans="1:25" ht="60" customHeight="1" x14ac:dyDescent="0.25">
      <c r="A838"/>
      <c r="B838" t="s">
        <v>646</v>
      </c>
      <c r="C838" t="s">
        <v>6</v>
      </c>
      <c r="D838" t="s">
        <v>631</v>
      </c>
      <c r="E838" t="s">
        <v>647</v>
      </c>
      <c r="F838" t="s">
        <v>648</v>
      </c>
      <c r="G838" t="s">
        <v>645</v>
      </c>
      <c r="H838" s="30">
        <v>44.78</v>
      </c>
      <c r="I838" s="29">
        <f>H838*(1-IFERROR(VLOOKUP(G838,Rabat!$D$10:$E$41,2,FALSE),0))</f>
        <v>44.78</v>
      </c>
      <c r="J838" t="s">
        <v>1902</v>
      </c>
      <c r="K838" t="s">
        <v>420</v>
      </c>
      <c r="L838" t="s">
        <v>1901</v>
      </c>
      <c r="M838">
        <v>100</v>
      </c>
      <c r="N838"/>
      <c r="O838" t="s">
        <v>3435</v>
      </c>
      <c r="P838" s="31" t="str">
        <f>HYPERLINK("https://b2b.kobi.pl/pl/product/10671,czujnik-ruchu-lx01-160-pir-bialy-kobi-premium?currency=PLN")</f>
        <v>https://b2b.kobi.pl/pl/product/10671,czujnik-ruchu-lx01-160-pir-bialy-kobi-premium?currency=PLN</v>
      </c>
      <c r="Q838" t="s">
        <v>15</v>
      </c>
      <c r="R838"/>
      <c r="S838" t="s">
        <v>2725</v>
      </c>
      <c r="T838"/>
      <c r="U838">
        <v>8.7999999999999995E-2</v>
      </c>
      <c r="V838">
        <v>0.113</v>
      </c>
      <c r="W838">
        <v>8.5</v>
      </c>
      <c r="X838">
        <v>5</v>
      </c>
      <c r="Y838">
        <v>8.5</v>
      </c>
    </row>
    <row r="839" spans="1:25" ht="60" customHeight="1" x14ac:dyDescent="0.25">
      <c r="A839"/>
      <c r="B839" t="s">
        <v>646</v>
      </c>
      <c r="C839" t="s">
        <v>6</v>
      </c>
      <c r="D839" t="s">
        <v>631</v>
      </c>
      <c r="E839" t="s">
        <v>649</v>
      </c>
      <c r="F839" t="s">
        <v>650</v>
      </c>
      <c r="G839" t="s">
        <v>645</v>
      </c>
      <c r="H839" s="30">
        <v>44.22</v>
      </c>
      <c r="I839" s="29">
        <f>H839*(1-IFERROR(VLOOKUP(G839,Rabat!$D$10:$E$41,2,FALSE),0))</f>
        <v>44.22</v>
      </c>
      <c r="J839" t="s">
        <v>1902</v>
      </c>
      <c r="K839" t="s">
        <v>421</v>
      </c>
      <c r="L839" t="s">
        <v>1901</v>
      </c>
      <c r="M839">
        <v>50</v>
      </c>
      <c r="N839">
        <v>900</v>
      </c>
      <c r="O839" t="s">
        <v>3435</v>
      </c>
      <c r="P839" s="31" t="str">
        <f>HYPERLINK("https://b2b.kobi.pl/pl/product/10672,czujnik-ruchu-lx06-360-pir-kobi-premium?currency=PLN")</f>
        <v>https://b2b.kobi.pl/pl/product/10672,czujnik-ruchu-lx06-360-pir-kobi-premium?currency=PLN</v>
      </c>
      <c r="Q839" t="s">
        <v>15</v>
      </c>
      <c r="R839"/>
      <c r="S839" t="s">
        <v>2725</v>
      </c>
      <c r="T839"/>
      <c r="U839">
        <v>0.14199999999999999</v>
      </c>
      <c r="V839">
        <v>0.17699999999999999</v>
      </c>
      <c r="W839">
        <v>12.3</v>
      </c>
      <c r="X839">
        <v>6.5</v>
      </c>
      <c r="Y839">
        <v>12.3</v>
      </c>
    </row>
    <row r="840" spans="1:25" ht="60" customHeight="1" x14ac:dyDescent="0.25">
      <c r="A840"/>
      <c r="B840" t="s">
        <v>646</v>
      </c>
      <c r="C840" t="s">
        <v>6</v>
      </c>
      <c r="D840" t="s">
        <v>631</v>
      </c>
      <c r="E840" t="s">
        <v>651</v>
      </c>
      <c r="F840" t="s">
        <v>652</v>
      </c>
      <c r="G840" t="s">
        <v>645</v>
      </c>
      <c r="H840" s="30">
        <v>36</v>
      </c>
      <c r="I840" s="29">
        <f>H840*(1-IFERROR(VLOOKUP(G840,Rabat!$D$10:$E$41,2,FALSE),0))</f>
        <v>36</v>
      </c>
      <c r="J840" t="s">
        <v>1902</v>
      </c>
      <c r="K840" t="s">
        <v>422</v>
      </c>
      <c r="L840" t="s">
        <v>1901</v>
      </c>
      <c r="M840">
        <v>50</v>
      </c>
      <c r="N840">
        <v>1400</v>
      </c>
      <c r="O840" t="s">
        <v>3435</v>
      </c>
      <c r="P840" s="31" t="str">
        <f>HYPERLINK("https://b2b.kobi.pl/pl/product/10674,czujnik-ruchu-lx39-ip44-180-pir-bialy-kobi-premium?currency=PLN")</f>
        <v>https://b2b.kobi.pl/pl/product/10674,czujnik-ruchu-lx39-ip44-180-pir-bialy-kobi-premium?currency=PLN</v>
      </c>
      <c r="Q840" t="s">
        <v>15</v>
      </c>
      <c r="R840"/>
      <c r="S840" t="s">
        <v>2725</v>
      </c>
      <c r="T840"/>
      <c r="U840">
        <v>0.10299999999999999</v>
      </c>
      <c r="V840">
        <v>0.13800000000000001</v>
      </c>
      <c r="W840">
        <v>9</v>
      </c>
      <c r="X840">
        <v>7.3</v>
      </c>
      <c r="Y840">
        <v>10.3</v>
      </c>
    </row>
    <row r="841" spans="1:25" ht="60" customHeight="1" x14ac:dyDescent="0.25">
      <c r="A841"/>
      <c r="B841" t="s">
        <v>646</v>
      </c>
      <c r="C841" t="s">
        <v>6</v>
      </c>
      <c r="D841" t="s">
        <v>631</v>
      </c>
      <c r="E841" t="s">
        <v>653</v>
      </c>
      <c r="F841" t="s">
        <v>654</v>
      </c>
      <c r="G841" t="s">
        <v>645</v>
      </c>
      <c r="H841" s="30">
        <v>35.96</v>
      </c>
      <c r="I841" s="29">
        <f>H841*(1-IFERROR(VLOOKUP(G841,Rabat!$D$10:$E$41,2,FALSE),0))</f>
        <v>35.96</v>
      </c>
      <c r="J841" t="s">
        <v>1902</v>
      </c>
      <c r="K841" t="s">
        <v>423</v>
      </c>
      <c r="L841" t="s">
        <v>1901</v>
      </c>
      <c r="M841">
        <v>50</v>
      </c>
      <c r="N841">
        <v>1700</v>
      </c>
      <c r="O841" t="s">
        <v>3435</v>
      </c>
      <c r="P841" s="31" t="str">
        <f>HYPERLINK("https://b2b.kobi.pl/pl/product/10675,czujnik-ruchu-lx39-ip44-180-pir-czarny-kobi-premium?currency=PLN")</f>
        <v>https://b2b.kobi.pl/pl/product/10675,czujnik-ruchu-lx39-ip44-180-pir-czarny-kobi-premium?currency=PLN</v>
      </c>
      <c r="Q841" t="s">
        <v>15</v>
      </c>
      <c r="R841"/>
      <c r="S841" t="s">
        <v>2725</v>
      </c>
      <c r="T841"/>
      <c r="U841">
        <v>0.10299999999999999</v>
      </c>
      <c r="V841">
        <v>0.13800000000000001</v>
      </c>
      <c r="W841">
        <v>9</v>
      </c>
      <c r="X841">
        <v>7.3</v>
      </c>
      <c r="Y841">
        <v>10.3</v>
      </c>
    </row>
    <row r="842" spans="1:25" ht="60" customHeight="1" x14ac:dyDescent="0.25">
      <c r="A842"/>
      <c r="B842" t="s">
        <v>646</v>
      </c>
      <c r="C842" t="s">
        <v>6</v>
      </c>
      <c r="D842" t="s">
        <v>631</v>
      </c>
      <c r="E842" t="s">
        <v>655</v>
      </c>
      <c r="F842" t="s">
        <v>656</v>
      </c>
      <c r="G842" t="s">
        <v>645</v>
      </c>
      <c r="H842" s="30">
        <v>45</v>
      </c>
      <c r="I842" s="29">
        <f>H842*(1-IFERROR(VLOOKUP(G842,Rabat!$D$10:$E$41,2,FALSE),0))</f>
        <v>45</v>
      </c>
      <c r="J842" t="s">
        <v>1902</v>
      </c>
      <c r="K842" t="s">
        <v>424</v>
      </c>
      <c r="L842" t="s">
        <v>1901</v>
      </c>
      <c r="M842">
        <v>50</v>
      </c>
      <c r="N842">
        <v>1000</v>
      </c>
      <c r="O842" t="s">
        <v>3435</v>
      </c>
      <c r="P842" s="31" t="str">
        <f>HYPERLINK("https://b2b.kobi.pl/pl/product/10676,czujnik-ruchu-lx40-ip44-180-pir-bialy-kobi-premium?currency=PLN")</f>
        <v>https://b2b.kobi.pl/pl/product/10676,czujnik-ruchu-lx40-ip44-180-pir-bialy-kobi-premium?currency=PLN</v>
      </c>
      <c r="Q842" t="s">
        <v>15</v>
      </c>
      <c r="R842"/>
      <c r="S842" t="s">
        <v>2725</v>
      </c>
      <c r="T842"/>
      <c r="U842">
        <v>0.13800000000000001</v>
      </c>
      <c r="V842">
        <v>0.17799999999999999</v>
      </c>
      <c r="W842">
        <v>9</v>
      </c>
      <c r="X842">
        <v>6.9</v>
      </c>
      <c r="Y842">
        <v>9.8000000000000007</v>
      </c>
    </row>
    <row r="843" spans="1:25" ht="60" customHeight="1" x14ac:dyDescent="0.25">
      <c r="A843"/>
      <c r="B843" t="s">
        <v>646</v>
      </c>
      <c r="C843" t="s">
        <v>6</v>
      </c>
      <c r="D843" t="s">
        <v>631</v>
      </c>
      <c r="E843" t="s">
        <v>657</v>
      </c>
      <c r="F843" t="s">
        <v>658</v>
      </c>
      <c r="G843" t="s">
        <v>645</v>
      </c>
      <c r="H843" s="30">
        <v>42.87</v>
      </c>
      <c r="I843" s="29">
        <f>H843*(1-IFERROR(VLOOKUP(G843,Rabat!$D$10:$E$41,2,FALSE),0))</f>
        <v>42.87</v>
      </c>
      <c r="J843" t="s">
        <v>1902</v>
      </c>
      <c r="K843" t="s">
        <v>425</v>
      </c>
      <c r="L843" t="s">
        <v>1901</v>
      </c>
      <c r="M843">
        <v>50</v>
      </c>
      <c r="N843">
        <v>1700</v>
      </c>
      <c r="O843" t="s">
        <v>3435</v>
      </c>
      <c r="P843" s="31" t="str">
        <f>HYPERLINK("https://b2b.kobi.pl/pl/product/10677,czujnik-ruchu-lx40-ip44-180-pir-czarny-kobi-premium?currency=PLN")</f>
        <v>https://b2b.kobi.pl/pl/product/10677,czujnik-ruchu-lx40-ip44-180-pir-czarny-kobi-premium?currency=PLN</v>
      </c>
      <c r="Q843" t="s">
        <v>15</v>
      </c>
      <c r="R843"/>
      <c r="S843" t="s">
        <v>2725</v>
      </c>
      <c r="T843"/>
      <c r="U843">
        <v>0.13800000000000001</v>
      </c>
      <c r="V843">
        <v>0.17799999999999999</v>
      </c>
      <c r="W843">
        <v>9</v>
      </c>
      <c r="X843">
        <v>6.9</v>
      </c>
      <c r="Y843">
        <v>9.8000000000000007</v>
      </c>
    </row>
    <row r="844" spans="1:25" ht="60" customHeight="1" x14ac:dyDescent="0.25">
      <c r="A844"/>
      <c r="B844" t="s">
        <v>646</v>
      </c>
      <c r="C844" t="s">
        <v>6</v>
      </c>
      <c r="D844" t="s">
        <v>631</v>
      </c>
      <c r="E844" t="s">
        <v>659</v>
      </c>
      <c r="F844" t="s">
        <v>660</v>
      </c>
      <c r="G844" t="s">
        <v>645</v>
      </c>
      <c r="H844" s="30">
        <v>50</v>
      </c>
      <c r="I844" s="29">
        <f>H844*(1-IFERROR(VLOOKUP(G844,Rabat!$D$10:$E$41,2,FALSE),0))</f>
        <v>50</v>
      </c>
      <c r="J844" t="s">
        <v>1902</v>
      </c>
      <c r="K844" t="s">
        <v>426</v>
      </c>
      <c r="L844" t="s">
        <v>1901</v>
      </c>
      <c r="M844">
        <v>50</v>
      </c>
      <c r="N844">
        <v>1650</v>
      </c>
      <c r="O844" t="s">
        <v>3435</v>
      </c>
      <c r="P844" s="31" t="str">
        <f>HYPERLINK("https://b2b.kobi.pl/pl/product/10678,czujnik-ruchu-lx41-360-pir-bialy-kobi-premium?currency=PLN")</f>
        <v>https://b2b.kobi.pl/pl/product/10678,czujnik-ruchu-lx41-360-pir-bialy-kobi-premium?currency=PLN</v>
      </c>
      <c r="Q844" t="s">
        <v>15</v>
      </c>
      <c r="R844"/>
      <c r="S844" t="s">
        <v>2725</v>
      </c>
      <c r="T844"/>
      <c r="U844">
        <v>6.7000000000000004E-2</v>
      </c>
      <c r="V844">
        <v>9.7000000000000003E-2</v>
      </c>
      <c r="W844">
        <v>8.3000000000000007</v>
      </c>
      <c r="X844">
        <v>8.3000000000000007</v>
      </c>
      <c r="Y844">
        <v>7</v>
      </c>
    </row>
    <row r="845" spans="1:25" ht="60" customHeight="1" x14ac:dyDescent="0.25">
      <c r="A845"/>
      <c r="B845" t="s">
        <v>646</v>
      </c>
      <c r="C845" t="s">
        <v>6</v>
      </c>
      <c r="D845" t="s">
        <v>631</v>
      </c>
      <c r="E845" t="s">
        <v>661</v>
      </c>
      <c r="F845" t="s">
        <v>662</v>
      </c>
      <c r="G845" t="s">
        <v>645</v>
      </c>
      <c r="H845" s="30">
        <v>42.2</v>
      </c>
      <c r="I845" s="29">
        <f>H845*(1-IFERROR(VLOOKUP(G845,Rabat!$D$10:$E$41,2,FALSE),0))</f>
        <v>42.2</v>
      </c>
      <c r="J845" t="s">
        <v>1902</v>
      </c>
      <c r="K845" t="s">
        <v>427</v>
      </c>
      <c r="L845" t="s">
        <v>1901</v>
      </c>
      <c r="M845">
        <v>100</v>
      </c>
      <c r="N845">
        <v>2500</v>
      </c>
      <c r="O845" t="s">
        <v>3435</v>
      </c>
      <c r="P845" s="31" t="str">
        <f>HYPERLINK("https://b2b.kobi.pl/pl/product/10679,czujnik-ruchu-lx42-360-pir-kobi-premium?currency=PLN")</f>
        <v>https://b2b.kobi.pl/pl/product/10679,czujnik-ruchu-lx42-360-pir-kobi-premium?currency=PLN</v>
      </c>
      <c r="Q845" t="s">
        <v>15</v>
      </c>
      <c r="R845"/>
      <c r="S845" t="s">
        <v>2725</v>
      </c>
      <c r="T845"/>
      <c r="U845">
        <v>0.04</v>
      </c>
      <c r="V845">
        <v>0.06</v>
      </c>
      <c r="W845">
        <v>8.3000000000000007</v>
      </c>
      <c r="X845">
        <v>6.2</v>
      </c>
      <c r="Y845">
        <v>8.3000000000000007</v>
      </c>
    </row>
    <row r="846" spans="1:25" ht="60" customHeight="1" x14ac:dyDescent="0.25">
      <c r="A846"/>
      <c r="B846" t="s">
        <v>646</v>
      </c>
      <c r="C846" t="s">
        <v>6</v>
      </c>
      <c r="D846" t="s">
        <v>599</v>
      </c>
      <c r="E846" t="s">
        <v>663</v>
      </c>
      <c r="F846" t="s">
        <v>664</v>
      </c>
      <c r="G846" t="s">
        <v>645</v>
      </c>
      <c r="H846" s="30">
        <v>47.24</v>
      </c>
      <c r="I846" s="29">
        <f>H846*(1-IFERROR(VLOOKUP(G846,Rabat!$D$10:$E$41,2,FALSE),0))</f>
        <v>47.24</v>
      </c>
      <c r="J846" t="s">
        <v>1902</v>
      </c>
      <c r="K846" t="s">
        <v>419</v>
      </c>
      <c r="L846" t="s">
        <v>1901</v>
      </c>
      <c r="M846">
        <v>100</v>
      </c>
      <c r="N846">
        <v>5600</v>
      </c>
      <c r="O846" t="s">
        <v>3436</v>
      </c>
      <c r="P846" s="31" t="str">
        <f>HYPERLINK("https://b2b.kobi.pl/pl/product/10681,czujnik-ruchu-lx701-360-mic-kobi-pro?currency=PLN")</f>
        <v>https://b2b.kobi.pl/pl/product/10681,czujnik-ruchu-lx701-360-mic-kobi-pro?currency=PLN</v>
      </c>
      <c r="Q846" t="s">
        <v>15</v>
      </c>
      <c r="R846"/>
      <c r="S846" t="s">
        <v>2725</v>
      </c>
      <c r="T846"/>
      <c r="U846">
        <v>4.2000000000000003E-2</v>
      </c>
      <c r="V846">
        <v>0.43</v>
      </c>
      <c r="W846">
        <v>5.0999999999999996</v>
      </c>
      <c r="X846">
        <v>5</v>
      </c>
      <c r="Y846">
        <v>7.4</v>
      </c>
    </row>
    <row r="847" spans="1:25" ht="60" customHeight="1" x14ac:dyDescent="0.25">
      <c r="A847"/>
      <c r="B847" t="s">
        <v>646</v>
      </c>
      <c r="C847" t="s">
        <v>6</v>
      </c>
      <c r="D847" t="s">
        <v>599</v>
      </c>
      <c r="E847" t="s">
        <v>1374</v>
      </c>
      <c r="F847" t="s">
        <v>1375</v>
      </c>
      <c r="G847" t="s">
        <v>645</v>
      </c>
      <c r="H847" s="30">
        <v>218</v>
      </c>
      <c r="I847" s="29">
        <f>H847*(1-IFERROR(VLOOKUP(G847,Rabat!$D$10:$E$41,2,FALSE),0))</f>
        <v>218</v>
      </c>
      <c r="J847" t="s">
        <v>1902</v>
      </c>
      <c r="K847" t="s">
        <v>429</v>
      </c>
      <c r="L847" t="s">
        <v>1901</v>
      </c>
      <c r="M847">
        <v>20</v>
      </c>
      <c r="N847"/>
      <c r="O847" t="s">
        <v>3434</v>
      </c>
      <c r="P847" s="31" t="str">
        <f>HYPERLINK("https://b2b.kobi.pl/pl/product/10682,pilot-do-czujnika-ruchu-zhaga-hd05r?currency=PLN")</f>
        <v>https://b2b.kobi.pl/pl/product/10682,pilot-do-czujnika-ruchu-zhaga-hd05r?currency=PLN</v>
      </c>
      <c r="Q847" t="s">
        <v>15</v>
      </c>
      <c r="R847"/>
      <c r="S847" t="s">
        <v>2726</v>
      </c>
      <c r="T847"/>
      <c r="U847">
        <v>0.08</v>
      </c>
      <c r="V847">
        <v>0.1</v>
      </c>
      <c r="W847">
        <v>14</v>
      </c>
      <c r="X847">
        <v>7</v>
      </c>
      <c r="Y847">
        <v>3</v>
      </c>
    </row>
    <row r="848" spans="1:25" ht="60" customHeight="1" x14ac:dyDescent="0.25">
      <c r="A848"/>
      <c r="B848" t="s">
        <v>646</v>
      </c>
      <c r="C848" t="s">
        <v>6</v>
      </c>
      <c r="D848" t="s">
        <v>643</v>
      </c>
      <c r="E848" t="s">
        <v>1059</v>
      </c>
      <c r="F848" t="s">
        <v>1060</v>
      </c>
      <c r="G848" t="s">
        <v>645</v>
      </c>
      <c r="H848" s="30">
        <v>110</v>
      </c>
      <c r="I848" s="29">
        <f>H848*(1-IFERROR(VLOOKUP(G848,Rabat!$D$10:$E$41,2,FALSE),0))</f>
        <v>110</v>
      </c>
      <c r="J848" t="s">
        <v>1902</v>
      </c>
      <c r="K848" t="s">
        <v>428</v>
      </c>
      <c r="L848" t="s">
        <v>1901</v>
      </c>
      <c r="M848">
        <v>1</v>
      </c>
      <c r="N848"/>
      <c r="O848" t="s">
        <v>3434</v>
      </c>
      <c r="P848" s="31" t="str">
        <f>HYPERLINK("https://b2b.kobi.pl/pl/product/10684,czujnik-ruchu-zhaga-hd06vcrh7c?currency=PLN")</f>
        <v>https://b2b.kobi.pl/pl/product/10684,czujnik-ruchu-zhaga-hd06vcrh7c?currency=PLN</v>
      </c>
      <c r="Q848" t="s">
        <v>15</v>
      </c>
      <c r="R848"/>
      <c r="S848" t="s">
        <v>2725</v>
      </c>
      <c r="T848"/>
      <c r="U848">
        <v>0.03</v>
      </c>
      <c r="V848">
        <v>0.04</v>
      </c>
      <c r="W848">
        <v>6</v>
      </c>
      <c r="X848">
        <v>6</v>
      </c>
      <c r="Y848">
        <v>5</v>
      </c>
    </row>
    <row r="849" spans="1:25" ht="60" customHeight="1" x14ac:dyDescent="0.25">
      <c r="A849"/>
      <c r="B849" t="s">
        <v>646</v>
      </c>
      <c r="C849" t="s">
        <v>6</v>
      </c>
      <c r="D849" t="s">
        <v>643</v>
      </c>
      <c r="E849" t="s">
        <v>561</v>
      </c>
      <c r="F849" t="s">
        <v>644</v>
      </c>
      <c r="G849" t="s">
        <v>645</v>
      </c>
      <c r="H849" s="30">
        <v>197.78</v>
      </c>
      <c r="I849" s="29">
        <f>H849*(1-IFERROR(VLOOKUP(G849,Rabat!$D$10:$E$41,2,FALSE),0))</f>
        <v>197.78</v>
      </c>
      <c r="J849" t="s">
        <v>1902</v>
      </c>
      <c r="K849" t="s">
        <v>565</v>
      </c>
      <c r="L849" t="s">
        <v>1901</v>
      </c>
      <c r="M849">
        <v>30</v>
      </c>
      <c r="N849"/>
      <c r="O849" t="s">
        <v>3434</v>
      </c>
      <c r="P849" s="31" t="str">
        <f>HYPERLINK("https://b2b.kobi.pl/pl/product/12215,czujnik-ruchu-bluetooth-zhaga?currency=PLN")</f>
        <v>https://b2b.kobi.pl/pl/product/12215,czujnik-ruchu-bluetooth-zhaga?currency=PLN</v>
      </c>
      <c r="Q849" t="s">
        <v>15</v>
      </c>
      <c r="R849"/>
      <c r="S849" t="s">
        <v>2725</v>
      </c>
      <c r="T849"/>
      <c r="U849">
        <v>3.5000000000000003E-2</v>
      </c>
      <c r="V849">
        <v>4.4999999999999998E-2</v>
      </c>
      <c r="W849">
        <v>6</v>
      </c>
      <c r="X849">
        <v>6</v>
      </c>
      <c r="Y849">
        <v>5</v>
      </c>
    </row>
    <row r="850" spans="1:25" ht="60" customHeight="1" x14ac:dyDescent="0.25">
      <c r="A850"/>
      <c r="B850" t="s">
        <v>646</v>
      </c>
      <c r="C850" t="s">
        <v>6</v>
      </c>
      <c r="D850" t="s">
        <v>643</v>
      </c>
      <c r="E850" t="s">
        <v>3382</v>
      </c>
      <c r="F850" t="s">
        <v>665</v>
      </c>
      <c r="G850" t="s">
        <v>645</v>
      </c>
      <c r="H850" s="30">
        <v>68</v>
      </c>
      <c r="I850" s="29">
        <f>H850*(1-IFERROR(VLOOKUP(G850,Rabat!$D$10:$E$41,2,FALSE),0))</f>
        <v>68</v>
      </c>
      <c r="J850" t="s">
        <v>1902</v>
      </c>
      <c r="K850" t="s">
        <v>556</v>
      </c>
      <c r="L850" t="s">
        <v>1901</v>
      </c>
      <c r="M850">
        <v>100</v>
      </c>
      <c r="N850"/>
      <c r="O850" t="s">
        <v>3434</v>
      </c>
      <c r="P850" s="31" t="str">
        <f>HYPERLINK("https://b2b.kobi.pl/pl/product/10680,czujnik-zmierzchowy-lx501-kobi?currency=PLN")</f>
        <v>https://b2b.kobi.pl/pl/product/10680,czujnik-zmierzchowy-lx501-kobi?currency=PLN</v>
      </c>
      <c r="Q850" t="s">
        <v>15</v>
      </c>
      <c r="R850"/>
      <c r="S850" t="s">
        <v>2725</v>
      </c>
      <c r="T850"/>
      <c r="U850">
        <v>3.3000000000000002E-2</v>
      </c>
      <c r="V850">
        <v>5.8999999999999997E-2</v>
      </c>
      <c r="W850">
        <v>10.5</v>
      </c>
      <c r="X850">
        <v>6.5</v>
      </c>
      <c r="Y850">
        <v>4.5</v>
      </c>
    </row>
    <row r="851" spans="1:25" ht="60" customHeight="1" x14ac:dyDescent="0.25">
      <c r="A851"/>
      <c r="B851" t="s">
        <v>646</v>
      </c>
      <c r="C851" t="s">
        <v>3383</v>
      </c>
      <c r="D851" t="s">
        <v>643</v>
      </c>
      <c r="E851" t="s">
        <v>774</v>
      </c>
      <c r="F851" t="s">
        <v>775</v>
      </c>
      <c r="G851" t="s">
        <v>645</v>
      </c>
      <c r="H851" s="30">
        <v>1.33</v>
      </c>
      <c r="I851" s="29">
        <f>H851*(1-IFERROR(VLOOKUP(G851,Rabat!$D$10:$E$41,2,FALSE),0))</f>
        <v>1.33</v>
      </c>
      <c r="J851" t="s">
        <v>1902</v>
      </c>
      <c r="K851" t="s">
        <v>431</v>
      </c>
      <c r="L851" t="s">
        <v>1901</v>
      </c>
      <c r="M851">
        <v>200</v>
      </c>
      <c r="N851"/>
      <c r="O851" t="s">
        <v>3434</v>
      </c>
      <c r="P851" s="31" t="str">
        <f>HYPERLINK("https://b2b.kobi.pl/pl/product/10704,kostka-halogenowa-k001-g5-3-kobi?currency=PLN")</f>
        <v>https://b2b.kobi.pl/pl/product/10704,kostka-halogenowa-k001-g5-3-kobi?currency=PLN</v>
      </c>
      <c r="Q851" t="s">
        <v>15</v>
      </c>
      <c r="R851"/>
      <c r="S851" t="s">
        <v>2727</v>
      </c>
      <c r="T851"/>
      <c r="U851">
        <v>0.01</v>
      </c>
      <c r="V851">
        <v>0.01</v>
      </c>
      <c r="W851">
        <v>2</v>
      </c>
      <c r="X851">
        <v>2</v>
      </c>
      <c r="Y851">
        <v>2</v>
      </c>
    </row>
    <row r="852" spans="1:25" ht="60" customHeight="1" x14ac:dyDescent="0.25">
      <c r="A852"/>
      <c r="B852" t="s">
        <v>646</v>
      </c>
      <c r="C852" t="s">
        <v>3383</v>
      </c>
      <c r="D852" t="s">
        <v>643</v>
      </c>
      <c r="E852" t="s">
        <v>776</v>
      </c>
      <c r="F852" t="s">
        <v>777</v>
      </c>
      <c r="G852" t="s">
        <v>645</v>
      </c>
      <c r="H852" s="30">
        <v>1.53</v>
      </c>
      <c r="I852" s="29">
        <f>H852*(1-IFERROR(VLOOKUP(G852,Rabat!$D$10:$E$41,2,FALSE),0))</f>
        <v>1.53</v>
      </c>
      <c r="J852" t="s">
        <v>1902</v>
      </c>
      <c r="K852" t="s">
        <v>432</v>
      </c>
      <c r="L852" t="s">
        <v>1901</v>
      </c>
      <c r="M852">
        <v>50</v>
      </c>
      <c r="N852">
        <v>32000</v>
      </c>
      <c r="O852" t="s">
        <v>3434</v>
      </c>
      <c r="P852" s="31" t="str">
        <f>HYPERLINK("https://b2b.kobi.pl/pl/product/10705,kostka-halogenowa-k002-gu10-kobi?currency=PLN")</f>
        <v>https://b2b.kobi.pl/pl/product/10705,kostka-halogenowa-k002-gu10-kobi?currency=PLN</v>
      </c>
      <c r="Q852" t="s">
        <v>15</v>
      </c>
      <c r="R852"/>
      <c r="S852" t="s">
        <v>2728</v>
      </c>
      <c r="T852"/>
      <c r="U852">
        <v>1.6E-2</v>
      </c>
      <c r="V852">
        <v>0.02</v>
      </c>
      <c r="W852">
        <v>2</v>
      </c>
      <c r="X852">
        <v>2</v>
      </c>
      <c r="Y852">
        <v>2</v>
      </c>
    </row>
    <row r="853" spans="1:25" ht="60" customHeight="1" x14ac:dyDescent="0.25">
      <c r="A853"/>
      <c r="B853" t="s">
        <v>646</v>
      </c>
      <c r="C853" t="s">
        <v>3383</v>
      </c>
      <c r="D853" t="s">
        <v>643</v>
      </c>
      <c r="E853" t="s">
        <v>1356</v>
      </c>
      <c r="F853" t="s">
        <v>1357</v>
      </c>
      <c r="G853" t="s">
        <v>645</v>
      </c>
      <c r="H853" s="30">
        <v>1.22</v>
      </c>
      <c r="I853" s="29">
        <f>H853*(1-IFERROR(VLOOKUP(G853,Rabat!$D$10:$E$41,2,FALSE),0))</f>
        <v>1.22</v>
      </c>
      <c r="J853" t="s">
        <v>1902</v>
      </c>
      <c r="K853" t="s">
        <v>433</v>
      </c>
      <c r="L853" t="s">
        <v>1901</v>
      </c>
      <c r="M853">
        <v>280</v>
      </c>
      <c r="N853">
        <v>13720</v>
      </c>
      <c r="O853" t="s">
        <v>3434</v>
      </c>
      <c r="P853" s="31" t="str">
        <f>HYPERLINK("https://b2b.kobi.pl/pl/product/10706,oprawka-porcelanowa-z-blaszka-k003-e27-kobi?currency=PLN")</f>
        <v>https://b2b.kobi.pl/pl/product/10706,oprawka-porcelanowa-z-blaszka-k003-e27-kobi?currency=PLN</v>
      </c>
      <c r="Q853" t="s">
        <v>15</v>
      </c>
      <c r="R853"/>
      <c r="S853" t="s">
        <v>2727</v>
      </c>
      <c r="T853"/>
      <c r="U853">
        <v>0.06</v>
      </c>
      <c r="V853">
        <v>0.06</v>
      </c>
      <c r="W853">
        <v>4.8</v>
      </c>
      <c r="X853">
        <v>3.7</v>
      </c>
      <c r="Y853">
        <v>5</v>
      </c>
    </row>
    <row r="854" spans="1:25" ht="60" customHeight="1" x14ac:dyDescent="0.25">
      <c r="A854"/>
      <c r="B854" t="s">
        <v>5</v>
      </c>
      <c r="C854" t="s">
        <v>780</v>
      </c>
      <c r="D854" t="s">
        <v>671</v>
      </c>
      <c r="E854" t="s">
        <v>781</v>
      </c>
      <c r="F854" t="s">
        <v>782</v>
      </c>
      <c r="G854" t="s">
        <v>783</v>
      </c>
      <c r="H854" s="30">
        <v>255.56</v>
      </c>
      <c r="I854" s="29">
        <f>H854*(1-IFERROR(VLOOKUP(G854,Rabat!$D$10:$E$41,2,FALSE),0))</f>
        <v>255.56</v>
      </c>
      <c r="J854" t="s">
        <v>1902</v>
      </c>
      <c r="K854" t="s">
        <v>466</v>
      </c>
      <c r="L854" t="s">
        <v>1901</v>
      </c>
      <c r="M854">
        <v>10</v>
      </c>
      <c r="N854"/>
      <c r="O854" t="s">
        <v>3434</v>
      </c>
      <c r="P854" s="31" t="str">
        <f>HYPERLINK("https://b2b.kobi.pl/pl/product/9793,lampa-do-roslin-led-bloom-20w-3500k-kobi-design?currency=PLN")</f>
        <v>https://b2b.kobi.pl/pl/product/9793,lampa-do-roslin-led-bloom-20w-3500k-kobi-design?currency=PLN</v>
      </c>
      <c r="Q854" t="s">
        <v>15</v>
      </c>
      <c r="R854"/>
      <c r="S854" t="s">
        <v>2717</v>
      </c>
      <c r="T854"/>
      <c r="U854">
        <v>1.34</v>
      </c>
      <c r="V854">
        <v>1.67</v>
      </c>
      <c r="W854">
        <v>49</v>
      </c>
      <c r="X854">
        <v>19.5</v>
      </c>
      <c r="Y854">
        <v>5.5</v>
      </c>
    </row>
    <row r="855" spans="1:25" ht="60" customHeight="1" x14ac:dyDescent="0.25">
      <c r="A855"/>
      <c r="B855" t="s">
        <v>5</v>
      </c>
      <c r="C855" t="s">
        <v>780</v>
      </c>
      <c r="D855" t="s">
        <v>671</v>
      </c>
      <c r="E855" t="s">
        <v>2749</v>
      </c>
      <c r="F855" t="s">
        <v>2750</v>
      </c>
      <c r="G855" t="s">
        <v>783</v>
      </c>
      <c r="H855" s="30">
        <v>147.5</v>
      </c>
      <c r="I855" s="29">
        <f>H855*(1-IFERROR(VLOOKUP(G855,Rabat!$D$10:$E$41,2,FALSE),0))</f>
        <v>147.5</v>
      </c>
      <c r="J855" t="s">
        <v>1902</v>
      </c>
      <c r="K855" t="s">
        <v>2773</v>
      </c>
      <c r="L855" t="s">
        <v>1901</v>
      </c>
      <c r="M855">
        <v>24</v>
      </c>
      <c r="N855">
        <v>432</v>
      </c>
      <c r="O855" t="s">
        <v>3434</v>
      </c>
      <c r="P855" s="31" t="str">
        <f>HYPERLINK("https://b2b.kobi.pl/pl/product/12763,lampa-do-roslin-led-bloom-12w-4500k-kobi-design?currency=PLN")</f>
        <v>https://b2b.kobi.pl/pl/product/12763,lampa-do-roslin-led-bloom-12w-4500k-kobi-design?currency=PLN</v>
      </c>
      <c r="Q855" t="s">
        <v>15</v>
      </c>
      <c r="R855"/>
      <c r="S855" t="s">
        <v>2717</v>
      </c>
      <c r="T855"/>
      <c r="U855">
        <v>0.49199999999999999</v>
      </c>
      <c r="V855">
        <v>0.61099999999999999</v>
      </c>
      <c r="W855">
        <v>45</v>
      </c>
      <c r="X855">
        <v>13.5</v>
      </c>
      <c r="Y855">
        <v>4</v>
      </c>
    </row>
    <row r="856" spans="1:25" ht="60" customHeight="1" x14ac:dyDescent="0.25">
      <c r="A856"/>
      <c r="B856" t="s">
        <v>5</v>
      </c>
      <c r="C856" t="s">
        <v>780</v>
      </c>
      <c r="D856" t="s">
        <v>671</v>
      </c>
      <c r="E856" t="s">
        <v>784</v>
      </c>
      <c r="F856" t="s">
        <v>785</v>
      </c>
      <c r="G856" t="s">
        <v>783</v>
      </c>
      <c r="H856" s="30">
        <v>54.44</v>
      </c>
      <c r="I856" s="29">
        <f>H856*(1-IFERROR(VLOOKUP(G856,Rabat!$D$10:$E$41,2,FALSE),0))</f>
        <v>54.44</v>
      </c>
      <c r="J856" t="s">
        <v>1902</v>
      </c>
      <c r="K856" t="s">
        <v>467</v>
      </c>
      <c r="L856" t="s">
        <v>1901</v>
      </c>
      <c r="M856">
        <v>20</v>
      </c>
      <c r="N856"/>
      <c r="O856" t="s">
        <v>3434</v>
      </c>
      <c r="P856" s="31" t="str">
        <f>HYPERLINK("https://b2b.kobi.pl/pl/product/9794,lampa-do-roslin-led-verdi-5w-3200k-kobi-design?currency=PLN")</f>
        <v>https://b2b.kobi.pl/pl/product/9794,lampa-do-roslin-led-verdi-5w-3200k-kobi-design?currency=PLN</v>
      </c>
      <c r="Q856" t="s">
        <v>15</v>
      </c>
      <c r="R856" t="s">
        <v>2035</v>
      </c>
      <c r="S856" t="s">
        <v>2717</v>
      </c>
      <c r="T856"/>
      <c r="U856">
        <v>0.14000000000000001</v>
      </c>
      <c r="V856">
        <v>0.2</v>
      </c>
      <c r="W856">
        <v>17</v>
      </c>
      <c r="X856">
        <v>12</v>
      </c>
      <c r="Y856">
        <v>5.5</v>
      </c>
    </row>
    <row r="857" spans="1:25" ht="60" customHeight="1" x14ac:dyDescent="0.25">
      <c r="A857"/>
      <c r="B857" t="s">
        <v>5</v>
      </c>
      <c r="C857" t="s">
        <v>780</v>
      </c>
      <c r="D857" t="s">
        <v>671</v>
      </c>
      <c r="E857" t="s">
        <v>786</v>
      </c>
      <c r="F857" t="s">
        <v>787</v>
      </c>
      <c r="G857" t="s">
        <v>783</v>
      </c>
      <c r="H857" s="30">
        <v>82.92</v>
      </c>
      <c r="I857" s="29">
        <f>H857*(1-IFERROR(VLOOKUP(G857,Rabat!$D$10:$E$41,2,FALSE),0))</f>
        <v>82.92</v>
      </c>
      <c r="J857" t="s">
        <v>1902</v>
      </c>
      <c r="K857" t="s">
        <v>468</v>
      </c>
      <c r="L857" t="s">
        <v>1901</v>
      </c>
      <c r="M857">
        <v>20</v>
      </c>
      <c r="N857"/>
      <c r="O857" t="s">
        <v>3434</v>
      </c>
      <c r="P857" s="31" t="str">
        <f>HYPERLINK("https://b2b.kobi.pl/pl/product/9795,lampa-do-roslin-led-verdi-10w-3200k-kobi-design?currency=PLN")</f>
        <v>https://b2b.kobi.pl/pl/product/9795,lampa-do-roslin-led-verdi-10w-3200k-kobi-design?currency=PLN</v>
      </c>
      <c r="Q857" t="s">
        <v>15</v>
      </c>
      <c r="R857"/>
      <c r="S857" t="s">
        <v>2717</v>
      </c>
      <c r="T857"/>
      <c r="U857">
        <v>0.17</v>
      </c>
      <c r="V857">
        <v>0.26</v>
      </c>
      <c r="W857">
        <v>25</v>
      </c>
      <c r="X857">
        <v>12</v>
      </c>
      <c r="Y857">
        <v>5</v>
      </c>
    </row>
    <row r="858" spans="1:25" ht="60" customHeight="1" x14ac:dyDescent="0.25">
      <c r="A858"/>
      <c r="B858" t="s">
        <v>5</v>
      </c>
      <c r="C858" t="s">
        <v>780</v>
      </c>
      <c r="D858" t="s">
        <v>671</v>
      </c>
      <c r="E858" t="s">
        <v>2751</v>
      </c>
      <c r="F858" t="s">
        <v>2752</v>
      </c>
      <c r="G858" t="s">
        <v>783</v>
      </c>
      <c r="H858" s="30">
        <v>46.25</v>
      </c>
      <c r="I858" s="29">
        <f>H858*(1-IFERROR(VLOOKUP(G858,Rabat!$D$10:$E$41,2,FALSE),0))</f>
        <v>46.25</v>
      </c>
      <c r="J858" t="s">
        <v>1902</v>
      </c>
      <c r="K858" t="s">
        <v>2774</v>
      </c>
      <c r="L858" t="s">
        <v>1901</v>
      </c>
      <c r="M858">
        <v>50</v>
      </c>
      <c r="N858">
        <v>1200</v>
      </c>
      <c r="O858" t="s">
        <v>3434</v>
      </c>
      <c r="P858" s="31" t="str">
        <f>HYPERLINK("https://b2b.kobi.pl/pl/product/12764,lampa-do-roslin-led-verdi-v2-5w-1300k-biala-kobi-design?currency=PLN")</f>
        <v>https://b2b.kobi.pl/pl/product/12764,lampa-do-roslin-led-verdi-v2-5w-1300k-biala-kobi-design?currency=PLN</v>
      </c>
      <c r="Q858" t="s">
        <v>15</v>
      </c>
      <c r="R858"/>
      <c r="S858" t="s">
        <v>2717</v>
      </c>
      <c r="T858"/>
      <c r="U858">
        <v>0.14000000000000001</v>
      </c>
      <c r="V858">
        <v>0.17</v>
      </c>
      <c r="W858">
        <v>14</v>
      </c>
      <c r="X858">
        <v>12.5</v>
      </c>
      <c r="Y858">
        <v>4</v>
      </c>
    </row>
    <row r="859" spans="1:25" ht="60" customHeight="1" x14ac:dyDescent="0.25">
      <c r="A859"/>
      <c r="B859" t="s">
        <v>5</v>
      </c>
      <c r="C859" t="s">
        <v>780</v>
      </c>
      <c r="D859" t="s">
        <v>671</v>
      </c>
      <c r="E859" t="s">
        <v>2313</v>
      </c>
      <c r="F859" t="s">
        <v>2314</v>
      </c>
      <c r="G859" t="s">
        <v>783</v>
      </c>
      <c r="H859" s="30">
        <v>18.73</v>
      </c>
      <c r="I859" s="29">
        <f>H859*(1-IFERROR(VLOOKUP(G859,Rabat!$D$10:$E$41,2,FALSE),0))</f>
        <v>18.73</v>
      </c>
      <c r="J859" t="s">
        <v>1902</v>
      </c>
      <c r="K859" t="s">
        <v>2350</v>
      </c>
      <c r="L859" t="s">
        <v>1901</v>
      </c>
      <c r="M859">
        <v>100</v>
      </c>
      <c r="N859">
        <v>2100</v>
      </c>
      <c r="O859" t="s">
        <v>3434</v>
      </c>
      <c r="P859" s="31" t="str">
        <f>HYPERLINK("https://b2b.kobi.pl/pl/product/12455,zarowka-do-roslin-led-planty-w-7w-e27-1200k-biala-kobi-design?currency=PLN")</f>
        <v>https://b2b.kobi.pl/pl/product/12455,zarowka-do-roslin-led-planty-w-7w-e27-1200k-biala-kobi-design?currency=PLN</v>
      </c>
      <c r="Q859" t="s">
        <v>15</v>
      </c>
      <c r="R859"/>
      <c r="S859" t="s">
        <v>2673</v>
      </c>
      <c r="T859"/>
      <c r="U859">
        <v>0.05</v>
      </c>
      <c r="V859">
        <v>7.4999999999999997E-2</v>
      </c>
      <c r="W859">
        <v>6.5</v>
      </c>
      <c r="X859">
        <v>6.5</v>
      </c>
      <c r="Y859">
        <v>8.5</v>
      </c>
    </row>
    <row r="860" spans="1:25" ht="60" customHeight="1" x14ac:dyDescent="0.25">
      <c r="A860"/>
      <c r="B860" t="s">
        <v>5</v>
      </c>
      <c r="C860" t="s">
        <v>780</v>
      </c>
      <c r="D860" t="s">
        <v>671</v>
      </c>
      <c r="E860" t="s">
        <v>2753</v>
      </c>
      <c r="F860" t="s">
        <v>2754</v>
      </c>
      <c r="G860" t="s">
        <v>783</v>
      </c>
      <c r="H860" s="30">
        <v>46.25</v>
      </c>
      <c r="I860" s="29">
        <f>H860*(1-IFERROR(VLOOKUP(G860,Rabat!$D$10:$E$41,2,FALSE),0))</f>
        <v>46.25</v>
      </c>
      <c r="J860" t="s">
        <v>1902</v>
      </c>
      <c r="K860" t="s">
        <v>2775</v>
      </c>
      <c r="L860" t="s">
        <v>1901</v>
      </c>
      <c r="M860">
        <v>50</v>
      </c>
      <c r="N860"/>
      <c r="O860" t="s">
        <v>3434</v>
      </c>
      <c r="P860" s="31" t="str">
        <f>HYPERLINK("https://b2b.kobi.pl/pl/product/12765,lampa-do-roslin-led-verdi-v2-5w-1300k-czarna-kobi-design?currency=PLN")</f>
        <v>https://b2b.kobi.pl/pl/product/12765,lampa-do-roslin-led-verdi-v2-5w-1300k-czarna-kobi-design?currency=PLN</v>
      </c>
      <c r="Q860" t="s">
        <v>15</v>
      </c>
      <c r="R860"/>
      <c r="S860" t="s">
        <v>2717</v>
      </c>
      <c r="T860"/>
      <c r="U860">
        <v>0.14000000000000001</v>
      </c>
      <c r="V860">
        <v>0.17</v>
      </c>
      <c r="W860">
        <v>14</v>
      </c>
      <c r="X860">
        <v>12.5</v>
      </c>
      <c r="Y860">
        <v>4</v>
      </c>
    </row>
    <row r="861" spans="1:25" ht="60" customHeight="1" x14ac:dyDescent="0.25">
      <c r="A861"/>
      <c r="B861" t="s">
        <v>5</v>
      </c>
      <c r="C861" t="s">
        <v>780</v>
      </c>
      <c r="D861" t="s">
        <v>671</v>
      </c>
      <c r="E861" t="s">
        <v>2315</v>
      </c>
      <c r="F861" t="s">
        <v>2316</v>
      </c>
      <c r="G861" t="s">
        <v>783</v>
      </c>
      <c r="H861" s="30">
        <v>19.73</v>
      </c>
      <c r="I861" s="29">
        <f>H861*(1-IFERROR(VLOOKUP(G861,Rabat!$D$10:$E$41,2,FALSE),0))</f>
        <v>19.73</v>
      </c>
      <c r="J861" t="s">
        <v>1902</v>
      </c>
      <c r="K861" t="s">
        <v>2351</v>
      </c>
      <c r="L861" t="s">
        <v>1901</v>
      </c>
      <c r="M861">
        <v>100</v>
      </c>
      <c r="N861">
        <v>2100</v>
      </c>
      <c r="O861" t="s">
        <v>3434</v>
      </c>
      <c r="P861" s="31" t="str">
        <f>HYPERLINK("https://b2b.kobi.pl/pl/product/12456,zarowka-do-roslin-led-planty-b-7w-e27-1200k-czarna-kobi-design?currency=PLN")</f>
        <v>https://b2b.kobi.pl/pl/product/12456,zarowka-do-roslin-led-planty-b-7w-e27-1200k-czarna-kobi-design?currency=PLN</v>
      </c>
      <c r="Q861" t="s">
        <v>15</v>
      </c>
      <c r="R861"/>
      <c r="S861" t="s">
        <v>2673</v>
      </c>
      <c r="T861"/>
      <c r="U861">
        <v>0.05</v>
      </c>
      <c r="V861">
        <v>7.4999999999999997E-2</v>
      </c>
      <c r="W861">
        <v>6.5</v>
      </c>
      <c r="X861">
        <v>6.5</v>
      </c>
      <c r="Y861">
        <v>8.5</v>
      </c>
    </row>
    <row r="862" spans="1:25" ht="60" customHeight="1" x14ac:dyDescent="0.25">
      <c r="A862"/>
      <c r="B862" t="s">
        <v>5</v>
      </c>
      <c r="C862" t="s">
        <v>780</v>
      </c>
      <c r="D862" t="s">
        <v>671</v>
      </c>
      <c r="E862" t="s">
        <v>1556</v>
      </c>
      <c r="F862" t="s">
        <v>1557</v>
      </c>
      <c r="G862" t="s">
        <v>783</v>
      </c>
      <c r="H862" s="30">
        <v>29.75</v>
      </c>
      <c r="I862" s="29">
        <f>H862*(1-IFERROR(VLOOKUP(G862,Rabat!$D$10:$E$41,2,FALSE),0))</f>
        <v>29.75</v>
      </c>
      <c r="J862" t="s">
        <v>1902</v>
      </c>
      <c r="K862" t="s">
        <v>524</v>
      </c>
      <c r="L862" t="s">
        <v>1901</v>
      </c>
      <c r="M862">
        <v>50</v>
      </c>
      <c r="N862">
        <v>1000</v>
      </c>
      <c r="O862" t="s">
        <v>3434</v>
      </c>
      <c r="P862" s="31" t="str">
        <f>HYPERLINK("https://b2b.kobi.pl/pl/product/9841,zarowka-do-roslin-led-planty-w-9w-e27-1200k-biala-kobi-design?currency=PLN")</f>
        <v>https://b2b.kobi.pl/pl/product/9841,zarowka-do-roslin-led-planty-w-9w-e27-1200k-biala-kobi-design?currency=PLN</v>
      </c>
      <c r="Q862" t="s">
        <v>15</v>
      </c>
      <c r="R862"/>
      <c r="S862" t="s">
        <v>2673</v>
      </c>
      <c r="T862"/>
      <c r="U862">
        <v>0.09</v>
      </c>
      <c r="V862">
        <v>0.1009</v>
      </c>
      <c r="W862">
        <v>10</v>
      </c>
      <c r="X862">
        <v>10</v>
      </c>
      <c r="Y862">
        <v>10.5</v>
      </c>
    </row>
    <row r="863" spans="1:25" ht="60" customHeight="1" x14ac:dyDescent="0.25">
      <c r="A863"/>
      <c r="B863" t="s">
        <v>5</v>
      </c>
      <c r="C863" t="s">
        <v>780</v>
      </c>
      <c r="D863" t="s">
        <v>671</v>
      </c>
      <c r="E863" t="s">
        <v>1552</v>
      </c>
      <c r="F863" t="s">
        <v>1553</v>
      </c>
      <c r="G863" t="s">
        <v>783</v>
      </c>
      <c r="H863" s="30">
        <v>31.25</v>
      </c>
      <c r="I863" s="29">
        <f>H863*(1-IFERROR(VLOOKUP(G863,Rabat!$D$10:$E$41,2,FALSE),0))</f>
        <v>31.25</v>
      </c>
      <c r="J863" t="s">
        <v>1902</v>
      </c>
      <c r="K863" t="s">
        <v>522</v>
      </c>
      <c r="L863" t="s">
        <v>1901</v>
      </c>
      <c r="M863">
        <v>50</v>
      </c>
      <c r="N863">
        <v>1000</v>
      </c>
      <c r="O863" t="s">
        <v>3434</v>
      </c>
      <c r="P863" s="31" t="str">
        <f>HYPERLINK("https://b2b.kobi.pl/pl/product/9842,zarowka-do-roslin-led-planty-b-9w-e27-1200k-czarna-kobi-design?currency=PLN")</f>
        <v>https://b2b.kobi.pl/pl/product/9842,zarowka-do-roslin-led-planty-b-9w-e27-1200k-czarna-kobi-design?currency=PLN</v>
      </c>
      <c r="Q863" t="s">
        <v>15</v>
      </c>
      <c r="R863"/>
      <c r="S863" t="s">
        <v>2673</v>
      </c>
      <c r="T863"/>
      <c r="U863">
        <v>0.09</v>
      </c>
      <c r="V863">
        <v>0.1</v>
      </c>
      <c r="W863">
        <v>10</v>
      </c>
      <c r="X863">
        <v>10</v>
      </c>
      <c r="Y863">
        <v>10.5</v>
      </c>
    </row>
    <row r="864" spans="1:25" ht="60" customHeight="1" x14ac:dyDescent="0.25">
      <c r="A864"/>
      <c r="B864" t="s">
        <v>5</v>
      </c>
      <c r="C864" t="s">
        <v>780</v>
      </c>
      <c r="D864" t="s">
        <v>671</v>
      </c>
      <c r="E864" t="s">
        <v>922</v>
      </c>
      <c r="F864" t="s">
        <v>923</v>
      </c>
      <c r="G864" t="s">
        <v>783</v>
      </c>
      <c r="H864" s="30">
        <v>43.75</v>
      </c>
      <c r="I864" s="29">
        <f>H864*(1-IFERROR(VLOOKUP(G864,Rabat!$D$10:$E$41,2,FALSE),0))</f>
        <v>43.75</v>
      </c>
      <c r="J864" t="s">
        <v>1902</v>
      </c>
      <c r="K864" t="s">
        <v>521</v>
      </c>
      <c r="L864" t="s">
        <v>1901</v>
      </c>
      <c r="M864">
        <v>20</v>
      </c>
      <c r="N864">
        <v>500</v>
      </c>
      <c r="O864" t="s">
        <v>3434</v>
      </c>
      <c r="P864" s="31" t="str">
        <f>HYPERLINK("https://b2b.kobi.pl/pl/product/9843,lampka-biurkowa-planty-clip-w-1xe27-biala-kobi-design?currency=PLN")</f>
        <v>https://b2b.kobi.pl/pl/product/9843,lampka-biurkowa-planty-clip-w-1xe27-biala-kobi-design?currency=PLN</v>
      </c>
      <c r="Q864" t="s">
        <v>15</v>
      </c>
      <c r="R864"/>
      <c r="S864" t="s">
        <v>2716</v>
      </c>
      <c r="T864"/>
      <c r="U864">
        <v>0.28399999999999997</v>
      </c>
      <c r="V864">
        <v>0.35049999999999998</v>
      </c>
      <c r="W864">
        <v>13.5</v>
      </c>
      <c r="X864">
        <v>12.5</v>
      </c>
      <c r="Y864">
        <v>12.7</v>
      </c>
    </row>
    <row r="865" spans="1:25" ht="60" customHeight="1" x14ac:dyDescent="0.25">
      <c r="A865"/>
      <c r="B865" t="s">
        <v>5</v>
      </c>
      <c r="C865" t="s">
        <v>780</v>
      </c>
      <c r="D865" t="s">
        <v>671</v>
      </c>
      <c r="E865" t="s">
        <v>924</v>
      </c>
      <c r="F865" t="s">
        <v>925</v>
      </c>
      <c r="G865" t="s">
        <v>783</v>
      </c>
      <c r="H865" s="30">
        <v>43.75</v>
      </c>
      <c r="I865" s="29">
        <f>H865*(1-IFERROR(VLOOKUP(G865,Rabat!$D$10:$E$41,2,FALSE),0))</f>
        <v>43.75</v>
      </c>
      <c r="J865" t="s">
        <v>1902</v>
      </c>
      <c r="K865" t="s">
        <v>520</v>
      </c>
      <c r="L865" t="s">
        <v>1901</v>
      </c>
      <c r="M865">
        <v>20</v>
      </c>
      <c r="N865">
        <v>500</v>
      </c>
      <c r="O865" t="s">
        <v>3434</v>
      </c>
      <c r="P865" s="31" t="str">
        <f>HYPERLINK("https://b2b.kobi.pl/pl/product/9844,lampka-biurkowa-planty-clip-b-1xe27-czarna-kobi-design?currency=PLN")</f>
        <v>https://b2b.kobi.pl/pl/product/9844,lampka-biurkowa-planty-clip-b-1xe27-czarna-kobi-design?currency=PLN</v>
      </c>
      <c r="Q865" t="s">
        <v>15</v>
      </c>
      <c r="R865"/>
      <c r="S865" t="s">
        <v>2716</v>
      </c>
      <c r="T865"/>
      <c r="U865">
        <v>0.28399999999999997</v>
      </c>
      <c r="V865">
        <v>0.35049999999999998</v>
      </c>
      <c r="W865">
        <v>13.5</v>
      </c>
      <c r="X865">
        <v>12.5</v>
      </c>
      <c r="Y865">
        <v>12.7</v>
      </c>
    </row>
    <row r="866" spans="1:25" ht="60" customHeight="1" x14ac:dyDescent="0.25">
      <c r="A866"/>
      <c r="B866" t="s">
        <v>5</v>
      </c>
      <c r="C866" t="s">
        <v>780</v>
      </c>
      <c r="D866" t="s">
        <v>671</v>
      </c>
      <c r="E866" t="s">
        <v>2441</v>
      </c>
      <c r="F866" t="s">
        <v>2442</v>
      </c>
      <c r="G866" t="s">
        <v>783</v>
      </c>
      <c r="H866" s="30">
        <v>64.75</v>
      </c>
      <c r="I866" s="29">
        <f>H866*(1-IFERROR(VLOOKUP(G866,Rabat!$D$10:$E$41,2,FALSE),0))</f>
        <v>64.75</v>
      </c>
      <c r="J866" t="s">
        <v>1902</v>
      </c>
      <c r="K866" t="s">
        <v>2528</v>
      </c>
      <c r="L866" t="s">
        <v>1901</v>
      </c>
      <c r="M866">
        <v>20</v>
      </c>
      <c r="N866">
        <v>340</v>
      </c>
      <c r="O866" t="s">
        <v>3434</v>
      </c>
      <c r="P866" s="31" t="str">
        <f>HYPERLINK("https://b2b.kobi.pl/pl/product/12460,lampka-biurkowa-planty-clip-w-duo-2xe27-biala-kobi-design?currency=PLN")</f>
        <v>https://b2b.kobi.pl/pl/product/12460,lampka-biurkowa-planty-clip-w-duo-2xe27-biala-kobi-design?currency=PLN</v>
      </c>
      <c r="Q866" t="s">
        <v>15</v>
      </c>
      <c r="R866"/>
      <c r="S866" t="s">
        <v>2716</v>
      </c>
      <c r="T866"/>
      <c r="U866">
        <v>0.4</v>
      </c>
      <c r="V866">
        <v>0.49</v>
      </c>
      <c r="W866">
        <v>12.5</v>
      </c>
      <c r="X866">
        <v>12.5</v>
      </c>
      <c r="Y866">
        <v>20</v>
      </c>
    </row>
    <row r="867" spans="1:25" ht="60" customHeight="1" x14ac:dyDescent="0.25">
      <c r="A867"/>
      <c r="B867" t="s">
        <v>5</v>
      </c>
      <c r="C867" t="s">
        <v>780</v>
      </c>
      <c r="D867" t="s">
        <v>671</v>
      </c>
      <c r="E867" t="s">
        <v>2443</v>
      </c>
      <c r="F867" t="s">
        <v>2444</v>
      </c>
      <c r="G867" t="s">
        <v>783</v>
      </c>
      <c r="H867" s="30">
        <v>64.75</v>
      </c>
      <c r="I867" s="29">
        <f>H867*(1-IFERROR(VLOOKUP(G867,Rabat!$D$10:$E$41,2,FALSE),0))</f>
        <v>64.75</v>
      </c>
      <c r="J867" t="s">
        <v>1902</v>
      </c>
      <c r="K867" t="s">
        <v>2529</v>
      </c>
      <c r="L867" t="s">
        <v>1901</v>
      </c>
      <c r="M867">
        <v>20</v>
      </c>
      <c r="N867">
        <v>340</v>
      </c>
      <c r="O867" t="s">
        <v>3434</v>
      </c>
      <c r="P867" s="31" t="str">
        <f>HYPERLINK("https://b2b.kobi.pl/pl/product/12461,lampka-biurkowa-planty-clip-b-duo-2xe27-czarna-kobi-design?currency=PLN")</f>
        <v>https://b2b.kobi.pl/pl/product/12461,lampka-biurkowa-planty-clip-b-duo-2xe27-czarna-kobi-design?currency=PLN</v>
      </c>
      <c r="Q867" t="s">
        <v>15</v>
      </c>
      <c r="R867"/>
      <c r="S867" t="s">
        <v>2716</v>
      </c>
      <c r="T867"/>
      <c r="U867">
        <v>0.4</v>
      </c>
      <c r="V867">
        <v>0.49</v>
      </c>
      <c r="W867">
        <v>12.5</v>
      </c>
      <c r="X867">
        <v>12.5</v>
      </c>
      <c r="Y867">
        <v>20</v>
      </c>
    </row>
    <row r="868" spans="1:25" ht="60" customHeight="1" x14ac:dyDescent="0.25">
      <c r="A868"/>
      <c r="B868" t="s">
        <v>5</v>
      </c>
      <c r="C868" t="s">
        <v>780</v>
      </c>
      <c r="D868" t="s">
        <v>671</v>
      </c>
      <c r="E868" t="s">
        <v>2445</v>
      </c>
      <c r="F868" t="s">
        <v>2446</v>
      </c>
      <c r="G868" t="s">
        <v>783</v>
      </c>
      <c r="H868" s="30">
        <v>47.25</v>
      </c>
      <c r="I868" s="29">
        <f>H868*(1-IFERROR(VLOOKUP(G868,Rabat!$D$10:$E$41,2,FALSE),0))</f>
        <v>47.25</v>
      </c>
      <c r="J868" t="s">
        <v>1902</v>
      </c>
      <c r="K868" t="s">
        <v>2530</v>
      </c>
      <c r="L868" t="s">
        <v>1901</v>
      </c>
      <c r="M868">
        <v>50</v>
      </c>
      <c r="N868">
        <v>700</v>
      </c>
      <c r="O868" t="s">
        <v>3434</v>
      </c>
      <c r="P868" s="31" t="str">
        <f>HYPERLINK("https://b2b.kobi.pl/pl/product/9845,zarowka-do-roslin-led-planty-24w-e27-1200k-kobi-design?currency=PLN")</f>
        <v>https://b2b.kobi.pl/pl/product/9845,zarowka-do-roslin-led-planty-24w-e27-1200k-kobi-design?currency=PLN</v>
      </c>
      <c r="Q868" t="s">
        <v>15</v>
      </c>
      <c r="R868"/>
      <c r="S868" t="s">
        <v>2673</v>
      </c>
      <c r="T868"/>
      <c r="U868">
        <v>0.26</v>
      </c>
      <c r="V868">
        <v>0.28499999999999998</v>
      </c>
      <c r="W868">
        <v>8.5</v>
      </c>
      <c r="X868">
        <v>8.5</v>
      </c>
      <c r="Y868">
        <v>25</v>
      </c>
    </row>
    <row r="869" spans="1:25" ht="60" customHeight="1" x14ac:dyDescent="0.25">
      <c r="A869"/>
      <c r="B869" t="s">
        <v>5</v>
      </c>
      <c r="C869" t="s">
        <v>780</v>
      </c>
      <c r="D869" t="s">
        <v>671</v>
      </c>
      <c r="E869" t="s">
        <v>2447</v>
      </c>
      <c r="F869" t="s">
        <v>2448</v>
      </c>
      <c r="G869" t="s">
        <v>783</v>
      </c>
      <c r="H869" s="30">
        <v>73</v>
      </c>
      <c r="I869" s="29">
        <f>H869*(1-IFERROR(VLOOKUP(G869,Rabat!$D$10:$E$41,2,FALSE),0))</f>
        <v>73</v>
      </c>
      <c r="J869" t="s">
        <v>1902</v>
      </c>
      <c r="K869" t="s">
        <v>2531</v>
      </c>
      <c r="L869" t="s">
        <v>1901</v>
      </c>
      <c r="M869">
        <v>25</v>
      </c>
      <c r="N869">
        <v>400</v>
      </c>
      <c r="O869" t="s">
        <v>3434</v>
      </c>
      <c r="P869" s="31" t="str">
        <f>HYPERLINK("https://b2b.kobi.pl/pl/product/9846,zarowka-do-roslin-led-planty-40w-e27-1200k-kobi-design?currency=PLN")</f>
        <v>https://b2b.kobi.pl/pl/product/9846,zarowka-do-roslin-led-planty-40w-e27-1200k-kobi-design?currency=PLN</v>
      </c>
      <c r="Q869" t="s">
        <v>15</v>
      </c>
      <c r="R869"/>
      <c r="S869" t="s">
        <v>2673</v>
      </c>
      <c r="T869"/>
      <c r="U869">
        <v>0.36499999999999999</v>
      </c>
      <c r="V869">
        <v>0.44</v>
      </c>
      <c r="W869">
        <v>11.5</v>
      </c>
      <c r="X869">
        <v>11.5</v>
      </c>
      <c r="Y869">
        <v>20.5</v>
      </c>
    </row>
    <row r="870" spans="1:25" ht="60" customHeight="1" x14ac:dyDescent="0.25">
      <c r="A870"/>
      <c r="B870" t="s">
        <v>5</v>
      </c>
      <c r="C870" t="s">
        <v>780</v>
      </c>
      <c r="D870" t="s">
        <v>671</v>
      </c>
      <c r="E870" t="s">
        <v>2449</v>
      </c>
      <c r="F870" t="s">
        <v>2450</v>
      </c>
      <c r="G870" t="s">
        <v>783</v>
      </c>
      <c r="H870" s="30">
        <v>34.75</v>
      </c>
      <c r="I870" s="29">
        <f>H870*(1-IFERROR(VLOOKUP(G870,Rabat!$D$10:$E$41,2,FALSE),0))</f>
        <v>34.75</v>
      </c>
      <c r="J870" t="s">
        <v>1902</v>
      </c>
      <c r="K870" t="s">
        <v>2532</v>
      </c>
      <c r="L870" t="s">
        <v>1901</v>
      </c>
      <c r="M870">
        <v>30</v>
      </c>
      <c r="N870">
        <v>1680</v>
      </c>
      <c r="O870" t="s">
        <v>3434</v>
      </c>
      <c r="P870" s="31" t="str">
        <f>HYPERLINK("https://b2b.kobi.pl/pl/product/12464,lampa-do-roslin-led-growly-2x8-5w-kobi-design?currency=PLN")</f>
        <v>https://b2b.kobi.pl/pl/product/12464,lampa-do-roslin-led-growly-2x8-5w-kobi-design?currency=PLN</v>
      </c>
      <c r="Q870" t="s">
        <v>15</v>
      </c>
      <c r="R870"/>
      <c r="S870" t="s">
        <v>2711</v>
      </c>
      <c r="T870"/>
      <c r="U870">
        <v>8.5999999999999993E-2</v>
      </c>
      <c r="V870">
        <v>0.13500000000000001</v>
      </c>
      <c r="W870">
        <v>54</v>
      </c>
      <c r="X870">
        <v>3.2</v>
      </c>
      <c r="Y870">
        <v>3.2</v>
      </c>
    </row>
    <row r="871" spans="1:25" ht="60" customHeight="1" x14ac:dyDescent="0.25">
      <c r="A871"/>
      <c r="B871" t="s">
        <v>5</v>
      </c>
      <c r="C871" t="s">
        <v>780</v>
      </c>
      <c r="D871" t="s">
        <v>671</v>
      </c>
      <c r="E871" t="s">
        <v>2451</v>
      </c>
      <c r="F871" t="s">
        <v>2452</v>
      </c>
      <c r="G871" t="s">
        <v>783</v>
      </c>
      <c r="H871" s="30">
        <v>39.75</v>
      </c>
      <c r="I871" s="29">
        <f>H871*(1-IFERROR(VLOOKUP(G871,Rabat!$D$10:$E$41,2,FALSE),0))</f>
        <v>39.75</v>
      </c>
      <c r="J871" t="s">
        <v>1902</v>
      </c>
      <c r="K871" t="s">
        <v>2533</v>
      </c>
      <c r="L871" t="s">
        <v>1901</v>
      </c>
      <c r="M871">
        <v>25</v>
      </c>
      <c r="N871">
        <v>1000</v>
      </c>
      <c r="O871" t="s">
        <v>3434</v>
      </c>
      <c r="P871" s="31" t="str">
        <f>HYPERLINK("https://b2b.kobi.pl/pl/product/12462,lampa-do-roslin-led-growly-9w-kobi-design?currency=PLN")</f>
        <v>https://b2b.kobi.pl/pl/product/12462,lampa-do-roslin-led-growly-9w-kobi-design?currency=PLN</v>
      </c>
      <c r="Q871" t="s">
        <v>15</v>
      </c>
      <c r="R871"/>
      <c r="S871" t="s">
        <v>2711</v>
      </c>
      <c r="T871"/>
      <c r="U871">
        <v>0.113</v>
      </c>
      <c r="V871">
        <v>0.17499999999999999</v>
      </c>
      <c r="W871">
        <v>62</v>
      </c>
      <c r="X871">
        <v>3.5</v>
      </c>
      <c r="Y871">
        <v>4</v>
      </c>
    </row>
    <row r="872" spans="1:25" ht="60" customHeight="1" x14ac:dyDescent="0.25">
      <c r="A872"/>
      <c r="B872" t="s">
        <v>5</v>
      </c>
      <c r="C872" t="s">
        <v>780</v>
      </c>
      <c r="D872" t="s">
        <v>671</v>
      </c>
      <c r="E872" t="s">
        <v>2453</v>
      </c>
      <c r="F872" t="s">
        <v>2454</v>
      </c>
      <c r="G872" t="s">
        <v>783</v>
      </c>
      <c r="H872" s="30">
        <v>64.75</v>
      </c>
      <c r="I872" s="29">
        <f>H872*(1-IFERROR(VLOOKUP(G872,Rabat!$D$10:$E$41,2,FALSE),0))</f>
        <v>64.75</v>
      </c>
      <c r="J872" t="s">
        <v>1902</v>
      </c>
      <c r="K872" t="s">
        <v>2534</v>
      </c>
      <c r="L872" t="s">
        <v>1901</v>
      </c>
      <c r="M872">
        <v>25</v>
      </c>
      <c r="N872">
        <v>2025</v>
      </c>
      <c r="O872" t="s">
        <v>3434</v>
      </c>
      <c r="P872" s="31" t="str">
        <f>HYPERLINK("https://b2b.kobi.pl/pl/product/9847,lampa-do-roslin-led-growly-15w-kobi-design?currency=PLN")</f>
        <v>https://b2b.kobi.pl/pl/product/9847,lampa-do-roslin-led-growly-15w-kobi-design?currency=PLN</v>
      </c>
      <c r="Q872" t="s">
        <v>15</v>
      </c>
      <c r="R872"/>
      <c r="S872" t="s">
        <v>2711</v>
      </c>
      <c r="T872"/>
      <c r="U872">
        <v>0.10299999999999999</v>
      </c>
      <c r="V872">
        <v>0.12</v>
      </c>
      <c r="W872">
        <v>3</v>
      </c>
      <c r="X872">
        <v>3</v>
      </c>
      <c r="Y872">
        <v>6.2</v>
      </c>
    </row>
    <row r="873" spans="1:25" ht="60" customHeight="1" x14ac:dyDescent="0.25">
      <c r="A873"/>
      <c r="B873" t="s">
        <v>5</v>
      </c>
      <c r="C873" t="s">
        <v>780</v>
      </c>
      <c r="D873" t="s">
        <v>671</v>
      </c>
      <c r="E873" t="s">
        <v>2455</v>
      </c>
      <c r="F873" t="s">
        <v>2456</v>
      </c>
      <c r="G873" t="s">
        <v>783</v>
      </c>
      <c r="H873" s="30">
        <v>41.25</v>
      </c>
      <c r="I873" s="29">
        <f>H873*(1-IFERROR(VLOOKUP(G873,Rabat!$D$10:$E$41,2,FALSE),0))</f>
        <v>41.25</v>
      </c>
      <c r="J873" t="s">
        <v>1902</v>
      </c>
      <c r="K873" t="s">
        <v>2535</v>
      </c>
      <c r="L873" t="s">
        <v>1901</v>
      </c>
      <c r="M873">
        <v>100</v>
      </c>
      <c r="N873">
        <v>2000</v>
      </c>
      <c r="O873" t="s">
        <v>3434</v>
      </c>
      <c r="P873" s="31" t="str">
        <f>HYPERLINK("https://b2b.kobi.pl/pl/product/9848,przewod-ze-sterownikiem-led-growly-pc-3m-kobi-design?currency=PLN")</f>
        <v>https://b2b.kobi.pl/pl/product/9848,przewod-ze-sterownikiem-led-growly-pc-3m-kobi-design?currency=PLN</v>
      </c>
      <c r="Q873" t="s">
        <v>15</v>
      </c>
      <c r="R873"/>
      <c r="S873" t="s">
        <v>2729</v>
      </c>
      <c r="T873"/>
      <c r="U873">
        <v>0.11</v>
      </c>
      <c r="V873">
        <v>0.13</v>
      </c>
      <c r="W873">
        <v>15</v>
      </c>
      <c r="X873">
        <v>25</v>
      </c>
      <c r="Y873">
        <v>2</v>
      </c>
    </row>
    <row r="874" spans="1:25" ht="60" customHeight="1" x14ac:dyDescent="0.25">
      <c r="A874"/>
      <c r="B874" t="s">
        <v>5</v>
      </c>
      <c r="C874" t="s">
        <v>780</v>
      </c>
      <c r="D874" t="s">
        <v>671</v>
      </c>
      <c r="E874" t="s">
        <v>2317</v>
      </c>
      <c r="F874" t="s">
        <v>2318</v>
      </c>
      <c r="G874" t="s">
        <v>783</v>
      </c>
      <c r="H874" s="30">
        <v>37.5</v>
      </c>
      <c r="I874" s="29">
        <f>H874*(1-IFERROR(VLOOKUP(G874,Rabat!$D$10:$E$41,2,FALSE),0))</f>
        <v>37.5</v>
      </c>
      <c r="J874" t="s">
        <v>1902</v>
      </c>
      <c r="K874" t="s">
        <v>2352</v>
      </c>
      <c r="L874" t="s">
        <v>1901</v>
      </c>
      <c r="M874">
        <v>50</v>
      </c>
      <c r="N874">
        <v>1800</v>
      </c>
      <c r="O874" t="s">
        <v>3434</v>
      </c>
      <c r="P874" s="31" t="str">
        <f>HYPERLINK("https://b2b.kobi.pl/pl/product/12463,przewod-ze-sterownikiem-led-growly-pc3-3m-kobi-design?currency=PLN")</f>
        <v>https://b2b.kobi.pl/pl/product/12463,przewod-ze-sterownikiem-led-growly-pc3-3m-kobi-design?currency=PLN</v>
      </c>
      <c r="Q874" t="s">
        <v>15</v>
      </c>
      <c r="R874"/>
      <c r="S874" t="s">
        <v>2729</v>
      </c>
      <c r="T874"/>
      <c r="U874">
        <v>0.14499999999999999</v>
      </c>
      <c r="V874">
        <v>0.16500000000000001</v>
      </c>
      <c r="W874">
        <v>1.5</v>
      </c>
      <c r="X874">
        <v>2.5</v>
      </c>
      <c r="Y874">
        <v>0.5</v>
      </c>
    </row>
    <row r="875" spans="1:25" ht="60" customHeight="1" x14ac:dyDescent="0.25">
      <c r="A875"/>
      <c r="B875" t="s">
        <v>5</v>
      </c>
      <c r="C875" t="s">
        <v>780</v>
      </c>
      <c r="D875" t="s">
        <v>671</v>
      </c>
      <c r="E875" t="s">
        <v>1554</v>
      </c>
      <c r="F875" t="s">
        <v>1555</v>
      </c>
      <c r="G875" t="s">
        <v>783</v>
      </c>
      <c r="H875" s="30">
        <v>15.33</v>
      </c>
      <c r="I875" s="29">
        <f>H875*(1-IFERROR(VLOOKUP(G875,Rabat!$D$10:$E$41,2,FALSE),0))</f>
        <v>15.33</v>
      </c>
      <c r="J875" t="s">
        <v>1902</v>
      </c>
      <c r="K875" t="s">
        <v>523</v>
      </c>
      <c r="L875" t="s">
        <v>1901</v>
      </c>
      <c r="M875">
        <v>50</v>
      </c>
      <c r="N875">
        <v>2100</v>
      </c>
      <c r="O875" t="s">
        <v>3434</v>
      </c>
      <c r="P875" s="31" t="str">
        <f>HYPERLINK("https://b2b.kobi.pl/pl/product/9849,zarowka-do-roslin-led-planty-fgs-8w-e27-1200k-kobi-design?currency=PLN")</f>
        <v>https://b2b.kobi.pl/pl/product/9849,zarowka-do-roslin-led-planty-fgs-8w-e27-1200k-kobi-design?currency=PLN</v>
      </c>
      <c r="Q875" t="s">
        <v>15</v>
      </c>
      <c r="R875"/>
      <c r="S875" t="s">
        <v>2673</v>
      </c>
      <c r="T875"/>
      <c r="U875">
        <v>0.03</v>
      </c>
      <c r="V875">
        <v>0.05</v>
      </c>
      <c r="W875">
        <v>6</v>
      </c>
      <c r="X875">
        <v>6</v>
      </c>
      <c r="Y875">
        <v>11</v>
      </c>
    </row>
    <row r="876" spans="1:25" ht="60" customHeight="1" x14ac:dyDescent="0.25">
      <c r="A876"/>
      <c r="B876" t="s">
        <v>5</v>
      </c>
      <c r="C876" t="s">
        <v>780</v>
      </c>
      <c r="D876" t="s">
        <v>671</v>
      </c>
      <c r="E876" t="s">
        <v>2319</v>
      </c>
      <c r="F876" t="s">
        <v>2320</v>
      </c>
      <c r="G876" t="s">
        <v>783</v>
      </c>
      <c r="H876" s="30">
        <v>17.88</v>
      </c>
      <c r="I876" s="29">
        <f>H876*(1-IFERROR(VLOOKUP(G876,Rabat!$D$10:$E$41,2,FALSE),0))</f>
        <v>17.88</v>
      </c>
      <c r="J876" t="s">
        <v>1902</v>
      </c>
      <c r="K876" t="s">
        <v>2353</v>
      </c>
      <c r="L876" t="s">
        <v>1901</v>
      </c>
      <c r="M876">
        <v>100</v>
      </c>
      <c r="N876">
        <v>1800</v>
      </c>
      <c r="O876" t="s">
        <v>3434</v>
      </c>
      <c r="P876" s="31" t="str">
        <f>HYPERLINK("https://b2b.kobi.pl/pl/product/12457,zarowka-do-roslin-led-planty-gs-11w-e27-1200k-kobi-design?currency=PLN")</f>
        <v>https://b2b.kobi.pl/pl/product/12457,zarowka-do-roslin-led-planty-gs-11w-e27-1200k-kobi-design?currency=PLN</v>
      </c>
      <c r="Q876" t="s">
        <v>15</v>
      </c>
      <c r="R876"/>
      <c r="S876" t="s">
        <v>2673</v>
      </c>
      <c r="T876"/>
      <c r="U876">
        <v>4.5999999999999999E-2</v>
      </c>
      <c r="V876">
        <v>7.4999999999999997E-2</v>
      </c>
      <c r="W876">
        <v>6</v>
      </c>
      <c r="X876">
        <v>6</v>
      </c>
      <c r="Y876">
        <v>12</v>
      </c>
    </row>
    <row r="877" spans="1:25" ht="60" customHeight="1" x14ac:dyDescent="0.25">
      <c r="A877"/>
      <c r="B877" t="s">
        <v>5</v>
      </c>
      <c r="C877" t="s">
        <v>780</v>
      </c>
      <c r="D877" t="s">
        <v>671</v>
      </c>
      <c r="E877" t="s">
        <v>788</v>
      </c>
      <c r="F877" t="s">
        <v>789</v>
      </c>
      <c r="G877" t="s">
        <v>783</v>
      </c>
      <c r="H877" s="30">
        <v>74.75</v>
      </c>
      <c r="I877" s="29">
        <f>H877*(1-IFERROR(VLOOKUP(G877,Rabat!$D$10:$E$41,2,FALSE),0))</f>
        <v>74.75</v>
      </c>
      <c r="J877" t="s">
        <v>1902</v>
      </c>
      <c r="K877" t="s">
        <v>525</v>
      </c>
      <c r="L877" t="s">
        <v>1901</v>
      </c>
      <c r="M877">
        <v>16</v>
      </c>
      <c r="N877">
        <v>384</v>
      </c>
      <c r="O877" t="s">
        <v>3434</v>
      </c>
      <c r="P877" s="31" t="str">
        <f>HYPERLINK("https://b2b.kobi.pl/pl/product/9850,lampa-do-roslin-led-vitaro-3-clip-10w-kobi-design?currency=PLN")</f>
        <v>https://b2b.kobi.pl/pl/product/9850,lampa-do-roslin-led-vitaro-3-clip-10w-kobi-design?currency=PLN</v>
      </c>
      <c r="Q877" t="s">
        <v>15</v>
      </c>
      <c r="R877"/>
      <c r="S877" t="s">
        <v>2717</v>
      </c>
      <c r="T877"/>
      <c r="U877">
        <v>0.35680000000000001</v>
      </c>
      <c r="V877">
        <v>0.51500000000000001</v>
      </c>
      <c r="W877">
        <v>36</v>
      </c>
      <c r="X877">
        <v>14</v>
      </c>
      <c r="Y877">
        <v>8.5</v>
      </c>
    </row>
    <row r="878" spans="1:25" ht="60" customHeight="1" x14ac:dyDescent="0.25">
      <c r="A878"/>
      <c r="B878" t="s">
        <v>5</v>
      </c>
      <c r="C878" t="s">
        <v>780</v>
      </c>
      <c r="D878" t="s">
        <v>671</v>
      </c>
      <c r="E878" t="s">
        <v>792</v>
      </c>
      <c r="F878" t="s">
        <v>793</v>
      </c>
      <c r="G878" t="s">
        <v>783</v>
      </c>
      <c r="H878" s="30">
        <v>89.75</v>
      </c>
      <c r="I878" s="29">
        <f>H878*(1-IFERROR(VLOOKUP(G878,Rabat!$D$10:$E$41,2,FALSE),0))</f>
        <v>89.75</v>
      </c>
      <c r="J878" t="s">
        <v>1902</v>
      </c>
      <c r="K878" t="s">
        <v>527</v>
      </c>
      <c r="L878" t="s">
        <v>1901</v>
      </c>
      <c r="M878">
        <v>16</v>
      </c>
      <c r="N878">
        <v>320</v>
      </c>
      <c r="O878" t="s">
        <v>3434</v>
      </c>
      <c r="P878" s="31" t="str">
        <f>HYPERLINK("https://b2b.kobi.pl/pl/product/9851,lampa-do-roslin-led-vitaro-4-clip-10w-kobi-design?currency=PLN")</f>
        <v>https://b2b.kobi.pl/pl/product/9851,lampa-do-roslin-led-vitaro-4-clip-10w-kobi-design?currency=PLN</v>
      </c>
      <c r="Q878" t="s">
        <v>15</v>
      </c>
      <c r="R878"/>
      <c r="S878" t="s">
        <v>2717</v>
      </c>
      <c r="T878"/>
      <c r="U878">
        <v>0.56000000000000005</v>
      </c>
      <c r="V878">
        <v>0.59499999999999997</v>
      </c>
      <c r="W878">
        <v>36</v>
      </c>
      <c r="X878">
        <v>14</v>
      </c>
      <c r="Y878">
        <v>8.5</v>
      </c>
    </row>
    <row r="879" spans="1:25" ht="60" customHeight="1" x14ac:dyDescent="0.25">
      <c r="A879"/>
      <c r="B879" t="s">
        <v>5</v>
      </c>
      <c r="C879" t="s">
        <v>780</v>
      </c>
      <c r="D879" t="s">
        <v>671</v>
      </c>
      <c r="E879" t="s">
        <v>790</v>
      </c>
      <c r="F879" t="s">
        <v>791</v>
      </c>
      <c r="G879" t="s">
        <v>783</v>
      </c>
      <c r="H879" s="30">
        <v>84.75</v>
      </c>
      <c r="I879" s="29">
        <f>H879*(1-IFERROR(VLOOKUP(G879,Rabat!$D$10:$E$41,2,FALSE),0))</f>
        <v>84.75</v>
      </c>
      <c r="J879" t="s">
        <v>1902</v>
      </c>
      <c r="K879" t="s">
        <v>526</v>
      </c>
      <c r="L879" t="s">
        <v>1901</v>
      </c>
      <c r="M879">
        <v>16</v>
      </c>
      <c r="N879">
        <v>400</v>
      </c>
      <c r="O879" t="s">
        <v>3434</v>
      </c>
      <c r="P879" s="31" t="str">
        <f>HYPERLINK("https://b2b.kobi.pl/pl/product/9852,lampa-do-roslin-led-vitaro-3-st-mini-10w?currency=PLN")</f>
        <v>https://b2b.kobi.pl/pl/product/9852,lampa-do-roslin-led-vitaro-3-st-mini-10w?currency=PLN</v>
      </c>
      <c r="Q879" t="s">
        <v>15</v>
      </c>
      <c r="R879"/>
      <c r="S879" t="s">
        <v>2717</v>
      </c>
      <c r="T879"/>
      <c r="U879">
        <v>0.623</v>
      </c>
      <c r="V879">
        <v>0.73</v>
      </c>
      <c r="W879">
        <v>31</v>
      </c>
      <c r="X879">
        <v>12.5</v>
      </c>
      <c r="Y879">
        <v>7.5</v>
      </c>
    </row>
    <row r="880" spans="1:25" ht="60" customHeight="1" x14ac:dyDescent="0.25">
      <c r="A880"/>
      <c r="B880" t="s">
        <v>5</v>
      </c>
      <c r="C880" t="s">
        <v>780</v>
      </c>
      <c r="D880" t="s">
        <v>671</v>
      </c>
      <c r="E880" t="s">
        <v>796</v>
      </c>
      <c r="F880" t="s">
        <v>797</v>
      </c>
      <c r="G880" t="s">
        <v>783</v>
      </c>
      <c r="H880" s="30">
        <v>99.75</v>
      </c>
      <c r="I880" s="29">
        <f>H880*(1-IFERROR(VLOOKUP(G880,Rabat!$D$10:$E$41,2,FALSE),0))</f>
        <v>99.75</v>
      </c>
      <c r="J880" t="s">
        <v>1902</v>
      </c>
      <c r="K880" t="s">
        <v>529</v>
      </c>
      <c r="L880" t="s">
        <v>1901</v>
      </c>
      <c r="M880">
        <v>16</v>
      </c>
      <c r="N880">
        <v>400</v>
      </c>
      <c r="O880" t="s">
        <v>3434</v>
      </c>
      <c r="P880" s="31" t="str">
        <f>HYPERLINK("https://b2b.kobi.pl/pl/product/9853,lampa-do-roslin-led-vitaro-4-st-mini-10w?currency=PLN")</f>
        <v>https://b2b.kobi.pl/pl/product/9853,lampa-do-roslin-led-vitaro-4-st-mini-10w?currency=PLN</v>
      </c>
      <c r="Q880" t="s">
        <v>15</v>
      </c>
      <c r="R880"/>
      <c r="S880" t="s">
        <v>2717</v>
      </c>
      <c r="T880"/>
      <c r="U880">
        <v>0.66300000000000003</v>
      </c>
      <c r="V880">
        <v>0.76800000000000002</v>
      </c>
      <c r="W880">
        <v>31</v>
      </c>
      <c r="X880">
        <v>12.5</v>
      </c>
      <c r="Y880">
        <v>7.5</v>
      </c>
    </row>
    <row r="881" spans="1:25" ht="60" customHeight="1" x14ac:dyDescent="0.25">
      <c r="A881"/>
      <c r="B881" t="s">
        <v>5</v>
      </c>
      <c r="C881" t="s">
        <v>780</v>
      </c>
      <c r="D881" t="s">
        <v>671</v>
      </c>
      <c r="E881" t="s">
        <v>794</v>
      </c>
      <c r="F881" t="s">
        <v>795</v>
      </c>
      <c r="G881" t="s">
        <v>783</v>
      </c>
      <c r="H881" s="30">
        <v>174.75</v>
      </c>
      <c r="I881" s="29">
        <f>H881*(1-IFERROR(VLOOKUP(G881,Rabat!$D$10:$E$41,2,FALSE),0))</f>
        <v>174.75</v>
      </c>
      <c r="J881" t="s">
        <v>1902</v>
      </c>
      <c r="K881" t="s">
        <v>528</v>
      </c>
      <c r="L881" t="s">
        <v>1901</v>
      </c>
      <c r="M881">
        <v>8</v>
      </c>
      <c r="N881">
        <v>160</v>
      </c>
      <c r="O881" t="s">
        <v>3434</v>
      </c>
      <c r="P881" s="31" t="str">
        <f>HYPERLINK("https://b2b.kobi.pl/pl/product/9854,lampa-do-roslin-led-vitaro-4-st-30w-kobi-design?currency=PLN")</f>
        <v>https://b2b.kobi.pl/pl/product/9854,lampa-do-roslin-led-vitaro-4-st-30w-kobi-design?currency=PLN</v>
      </c>
      <c r="Q881" t="s">
        <v>15</v>
      </c>
      <c r="R881"/>
      <c r="S881" t="s">
        <v>2717</v>
      </c>
      <c r="T881"/>
      <c r="U881">
        <v>0.83399999999999996</v>
      </c>
      <c r="V881">
        <v>1.0449999999999999</v>
      </c>
      <c r="W881">
        <v>12</v>
      </c>
      <c r="X881">
        <v>68</v>
      </c>
      <c r="Y881">
        <v>9</v>
      </c>
    </row>
    <row r="882" spans="1:25" ht="60" customHeight="1" x14ac:dyDescent="0.25">
      <c r="A882"/>
      <c r="B882" t="s">
        <v>5</v>
      </c>
      <c r="C882" t="s">
        <v>780</v>
      </c>
      <c r="D882" t="s">
        <v>671</v>
      </c>
      <c r="E882" t="s">
        <v>2321</v>
      </c>
      <c r="F882" t="s">
        <v>2322</v>
      </c>
      <c r="G882" t="s">
        <v>783</v>
      </c>
      <c r="H882" s="30">
        <v>74.75</v>
      </c>
      <c r="I882" s="29">
        <f>H882*(1-IFERROR(VLOOKUP(G882,Rabat!$D$10:$E$41,2,FALSE),0))</f>
        <v>74.75</v>
      </c>
      <c r="J882" t="s">
        <v>1902</v>
      </c>
      <c r="K882" t="s">
        <v>2354</v>
      </c>
      <c r="L882" t="s">
        <v>1901</v>
      </c>
      <c r="M882">
        <v>20</v>
      </c>
      <c r="N882">
        <v>320</v>
      </c>
      <c r="O882" t="s">
        <v>3434</v>
      </c>
      <c r="P882" s="31" t="str">
        <f>HYPERLINK("https://b2b.kobi.pl/pl/product/12458,lampa-do-roslin-led-vitaro-ring-2-clip-8w-kobi-design?currency=PLN")</f>
        <v>https://b2b.kobi.pl/pl/product/12458,lampa-do-roslin-led-vitaro-ring-2-clip-8w-kobi-design?currency=PLN</v>
      </c>
      <c r="Q882" t="s">
        <v>15</v>
      </c>
      <c r="R882"/>
      <c r="S882" t="s">
        <v>2717</v>
      </c>
      <c r="T882"/>
      <c r="U882">
        <v>0.433</v>
      </c>
      <c r="V882">
        <v>0.56499999999999995</v>
      </c>
      <c r="W882">
        <v>9</v>
      </c>
      <c r="X882">
        <v>11.5</v>
      </c>
      <c r="Y882">
        <v>32</v>
      </c>
    </row>
    <row r="883" spans="1:25" ht="60" customHeight="1" x14ac:dyDescent="0.25">
      <c r="A883"/>
      <c r="B883" t="s">
        <v>5</v>
      </c>
      <c r="C883" t="s">
        <v>780</v>
      </c>
      <c r="D883" t="s">
        <v>671</v>
      </c>
      <c r="E883" t="s">
        <v>2323</v>
      </c>
      <c r="F883" t="s">
        <v>2324</v>
      </c>
      <c r="G883" t="s">
        <v>783</v>
      </c>
      <c r="H883" s="30">
        <v>87.25</v>
      </c>
      <c r="I883" s="29">
        <f>H883*(1-IFERROR(VLOOKUP(G883,Rabat!$D$10:$E$41,2,FALSE),0))</f>
        <v>87.25</v>
      </c>
      <c r="J883" t="s">
        <v>1902</v>
      </c>
      <c r="K883" t="s">
        <v>2355</v>
      </c>
      <c r="L883" t="s">
        <v>1901</v>
      </c>
      <c r="M883">
        <v>8</v>
      </c>
      <c r="N883">
        <v>120</v>
      </c>
      <c r="O883" t="s">
        <v>3434</v>
      </c>
      <c r="P883" s="31" t="str">
        <f>HYPERLINK("https://b2b.kobi.pl/pl/product/12459,lampa-do-roslin-led-firon-45w-kobi-design?currency=PLN")</f>
        <v>https://b2b.kobi.pl/pl/product/12459,lampa-do-roslin-led-firon-45w-kobi-design?currency=PLN</v>
      </c>
      <c r="Q883" t="s">
        <v>15</v>
      </c>
      <c r="R883"/>
      <c r="S883" t="s">
        <v>2717</v>
      </c>
      <c r="T883"/>
      <c r="U883">
        <v>0.93</v>
      </c>
      <c r="V883">
        <v>1.1299999999999999</v>
      </c>
      <c r="W883">
        <v>70</v>
      </c>
      <c r="X883">
        <v>32</v>
      </c>
      <c r="Y883">
        <v>34</v>
      </c>
    </row>
    <row r="884" spans="1:25" ht="60" customHeight="1" x14ac:dyDescent="0.25">
      <c r="A884"/>
      <c r="B884" t="s">
        <v>2223</v>
      </c>
      <c r="C884" t="s">
        <v>2224</v>
      </c>
      <c r="D884" t="s">
        <v>2225</v>
      </c>
      <c r="E884" t="s">
        <v>2226</v>
      </c>
      <c r="F884" t="s">
        <v>2227</v>
      </c>
      <c r="G884" t="s">
        <v>2228</v>
      </c>
      <c r="H884" s="30">
        <v>181.13</v>
      </c>
      <c r="I884" s="29">
        <f>H884*(1-IFERROR(VLOOKUP(G884,Rabat!$D$10:$E$41,2,FALSE),0))</f>
        <v>181.13</v>
      </c>
      <c r="J884" t="s">
        <v>1902</v>
      </c>
      <c r="K884" t="s">
        <v>2260</v>
      </c>
      <c r="L884" t="s">
        <v>1901</v>
      </c>
      <c r="M884">
        <v>1</v>
      </c>
      <c r="N884">
        <v>55</v>
      </c>
      <c r="O884" t="s">
        <v>3434</v>
      </c>
      <c r="P884" s="31" t="str">
        <f>HYPERLINK("https://b2b.kobi.pl/pl/product/9770,wentylator-wiezowy-hoorn-45w-czarny-kobi?currency=PLN")</f>
        <v>https://b2b.kobi.pl/pl/product/9770,wentylator-wiezowy-hoorn-45w-czarny-kobi?currency=PLN</v>
      </c>
      <c r="Q884" t="s">
        <v>15</v>
      </c>
      <c r="R884"/>
      <c r="S884" t="s">
        <v>2730</v>
      </c>
      <c r="T884"/>
      <c r="U884">
        <v>2</v>
      </c>
      <c r="V884">
        <v>2.39</v>
      </c>
      <c r="W884">
        <v>84.5</v>
      </c>
      <c r="X884">
        <v>15.5</v>
      </c>
      <c r="Y884">
        <v>17</v>
      </c>
    </row>
    <row r="885" spans="1:25" ht="60" customHeight="1" x14ac:dyDescent="0.25">
      <c r="A885"/>
      <c r="B885" t="s">
        <v>2223</v>
      </c>
      <c r="C885" t="s">
        <v>2224</v>
      </c>
      <c r="D885" t="s">
        <v>2225</v>
      </c>
      <c r="E885" t="s">
        <v>2229</v>
      </c>
      <c r="F885" t="s">
        <v>2230</v>
      </c>
      <c r="G885" t="s">
        <v>2228</v>
      </c>
      <c r="H885" s="30">
        <v>134.75</v>
      </c>
      <c r="I885" s="29">
        <f>H885*(1-IFERROR(VLOOKUP(G885,Rabat!$D$10:$E$41,2,FALSE),0))</f>
        <v>134.75</v>
      </c>
      <c r="J885" t="s">
        <v>1902</v>
      </c>
      <c r="K885" t="s">
        <v>2261</v>
      </c>
      <c r="L885" t="s">
        <v>1901</v>
      </c>
      <c r="M885">
        <v>1</v>
      </c>
      <c r="N885">
        <v>60</v>
      </c>
      <c r="O885" t="s">
        <v>3434</v>
      </c>
      <c r="P885" s="31" t="str">
        <f>HYPERLINK("https://b2b.kobi.pl/pl/product/9771,wentylator-wiezowy-venlo-45w-czarny-kobi?currency=PLN")</f>
        <v>https://b2b.kobi.pl/pl/product/9771,wentylator-wiezowy-venlo-45w-czarny-kobi?currency=PLN</v>
      </c>
      <c r="Q885" t="s">
        <v>15</v>
      </c>
      <c r="R885"/>
      <c r="S885" t="s">
        <v>2730</v>
      </c>
      <c r="T885"/>
      <c r="U885">
        <v>1.82</v>
      </c>
      <c r="V885">
        <v>2.5</v>
      </c>
      <c r="W885">
        <v>16.5</v>
      </c>
      <c r="X885">
        <v>15.5</v>
      </c>
      <c r="Y885">
        <v>81.5</v>
      </c>
    </row>
    <row r="886" spans="1:25" ht="60" customHeight="1" x14ac:dyDescent="0.25">
      <c r="A886"/>
      <c r="B886" t="s">
        <v>2223</v>
      </c>
      <c r="C886" t="s">
        <v>2224</v>
      </c>
      <c r="D886" t="s">
        <v>2225</v>
      </c>
      <c r="E886" t="s">
        <v>2594</v>
      </c>
      <c r="F886" t="s">
        <v>2231</v>
      </c>
      <c r="G886" t="s">
        <v>2228</v>
      </c>
      <c r="H886" s="30">
        <v>272.5</v>
      </c>
      <c r="I886" s="29">
        <f>H886*(1-IFERROR(VLOOKUP(G886,Rabat!$D$10:$E$41,2,FALSE),0))</f>
        <v>272.5</v>
      </c>
      <c r="J886" t="s">
        <v>1902</v>
      </c>
      <c r="K886" t="s">
        <v>2262</v>
      </c>
      <c r="L886" t="s">
        <v>1901</v>
      </c>
      <c r="M886">
        <v>1</v>
      </c>
      <c r="N886">
        <v>20</v>
      </c>
      <c r="O886" t="s">
        <v>3438</v>
      </c>
      <c r="P886" s="31" t="str">
        <f>HYPERLINK("https://b2b.kobi.pl/pl/product/10755,wentylator-podlogowy-viento-100w-kobi-windstar?currency=PLN")</f>
        <v>https://b2b.kobi.pl/pl/product/10755,wentylator-podlogowy-viento-100w-kobi-windstar?currency=PLN</v>
      </c>
      <c r="Q886" t="s">
        <v>15</v>
      </c>
      <c r="R886"/>
      <c r="S886" t="s">
        <v>2730</v>
      </c>
      <c r="T886"/>
      <c r="U886">
        <v>4.95</v>
      </c>
      <c r="V886">
        <v>5.56</v>
      </c>
      <c r="W886">
        <v>54.5</v>
      </c>
      <c r="X886">
        <v>56.5</v>
      </c>
      <c r="Y886">
        <v>21.5</v>
      </c>
    </row>
    <row r="887" spans="1:25" ht="60" customHeight="1" x14ac:dyDescent="0.25">
      <c r="A887"/>
      <c r="B887" t="s">
        <v>2223</v>
      </c>
      <c r="C887" t="s">
        <v>2224</v>
      </c>
      <c r="D887" t="s">
        <v>2225</v>
      </c>
      <c r="E887" t="s">
        <v>2232</v>
      </c>
      <c r="F887" t="s">
        <v>2233</v>
      </c>
      <c r="G887" t="s">
        <v>2228</v>
      </c>
      <c r="H887" s="30">
        <v>74.75</v>
      </c>
      <c r="I887" s="29">
        <f>H887*(1-IFERROR(VLOOKUP(G887,Rabat!$D$10:$E$41,2,FALSE),0))</f>
        <v>74.75</v>
      </c>
      <c r="J887" t="s">
        <v>1902</v>
      </c>
      <c r="K887" t="s">
        <v>2263</v>
      </c>
      <c r="L887" t="s">
        <v>1901</v>
      </c>
      <c r="M887">
        <v>24</v>
      </c>
      <c r="N887">
        <v>288</v>
      </c>
      <c r="O887" t="s">
        <v>3434</v>
      </c>
      <c r="P887" s="31" t="str">
        <f>HYPERLINK("https://b2b.kobi.pl/pl/product/12123,wentylator-biurkowy-viento-clip-bialy-kobi-windstar?currency=PLN")</f>
        <v>https://b2b.kobi.pl/pl/product/12123,wentylator-biurkowy-viento-clip-bialy-kobi-windstar?currency=PLN</v>
      </c>
      <c r="Q887" t="s">
        <v>15</v>
      </c>
      <c r="R887"/>
      <c r="S887" t="s">
        <v>2730</v>
      </c>
      <c r="T887"/>
      <c r="U887">
        <v>0.3</v>
      </c>
      <c r="V887">
        <v>0.35</v>
      </c>
      <c r="W887">
        <v>12.5</v>
      </c>
      <c r="X887">
        <v>15.5</v>
      </c>
      <c r="Y887">
        <v>20.5</v>
      </c>
    </row>
    <row r="888" spans="1:25" ht="60" customHeight="1" x14ac:dyDescent="0.25">
      <c r="A888"/>
      <c r="B888" t="s">
        <v>2223</v>
      </c>
      <c r="C888" t="s">
        <v>2224</v>
      </c>
      <c r="D888" t="s">
        <v>2225</v>
      </c>
      <c r="E888" t="s">
        <v>2234</v>
      </c>
      <c r="F888" t="s">
        <v>2235</v>
      </c>
      <c r="G888" t="s">
        <v>2228</v>
      </c>
      <c r="H888" s="30">
        <v>74.75</v>
      </c>
      <c r="I888" s="29">
        <f>H888*(1-IFERROR(VLOOKUP(G888,Rabat!$D$10:$E$41,2,FALSE),0))</f>
        <v>74.75</v>
      </c>
      <c r="J888" t="s">
        <v>1902</v>
      </c>
      <c r="K888" t="s">
        <v>2264</v>
      </c>
      <c r="L888" t="s">
        <v>1901</v>
      </c>
      <c r="M888">
        <v>24</v>
      </c>
      <c r="N888">
        <v>288</v>
      </c>
      <c r="O888" t="s">
        <v>3434</v>
      </c>
      <c r="P888" s="31" t="str">
        <f>HYPERLINK("https://b2b.kobi.pl/pl/product/12122,wentylator-biurkowy-viento-clip-czarny-kobi-windstar?currency=PLN")</f>
        <v>https://b2b.kobi.pl/pl/product/12122,wentylator-biurkowy-viento-clip-czarny-kobi-windstar?currency=PLN</v>
      </c>
      <c r="Q888" t="s">
        <v>15</v>
      </c>
      <c r="R888"/>
      <c r="S888" t="s">
        <v>2730</v>
      </c>
      <c r="T888"/>
      <c r="U888">
        <v>0.3</v>
      </c>
      <c r="V888">
        <v>0.35</v>
      </c>
      <c r="W888">
        <v>12.5</v>
      </c>
      <c r="X888">
        <v>15.5</v>
      </c>
      <c r="Y888">
        <v>20.5</v>
      </c>
    </row>
    <row r="889" spans="1:25" ht="60" customHeight="1" x14ac:dyDescent="0.25">
      <c r="A889"/>
      <c r="B889" t="s">
        <v>2223</v>
      </c>
      <c r="C889" t="s">
        <v>2224</v>
      </c>
      <c r="D889" t="s">
        <v>2225</v>
      </c>
      <c r="E889" t="s">
        <v>3306</v>
      </c>
      <c r="F889" t="s">
        <v>3307</v>
      </c>
      <c r="G889" t="s">
        <v>2228</v>
      </c>
      <c r="H889" s="30">
        <v>121.25</v>
      </c>
      <c r="I889" s="29">
        <f>H889*(1-IFERROR(VLOOKUP(G889,Rabat!$D$10:$E$41,2,FALSE),0))</f>
        <v>121.25</v>
      </c>
      <c r="J889" t="s">
        <v>1902</v>
      </c>
      <c r="K889" t="s">
        <v>3345</v>
      </c>
      <c r="L889" t="s">
        <v>1901</v>
      </c>
      <c r="M889">
        <v>1</v>
      </c>
      <c r="N889">
        <v>52</v>
      </c>
      <c r="O889" t="s">
        <v>3438</v>
      </c>
      <c r="P889" s="31" t="str">
        <f>HYPERLINK("https://b2b.kobi.pl/pl/product/10757,wentylator-podlogowy-viento-45w-czarny-kobi-windstar?currency=PLN")</f>
        <v>https://b2b.kobi.pl/pl/product/10757,wentylator-podlogowy-viento-45w-czarny-kobi-windstar?currency=PLN</v>
      </c>
      <c r="Q889" t="s">
        <v>15</v>
      </c>
      <c r="R889"/>
      <c r="S889" t="s">
        <v>2730</v>
      </c>
      <c r="T889"/>
      <c r="U889">
        <v>2.2599999999999998</v>
      </c>
      <c r="V889">
        <v>2.65</v>
      </c>
      <c r="W889">
        <v>48</v>
      </c>
      <c r="X889">
        <v>44</v>
      </c>
      <c r="Y889">
        <v>13.5</v>
      </c>
    </row>
    <row r="890" spans="1:25" ht="60" customHeight="1" x14ac:dyDescent="0.25">
      <c r="A890"/>
      <c r="B890" t="s">
        <v>2223</v>
      </c>
      <c r="C890" t="s">
        <v>2224</v>
      </c>
      <c r="D890" t="s">
        <v>2225</v>
      </c>
      <c r="E890" t="s">
        <v>2236</v>
      </c>
      <c r="F890" t="s">
        <v>2237</v>
      </c>
      <c r="G890" t="s">
        <v>2228</v>
      </c>
      <c r="H890" s="30">
        <v>212.25</v>
      </c>
      <c r="I890" s="29">
        <f>H890*(1-IFERROR(VLOOKUP(G890,Rabat!$D$10:$E$41,2,FALSE),0))</f>
        <v>212.25</v>
      </c>
      <c r="J890" t="s">
        <v>1902</v>
      </c>
      <c r="K890" t="s">
        <v>2265</v>
      </c>
      <c r="L890" t="s">
        <v>1901</v>
      </c>
      <c r="M890">
        <v>1</v>
      </c>
      <c r="N890">
        <v>40</v>
      </c>
      <c r="O890" t="s">
        <v>3434</v>
      </c>
      <c r="P890" s="31" t="str">
        <f>HYPERLINK("https://b2b.kobi.pl/pl/product/12121,wentylator-wiezowy-lisse-2-st-45w-czarny-kobi-windstar?currency=PLN")</f>
        <v>https://b2b.kobi.pl/pl/product/12121,wentylator-wiezowy-lisse-2-st-45w-czarny-kobi-windstar?currency=PLN</v>
      </c>
      <c r="Q890" t="s">
        <v>15</v>
      </c>
      <c r="R890"/>
      <c r="S890" t="s">
        <v>2730</v>
      </c>
      <c r="T890"/>
      <c r="U890">
        <v>2.2000000000000002</v>
      </c>
      <c r="V890">
        <v>2.6</v>
      </c>
      <c r="W890">
        <v>18.5</v>
      </c>
      <c r="X890">
        <v>18.5</v>
      </c>
      <c r="Y890">
        <v>93.5</v>
      </c>
    </row>
    <row r="891" spans="1:25" ht="60" customHeight="1" x14ac:dyDescent="0.25">
      <c r="A891"/>
      <c r="B891" t="s">
        <v>2223</v>
      </c>
      <c r="C891" t="s">
        <v>2224</v>
      </c>
      <c r="D891" t="s">
        <v>2225</v>
      </c>
      <c r="E891" t="s">
        <v>2238</v>
      </c>
      <c r="F891" t="s">
        <v>2239</v>
      </c>
      <c r="G891" t="s">
        <v>2228</v>
      </c>
      <c r="H891" s="30">
        <v>147.5</v>
      </c>
      <c r="I891" s="29">
        <f>H891*(1-IFERROR(VLOOKUP(G891,Rabat!$D$10:$E$41,2,FALSE),0))</f>
        <v>147.5</v>
      </c>
      <c r="J891" t="s">
        <v>1902</v>
      </c>
      <c r="K891" t="s">
        <v>2266</v>
      </c>
      <c r="L891" t="s">
        <v>1901</v>
      </c>
      <c r="M891">
        <v>1</v>
      </c>
      <c r="N891">
        <v>63</v>
      </c>
      <c r="O891" t="s">
        <v>3434</v>
      </c>
      <c r="P891" s="31" t="str">
        <f>HYPERLINK("https://b2b.kobi.pl/pl/product/12120,wentylator-wiezowy-venlo-2-45w-czarny-kobi-windstar?currency=PLN")</f>
        <v>https://b2b.kobi.pl/pl/product/12120,wentylator-wiezowy-venlo-2-45w-czarny-kobi-windstar?currency=PLN</v>
      </c>
      <c r="Q891" t="s">
        <v>15</v>
      </c>
      <c r="R891"/>
      <c r="S891" t="s">
        <v>2730</v>
      </c>
      <c r="T891"/>
      <c r="U891">
        <v>2</v>
      </c>
      <c r="V891">
        <v>2.5</v>
      </c>
      <c r="W891">
        <v>16.5</v>
      </c>
      <c r="X891">
        <v>15.5</v>
      </c>
      <c r="Y891">
        <v>81.5</v>
      </c>
    </row>
    <row r="892" spans="1:25" ht="60" customHeight="1" x14ac:dyDescent="0.25">
      <c r="A892"/>
      <c r="B892" t="s">
        <v>2223</v>
      </c>
      <c r="C892" t="s">
        <v>2224</v>
      </c>
      <c r="D892" t="s">
        <v>2225</v>
      </c>
      <c r="E892" t="s">
        <v>3108</v>
      </c>
      <c r="F892" t="s">
        <v>3109</v>
      </c>
      <c r="G892" t="s">
        <v>2228</v>
      </c>
      <c r="H892" s="30">
        <v>212.5</v>
      </c>
      <c r="I892" s="29">
        <f>H892*(1-IFERROR(VLOOKUP(G892,Rabat!$D$10:$E$41,2,FALSE),0))</f>
        <v>212.5</v>
      </c>
      <c r="J892" t="s">
        <v>1902</v>
      </c>
      <c r="K892" t="s">
        <v>3144</v>
      </c>
      <c r="L892" t="s">
        <v>1901</v>
      </c>
      <c r="M892">
        <v>4</v>
      </c>
      <c r="N892"/>
      <c r="O892" t="s">
        <v>3434</v>
      </c>
      <c r="P892" s="31" t="str">
        <f>HYPERLINK("https://b2b.kobi.pl/pl/product/13044,plafon-led-z-wentylatorem-ventelux-24w-15w-3cct-bialy-kobi-windstar?currency=PLN")</f>
        <v>https://b2b.kobi.pl/pl/product/13044,plafon-led-z-wentylatorem-ventelux-24w-15w-3cct-bialy-kobi-windstar?currency=PLN</v>
      </c>
      <c r="Q892" s="31" t="str">
        <f>HYPERLINK("https://eprel.ec.europa.eu/qr/2458402")</f>
        <v>https://eprel.ec.europa.eu/qr/2458402</v>
      </c>
      <c r="R892"/>
      <c r="S892" t="s">
        <v>2675</v>
      </c>
      <c r="T892"/>
      <c r="U892">
        <v>1.33</v>
      </c>
      <c r="V892">
        <v>2</v>
      </c>
      <c r="W892">
        <v>47</v>
      </c>
      <c r="X892">
        <v>14.5</v>
      </c>
      <c r="Y892">
        <v>47</v>
      </c>
    </row>
    <row r="893" spans="1:25" ht="60" customHeight="1" x14ac:dyDescent="0.25">
      <c r="A893"/>
      <c r="B893" t="s">
        <v>2223</v>
      </c>
      <c r="C893" t="s">
        <v>2224</v>
      </c>
      <c r="D893" t="s">
        <v>2225</v>
      </c>
      <c r="E893" t="s">
        <v>3252</v>
      </c>
      <c r="F893" t="s">
        <v>3253</v>
      </c>
      <c r="G893" t="s">
        <v>2228</v>
      </c>
      <c r="H893" s="30">
        <v>121.25</v>
      </c>
      <c r="I893" s="29">
        <f>H893*(1-IFERROR(VLOOKUP(G893,Rabat!$D$10:$E$41,2,FALSE),0))</f>
        <v>121.25</v>
      </c>
      <c r="J893" t="s">
        <v>1902</v>
      </c>
      <c r="K893" t="s">
        <v>3257</v>
      </c>
      <c r="L893" t="s">
        <v>1901</v>
      </c>
      <c r="M893">
        <v>1</v>
      </c>
      <c r="N893">
        <v>52</v>
      </c>
      <c r="O893" t="s">
        <v>3438</v>
      </c>
      <c r="P893" s="31" t="str">
        <f>HYPERLINK("https://b2b.kobi.pl/pl/product/10756,wentylator-podlogowy-viento-45w-bialy-kobi-windstar?currency=PLN")</f>
        <v>https://b2b.kobi.pl/pl/product/10756,wentylator-podlogowy-viento-45w-bialy-kobi-windstar?currency=PLN</v>
      </c>
      <c r="Q893" t="s">
        <v>15</v>
      </c>
      <c r="R893"/>
      <c r="S893" t="s">
        <v>2730</v>
      </c>
      <c r="T893"/>
      <c r="U893">
        <v>2.21</v>
      </c>
      <c r="V893">
        <v>2.6</v>
      </c>
      <c r="W893">
        <v>48</v>
      </c>
      <c r="X893">
        <v>44</v>
      </c>
      <c r="Y893">
        <v>13.5</v>
      </c>
    </row>
    <row r="894" spans="1:25" ht="60" customHeight="1" x14ac:dyDescent="0.25">
      <c r="A894"/>
      <c r="B894" t="s">
        <v>2223</v>
      </c>
      <c r="C894" t="s">
        <v>2224</v>
      </c>
      <c r="D894" t="s">
        <v>2225</v>
      </c>
      <c r="E894" t="s">
        <v>3110</v>
      </c>
      <c r="F894" t="s">
        <v>3111</v>
      </c>
      <c r="G894" t="s">
        <v>2228</v>
      </c>
      <c r="H894" s="30">
        <v>272.5</v>
      </c>
      <c r="I894" s="29">
        <f>H894*(1-IFERROR(VLOOKUP(G894,Rabat!$D$10:$E$41,2,FALSE),0))</f>
        <v>272.5</v>
      </c>
      <c r="J894" t="s">
        <v>1902</v>
      </c>
      <c r="K894" t="s">
        <v>3145</v>
      </c>
      <c r="L894" t="s">
        <v>1901</v>
      </c>
      <c r="M894">
        <v>2</v>
      </c>
      <c r="N894"/>
      <c r="O894" t="s">
        <v>3434</v>
      </c>
      <c r="P894" s="31" t="str">
        <f>HYPERLINK("https://b2b.kobi.pl/pl/product/13045,plafon-led-z-wentylatorem-ventelux-48w-15w-3cct-czarny-kobi-windstar?currency=PLN")</f>
        <v>https://b2b.kobi.pl/pl/product/13045,plafon-led-z-wentylatorem-ventelux-48w-15w-3cct-czarny-kobi-windstar?currency=PLN</v>
      </c>
      <c r="Q894" s="31" t="str">
        <f>HYPERLINK("https://eprel.ec.europa.eu/qr/2458130")</f>
        <v>https://eprel.ec.europa.eu/qr/2458130</v>
      </c>
      <c r="R894"/>
      <c r="S894" t="s">
        <v>2675</v>
      </c>
      <c r="T894"/>
      <c r="U894">
        <v>1.33</v>
      </c>
      <c r="V894">
        <v>2</v>
      </c>
      <c r="W894">
        <v>51</v>
      </c>
      <c r="X894">
        <v>14.5</v>
      </c>
      <c r="Y894">
        <v>51</v>
      </c>
    </row>
    <row r="895" spans="1:25" ht="60" customHeight="1" x14ac:dyDescent="0.25">
      <c r="A895"/>
      <c r="B895" t="s">
        <v>2223</v>
      </c>
      <c r="C895" t="s">
        <v>2224</v>
      </c>
      <c r="D895" t="s">
        <v>2225</v>
      </c>
      <c r="E895" t="s">
        <v>3308</v>
      </c>
      <c r="F895" t="s">
        <v>3309</v>
      </c>
      <c r="G895" t="s">
        <v>2228</v>
      </c>
      <c r="H895" s="30">
        <v>99.75</v>
      </c>
      <c r="I895" s="29">
        <f>H895*(1-IFERROR(VLOOKUP(G895,Rabat!$D$10:$E$41,2,FALSE),0))</f>
        <v>99.75</v>
      </c>
      <c r="J895" t="s">
        <v>1902</v>
      </c>
      <c r="K895" t="s">
        <v>3346</v>
      </c>
      <c r="L895" t="s">
        <v>1901</v>
      </c>
      <c r="M895">
        <v>1</v>
      </c>
      <c r="N895">
        <v>54</v>
      </c>
      <c r="O895" t="s">
        <v>3438</v>
      </c>
      <c r="P895" s="31" t="str">
        <f>HYPERLINK("https://b2b.kobi.pl/pl/product/10758,wentylator-biurkowy-viento-40w-bialy-kobi-windstar?currency=PLN")</f>
        <v>https://b2b.kobi.pl/pl/product/10758,wentylator-biurkowy-viento-40w-bialy-kobi-windstar?currency=PLN</v>
      </c>
      <c r="Q895" t="s">
        <v>15</v>
      </c>
      <c r="R895"/>
      <c r="S895" t="s">
        <v>2730</v>
      </c>
      <c r="T895"/>
      <c r="U895">
        <v>1.6</v>
      </c>
      <c r="V895">
        <v>1.94</v>
      </c>
      <c r="W895">
        <v>34.5</v>
      </c>
      <c r="X895">
        <v>17.5</v>
      </c>
      <c r="Y895">
        <v>37.5</v>
      </c>
    </row>
    <row r="896" spans="1:25" ht="60" customHeight="1" x14ac:dyDescent="0.25">
      <c r="A896"/>
      <c r="B896" t="s">
        <v>2223</v>
      </c>
      <c r="C896" t="s">
        <v>2224</v>
      </c>
      <c r="D896" t="s">
        <v>2225</v>
      </c>
      <c r="E896" t="s">
        <v>3112</v>
      </c>
      <c r="F896" t="s">
        <v>3113</v>
      </c>
      <c r="G896" t="s">
        <v>2228</v>
      </c>
      <c r="H896" s="30">
        <v>324.75</v>
      </c>
      <c r="I896" s="29">
        <f>H896*(1-IFERROR(VLOOKUP(G896,Rabat!$D$10:$E$41,2,FALSE),0))</f>
        <v>324.75</v>
      </c>
      <c r="J896" t="s">
        <v>1902</v>
      </c>
      <c r="K896" t="s">
        <v>3146</v>
      </c>
      <c r="L896" t="s">
        <v>1901</v>
      </c>
      <c r="M896">
        <v>2</v>
      </c>
      <c r="N896"/>
      <c r="O896" t="s">
        <v>3434</v>
      </c>
      <c r="P896" s="31" t="str">
        <f>HYPERLINK("https://b2b.kobi.pl/pl/product/13046,plafon-led-z-wentylatorem-ventelux-48w-15w-3cct-rgb-kobi-windstar?currency=PLN")</f>
        <v>https://b2b.kobi.pl/pl/product/13046,plafon-led-z-wentylatorem-ventelux-48w-15w-3cct-rgb-kobi-windstar?currency=PLN</v>
      </c>
      <c r="Q896" s="31" t="str">
        <f>HYPERLINK("https://eprel.ec.europa.eu/qr/2458181")</f>
        <v>https://eprel.ec.europa.eu/qr/2458181</v>
      </c>
      <c r="R896"/>
      <c r="S896" t="s">
        <v>2675</v>
      </c>
      <c r="T896"/>
      <c r="U896">
        <v>1.4</v>
      </c>
      <c r="V896">
        <v>2</v>
      </c>
      <c r="W896">
        <v>51</v>
      </c>
      <c r="X896">
        <v>14.5</v>
      </c>
      <c r="Y896">
        <v>51</v>
      </c>
    </row>
    <row r="897" spans="1:25" ht="60" customHeight="1" x14ac:dyDescent="0.25">
      <c r="A897"/>
      <c r="B897" t="s">
        <v>2223</v>
      </c>
      <c r="C897" t="s">
        <v>2224</v>
      </c>
      <c r="D897" t="s">
        <v>2225</v>
      </c>
      <c r="E897" t="s">
        <v>3312</v>
      </c>
      <c r="F897" t="s">
        <v>3313</v>
      </c>
      <c r="G897" t="s">
        <v>2228</v>
      </c>
      <c r="H897" s="30">
        <v>324.75</v>
      </c>
      <c r="I897" s="29">
        <f>H897*(1-IFERROR(VLOOKUP(G897,Rabat!$D$10:$E$41,2,FALSE),0))</f>
        <v>324.75</v>
      </c>
      <c r="J897" t="s">
        <v>1902</v>
      </c>
      <c r="K897" t="s">
        <v>3348</v>
      </c>
      <c r="L897" t="s">
        <v>1901</v>
      </c>
      <c r="M897">
        <v>1</v>
      </c>
      <c r="N897">
        <v>25</v>
      </c>
      <c r="O897" t="s">
        <v>3434</v>
      </c>
      <c r="P897" s="31" t="str">
        <f>HYPERLINK("https://b2b.kobi.pl/pl/product/13040,klimator-ewaporacyjny-viento-cool-r-65w-czarny-kobi-windstar?currency=PLN")</f>
        <v>https://b2b.kobi.pl/pl/product/13040,klimator-ewaporacyjny-viento-cool-r-65w-czarny-kobi-windstar?currency=PLN</v>
      </c>
      <c r="Q897" t="s">
        <v>15</v>
      </c>
      <c r="R897"/>
      <c r="S897" t="s">
        <v>3349</v>
      </c>
      <c r="T897"/>
      <c r="U897">
        <v>4.3</v>
      </c>
      <c r="V897">
        <v>5.58</v>
      </c>
      <c r="W897">
        <v>32.5</v>
      </c>
      <c r="X897">
        <v>28.5</v>
      </c>
      <c r="Y897">
        <v>60.5</v>
      </c>
    </row>
    <row r="898" spans="1:25" ht="60" customHeight="1" x14ac:dyDescent="0.25">
      <c r="A898"/>
      <c r="B898" t="s">
        <v>2223</v>
      </c>
      <c r="C898" t="s">
        <v>2224</v>
      </c>
      <c r="D898" t="s">
        <v>2225</v>
      </c>
      <c r="E898" t="s">
        <v>3314</v>
      </c>
      <c r="F898" t="s">
        <v>3315</v>
      </c>
      <c r="G898" t="s">
        <v>2228</v>
      </c>
      <c r="H898" s="30">
        <v>99.75</v>
      </c>
      <c r="I898" s="29">
        <f>H898*(1-IFERROR(VLOOKUP(G898,Rabat!$D$10:$E$41,2,FALSE),0))</f>
        <v>99.75</v>
      </c>
      <c r="J898" t="s">
        <v>1902</v>
      </c>
      <c r="K898" t="s">
        <v>3350</v>
      </c>
      <c r="L898" t="s">
        <v>1901</v>
      </c>
      <c r="M898">
        <v>1</v>
      </c>
      <c r="N898">
        <v>54</v>
      </c>
      <c r="O898" t="s">
        <v>3434</v>
      </c>
      <c r="P898" s="31" t="str">
        <f>HYPERLINK("https://b2b.kobi.pl/pl/product/13023,wentylator-biurkowy-viento-40w-czarny-kobi-windstar?currency=PLN")</f>
        <v>https://b2b.kobi.pl/pl/product/13023,wentylator-biurkowy-viento-40w-czarny-kobi-windstar?currency=PLN</v>
      </c>
      <c r="Q898" t="s">
        <v>15</v>
      </c>
      <c r="R898"/>
      <c r="S898" t="s">
        <v>2730</v>
      </c>
      <c r="T898"/>
      <c r="U898">
        <v>1.6</v>
      </c>
      <c r="V898">
        <v>1.94</v>
      </c>
      <c r="W898">
        <v>34.5</v>
      </c>
      <c r="X898">
        <v>17.5</v>
      </c>
      <c r="Y898">
        <v>37.5</v>
      </c>
    </row>
    <row r="899" spans="1:25" ht="60" customHeight="1" x14ac:dyDescent="0.25">
      <c r="A899"/>
      <c r="B899" s="37" t="s">
        <v>2223</v>
      </c>
      <c r="C899" s="37" t="s">
        <v>2224</v>
      </c>
      <c r="D899" s="37" t="s">
        <v>2225</v>
      </c>
      <c r="E899" s="37" t="s">
        <v>3316</v>
      </c>
      <c r="F899" s="37" t="s">
        <v>3317</v>
      </c>
      <c r="G899" s="37" t="s">
        <v>2228</v>
      </c>
      <c r="H899" s="29">
        <v>322.5</v>
      </c>
      <c r="I899" s="29">
        <f>H899*(1-IFERROR(VLOOKUP(G899,Rabat!$D$10:$E$41,2,FALSE),0))</f>
        <v>322.5</v>
      </c>
      <c r="J899" s="37" t="s">
        <v>1902</v>
      </c>
      <c r="K899" s="37" t="s">
        <v>3351</v>
      </c>
      <c r="L899" s="37" t="s">
        <v>1901</v>
      </c>
      <c r="M899" s="37">
        <v>1</v>
      </c>
      <c r="N899" s="37">
        <v>14</v>
      </c>
      <c r="O899" s="37" t="s">
        <v>3438</v>
      </c>
      <c r="P899" s="39" t="str">
        <f>HYPERLINK("https://b2b.kobi.pl/pl/product/13026,wentylator-podlogowy-viento-200w-kobi-windstar?currency=PLN")</f>
        <v>https://b2b.kobi.pl/pl/product/13026,wentylator-podlogowy-viento-200w-kobi-windstar?currency=PLN</v>
      </c>
      <c r="Q899" s="37" t="s">
        <v>15</v>
      </c>
      <c r="R899" s="37"/>
      <c r="S899" t="s">
        <v>2730</v>
      </c>
      <c r="T899"/>
      <c r="U899">
        <v>5.12</v>
      </c>
      <c r="V899">
        <v>6.14</v>
      </c>
      <c r="W899">
        <v>57.5</v>
      </c>
      <c r="X899">
        <v>61</v>
      </c>
      <c r="Y899">
        <v>21.5</v>
      </c>
    </row>
    <row r="900" spans="1:25" ht="60" customHeight="1" x14ac:dyDescent="0.25">
      <c r="A900"/>
      <c r="B900" s="37" t="s">
        <v>2223</v>
      </c>
      <c r="C900" s="37" t="s">
        <v>2224</v>
      </c>
      <c r="D900" s="37" t="s">
        <v>2225</v>
      </c>
      <c r="E900" s="37" t="s">
        <v>3318</v>
      </c>
      <c r="F900" s="37" t="s">
        <v>3319</v>
      </c>
      <c r="G900" s="37" t="s">
        <v>2228</v>
      </c>
      <c r="H900" s="29">
        <v>144.75</v>
      </c>
      <c r="I900" s="29">
        <f>H900*(1-IFERROR(VLOOKUP(G900,Rabat!$D$10:$E$41,2,FALSE),0))</f>
        <v>144.75</v>
      </c>
      <c r="J900" s="37" t="s">
        <v>1902</v>
      </c>
      <c r="K900" s="37" t="s">
        <v>3352</v>
      </c>
      <c r="L900" s="37" t="s">
        <v>1901</v>
      </c>
      <c r="M900" s="37">
        <v>1</v>
      </c>
      <c r="N900" s="37">
        <v>40</v>
      </c>
      <c r="O900" s="37" t="s">
        <v>3434</v>
      </c>
      <c r="P900" s="39" t="str">
        <f>HYPERLINK("https://b2b.kobi.pl/pl/product/13024,wentylator-podlogowy-viento-r-40w-bialy-kobi-windstar?currency=PLN")</f>
        <v>https://b2b.kobi.pl/pl/product/13024,wentylator-podlogowy-viento-r-40w-bialy-kobi-windstar?currency=PLN</v>
      </c>
      <c r="Q900" s="37" t="s">
        <v>15</v>
      </c>
      <c r="R900" s="37"/>
      <c r="S900" t="s">
        <v>2730</v>
      </c>
      <c r="T900"/>
      <c r="U900">
        <v>2</v>
      </c>
      <c r="V900">
        <v>2.61</v>
      </c>
      <c r="W900">
        <v>57.5</v>
      </c>
      <c r="X900">
        <v>40</v>
      </c>
      <c r="Y900">
        <v>14</v>
      </c>
    </row>
    <row r="901" spans="1:25" ht="60" customHeight="1" x14ac:dyDescent="0.25">
      <c r="A901"/>
      <c r="B901" s="37" t="s">
        <v>2223</v>
      </c>
      <c r="C901" s="37" t="s">
        <v>2224</v>
      </c>
      <c r="D901" s="37" t="s">
        <v>2225</v>
      </c>
      <c r="E901" s="37" t="s">
        <v>3320</v>
      </c>
      <c r="F901" s="37" t="s">
        <v>3321</v>
      </c>
      <c r="G901" s="37" t="s">
        <v>2228</v>
      </c>
      <c r="H901" s="29">
        <v>144.75</v>
      </c>
      <c r="I901" s="29">
        <f>H901*(1-IFERROR(VLOOKUP(G901,Rabat!$D$10:$E$41,2,FALSE),0))</f>
        <v>144.75</v>
      </c>
      <c r="J901" s="37" t="s">
        <v>1902</v>
      </c>
      <c r="K901" s="37" t="s">
        <v>3353</v>
      </c>
      <c r="L901" s="37" t="s">
        <v>1901</v>
      </c>
      <c r="M901" s="37">
        <v>1</v>
      </c>
      <c r="N901" s="37">
        <v>40</v>
      </c>
      <c r="O901" s="37" t="s">
        <v>3434</v>
      </c>
      <c r="P901" s="39" t="str">
        <f>HYPERLINK("https://b2b.kobi.pl/pl/product/13025,wentylator-podlogowy-viento-r-40w-czarny-kobi-windstar?currency=PLN")</f>
        <v>https://b2b.kobi.pl/pl/product/13025,wentylator-podlogowy-viento-r-40w-czarny-kobi-windstar?currency=PLN</v>
      </c>
      <c r="Q901" s="37" t="s">
        <v>15</v>
      </c>
      <c r="R901" s="37"/>
      <c r="S901" t="s">
        <v>2730</v>
      </c>
      <c r="T901"/>
      <c r="U901">
        <v>1.96</v>
      </c>
      <c r="V901">
        <v>2.4500000000000002</v>
      </c>
      <c r="W901">
        <v>57.5</v>
      </c>
      <c r="X901">
        <v>40</v>
      </c>
      <c r="Y901">
        <v>14</v>
      </c>
    </row>
    <row r="902" spans="1:25" ht="60" customHeight="1" x14ac:dyDescent="0.25">
      <c r="A902"/>
      <c r="B902" s="37" t="s">
        <v>2223</v>
      </c>
      <c r="C902" s="37" t="s">
        <v>2224</v>
      </c>
      <c r="D902" s="37" t="s">
        <v>2225</v>
      </c>
      <c r="E902" s="37" t="s">
        <v>3322</v>
      </c>
      <c r="F902" s="37" t="s">
        <v>3323</v>
      </c>
      <c r="G902" s="37" t="s">
        <v>2228</v>
      </c>
      <c r="H902" s="29">
        <v>324.75</v>
      </c>
      <c r="I902" s="29">
        <f>H902*(1-IFERROR(VLOOKUP(G902,Rabat!$D$10:$E$41,2,FALSE),0))</f>
        <v>324.75</v>
      </c>
      <c r="J902" s="37" t="s">
        <v>1902</v>
      </c>
      <c r="K902" s="37" t="s">
        <v>3354</v>
      </c>
      <c r="L902" s="37" t="s">
        <v>1901</v>
      </c>
      <c r="M902" s="37">
        <v>1</v>
      </c>
      <c r="N902" s="37">
        <v>25</v>
      </c>
      <c r="O902" s="37" t="s">
        <v>3434</v>
      </c>
      <c r="P902" s="39" t="str">
        <f>HYPERLINK("https://b2b.kobi.pl/pl/product/13041,klimator-ewaporacyjny-viento-cool-65w-bialy-kobi-windstar?currency=PLN")</f>
        <v>https://b2b.kobi.pl/pl/product/13041,klimator-ewaporacyjny-viento-cool-65w-bialy-kobi-windstar?currency=PLN</v>
      </c>
      <c r="Q902" s="37" t="s">
        <v>15</v>
      </c>
      <c r="R902" s="37"/>
      <c r="S902" t="s">
        <v>3349</v>
      </c>
      <c r="T902"/>
      <c r="U902">
        <v>4.9000000000000004</v>
      </c>
      <c r="V902">
        <v>5.78</v>
      </c>
      <c r="W902">
        <v>32.5</v>
      </c>
      <c r="X902">
        <v>27</v>
      </c>
      <c r="Y902">
        <v>62.5</v>
      </c>
    </row>
    <row r="903" spans="1:25" ht="60" customHeight="1" x14ac:dyDescent="0.25">
      <c r="A903"/>
      <c r="B903" s="37" t="s">
        <v>646</v>
      </c>
      <c r="C903" s="37" t="s">
        <v>6</v>
      </c>
      <c r="D903" s="37" t="s">
        <v>17</v>
      </c>
      <c r="E903" s="37" t="s">
        <v>830</v>
      </c>
      <c r="F903" s="37" t="s">
        <v>831</v>
      </c>
      <c r="G903" s="37" t="s">
        <v>645</v>
      </c>
      <c r="H903" s="29">
        <v>77.56</v>
      </c>
      <c r="I903" s="29">
        <f>H903*(1-IFERROR(VLOOKUP(G903,Rabat!$D$10:$E$41,2,FALSE),0))</f>
        <v>77.56</v>
      </c>
      <c r="J903" s="37" t="s">
        <v>1902</v>
      </c>
      <c r="K903" s="37" t="s">
        <v>484</v>
      </c>
      <c r="L903" s="37" t="s">
        <v>1901</v>
      </c>
      <c r="M903" s="37">
        <v>48</v>
      </c>
      <c r="N903" s="37"/>
      <c r="O903" s="37" t="s">
        <v>3434</v>
      </c>
      <c r="P903" s="39" t="str">
        <f>HYPERLINK("https://b2b.kobi.pl/pl/product/9767,latarka-led-x-mpr-5w-6000k-ip54-led2b?currency=PLN")</f>
        <v>https://b2b.kobi.pl/pl/product/9767,latarka-led-x-mpr-5w-6000k-ip54-led2b?currency=PLN</v>
      </c>
      <c r="Q903" s="37" t="s">
        <v>15</v>
      </c>
      <c r="R903" s="37"/>
      <c r="S903" t="s">
        <v>2711</v>
      </c>
      <c r="T903"/>
      <c r="U903">
        <v>0.2</v>
      </c>
      <c r="V903">
        <v>0.2</v>
      </c>
      <c r="W903">
        <v>16.600000000000001</v>
      </c>
      <c r="X903">
        <v>3.2</v>
      </c>
      <c r="Y903">
        <v>5.3</v>
      </c>
    </row>
    <row r="904" spans="1:25" ht="60" customHeight="1" x14ac:dyDescent="0.25">
      <c r="A904"/>
      <c r="B904" s="37" t="s">
        <v>646</v>
      </c>
      <c r="C904" s="37" t="s">
        <v>6</v>
      </c>
      <c r="D904" s="37" t="s">
        <v>17</v>
      </c>
      <c r="E904" s="37" t="s">
        <v>832</v>
      </c>
      <c r="F904" s="37" t="s">
        <v>833</v>
      </c>
      <c r="G904" s="37" t="s">
        <v>645</v>
      </c>
      <c r="H904" s="29">
        <v>23.33</v>
      </c>
      <c r="I904" s="29">
        <f>H904*(1-IFERROR(VLOOKUP(G904,Rabat!$D$10:$E$41,2,FALSE),0))</f>
        <v>23.33</v>
      </c>
      <c r="J904" s="37" t="s">
        <v>1902</v>
      </c>
      <c r="K904" s="37" t="s">
        <v>485</v>
      </c>
      <c r="L904" s="37" t="s">
        <v>1901</v>
      </c>
      <c r="M904" s="37">
        <v>40</v>
      </c>
      <c r="N904" s="37">
        <v>1600</v>
      </c>
      <c r="O904" s="37" t="s">
        <v>3434</v>
      </c>
      <c r="P904" s="39" t="str">
        <f>HYPERLINK("https://b2b.kobi.pl/pl/product/9768,latarka-led-x-mpr-micro-cct-led2b?currency=PLN")</f>
        <v>https://b2b.kobi.pl/pl/product/9768,latarka-led-x-mpr-micro-cct-led2b?currency=PLN</v>
      </c>
      <c r="Q904" s="37" t="s">
        <v>15</v>
      </c>
      <c r="R904" s="37"/>
      <c r="S904" t="s">
        <v>2711</v>
      </c>
      <c r="T904"/>
      <c r="U904">
        <v>0.04</v>
      </c>
      <c r="V904">
        <v>0.14899999999999999</v>
      </c>
      <c r="W904">
        <v>6</v>
      </c>
      <c r="X904">
        <v>4.4000000000000004</v>
      </c>
      <c r="Y904">
        <v>2</v>
      </c>
    </row>
    <row r="905" spans="1:25" ht="60" customHeight="1" x14ac:dyDescent="0.25">
      <c r="A905"/>
      <c r="B905" s="37" t="s">
        <v>646</v>
      </c>
      <c r="C905" s="37" t="s">
        <v>6</v>
      </c>
      <c r="D905" s="37" t="s">
        <v>17</v>
      </c>
      <c r="E905" s="37" t="s">
        <v>2325</v>
      </c>
      <c r="F905" s="37" t="s">
        <v>2326</v>
      </c>
      <c r="G905" s="37" t="s">
        <v>645</v>
      </c>
      <c r="H905" s="29">
        <v>59.75</v>
      </c>
      <c r="I905" s="29">
        <f>H905*(1-IFERROR(VLOOKUP(G905,Rabat!$D$10:$E$41,2,FALSE),0))</f>
        <v>59.75</v>
      </c>
      <c r="J905" s="37" t="s">
        <v>1902</v>
      </c>
      <c r="K905" s="37" t="s">
        <v>2356</v>
      </c>
      <c r="L905" s="37" t="s">
        <v>1901</v>
      </c>
      <c r="M905" s="37">
        <v>50</v>
      </c>
      <c r="N905" s="37">
        <v>2000</v>
      </c>
      <c r="O905" s="37" t="s">
        <v>3434</v>
      </c>
      <c r="P905" s="39" t="str">
        <f>HYPERLINK("https://b2b.kobi.pl/pl/product/12570,latarka-czolowa-led-h-mpr-6000k-led2b?currency=PLN")</f>
        <v>https://b2b.kobi.pl/pl/product/12570,latarka-czolowa-led-h-mpr-6000k-led2b?currency=PLN</v>
      </c>
      <c r="Q905" s="37" t="s">
        <v>15</v>
      </c>
      <c r="R905" s="37"/>
      <c r="S905" t="s">
        <v>2711</v>
      </c>
      <c r="T905"/>
      <c r="U905">
        <v>0.106</v>
      </c>
      <c r="V905">
        <v>0.13200000000000001</v>
      </c>
      <c r="W905">
        <v>9.3000000000000007</v>
      </c>
      <c r="X905">
        <v>8.3000000000000007</v>
      </c>
      <c r="Y905">
        <v>6.3</v>
      </c>
    </row>
    <row r="906" spans="1:25" ht="60" customHeight="1" x14ac:dyDescent="0.25">
      <c r="A906"/>
      <c r="B906" s="37" t="s">
        <v>646</v>
      </c>
      <c r="C906" s="37" t="s">
        <v>6</v>
      </c>
      <c r="D906" s="37" t="s">
        <v>17</v>
      </c>
      <c r="E906" s="37" t="s">
        <v>2327</v>
      </c>
      <c r="F906" s="37" t="s">
        <v>2328</v>
      </c>
      <c r="G906" s="37" t="s">
        <v>645</v>
      </c>
      <c r="H906" s="29">
        <v>23.63</v>
      </c>
      <c r="I906" s="29">
        <f>H906*(1-IFERROR(VLOOKUP(G906,Rabat!$D$10:$E$41,2,FALSE),0))</f>
        <v>23.63</v>
      </c>
      <c r="J906" s="37" t="s">
        <v>1902</v>
      </c>
      <c r="K906" s="37" t="s">
        <v>2357</v>
      </c>
      <c r="L906" s="37" t="s">
        <v>1901</v>
      </c>
      <c r="M906" s="37">
        <v>96</v>
      </c>
      <c r="N906" s="37">
        <v>1536</v>
      </c>
      <c r="O906" s="37" t="s">
        <v>3434</v>
      </c>
      <c r="P906" s="39" t="str">
        <f>HYPERLINK("https://b2b.kobi.pl/pl/product/12571,latarka-led-x-mpr-1-6000k-led2b?currency=PLN")</f>
        <v>https://b2b.kobi.pl/pl/product/12571,latarka-led-x-mpr-1-6000k-led2b?currency=PLN</v>
      </c>
      <c r="Q906" s="37" t="s">
        <v>15</v>
      </c>
      <c r="R906" s="37"/>
      <c r="S906" t="s">
        <v>2711</v>
      </c>
      <c r="T906"/>
      <c r="U906">
        <v>9.5200000000000007E-2</v>
      </c>
      <c r="V906">
        <v>0.23</v>
      </c>
      <c r="W906">
        <v>26.2</v>
      </c>
      <c r="X906">
        <v>19.8</v>
      </c>
      <c r="Y906">
        <v>19.5</v>
      </c>
    </row>
    <row r="907" spans="1:25" ht="60" customHeight="1" x14ac:dyDescent="0.25">
      <c r="A907"/>
      <c r="B907" s="37" t="s">
        <v>646</v>
      </c>
      <c r="C907" s="37" t="s">
        <v>6</v>
      </c>
      <c r="D907" s="37" t="s">
        <v>17</v>
      </c>
      <c r="E907" s="37" t="s">
        <v>2329</v>
      </c>
      <c r="F907" s="37" t="s">
        <v>2330</v>
      </c>
      <c r="G907" s="37" t="s">
        <v>645</v>
      </c>
      <c r="H907" s="29">
        <v>26.13</v>
      </c>
      <c r="I907" s="29">
        <f>H907*(1-IFERROR(VLOOKUP(G907,Rabat!$D$10:$E$41,2,FALSE),0))</f>
        <v>26.13</v>
      </c>
      <c r="J907" s="37" t="s">
        <v>1902</v>
      </c>
      <c r="K907" s="37" t="s">
        <v>2358</v>
      </c>
      <c r="L907" s="37" t="s">
        <v>1901</v>
      </c>
      <c r="M907" s="37">
        <v>96</v>
      </c>
      <c r="N907" s="37">
        <v>1920</v>
      </c>
      <c r="O907" s="37" t="s">
        <v>3434</v>
      </c>
      <c r="P907" s="39" t="str">
        <f>HYPERLINK("https://b2b.kobi.pl/pl/product/12572,latarka-led-x-mpr-2-6000k-led2b?currency=PLN")</f>
        <v>https://b2b.kobi.pl/pl/product/12572,latarka-led-x-mpr-2-6000k-led2b?currency=PLN</v>
      </c>
      <c r="Q907" s="37" t="s">
        <v>15</v>
      </c>
      <c r="R907" s="37"/>
      <c r="S907" t="s">
        <v>2711</v>
      </c>
      <c r="T907"/>
      <c r="U907">
        <v>0.11</v>
      </c>
      <c r="V907">
        <v>0.25</v>
      </c>
      <c r="W907">
        <v>20.2</v>
      </c>
      <c r="X907">
        <v>15.3</v>
      </c>
      <c r="Y907">
        <v>16.600000000000001</v>
      </c>
    </row>
    <row r="908" spans="1:25" ht="60" customHeight="1" x14ac:dyDescent="0.25">
      <c r="A908"/>
      <c r="B908" s="37" t="s">
        <v>646</v>
      </c>
      <c r="C908" s="37" t="s">
        <v>6</v>
      </c>
      <c r="D908" s="37" t="s">
        <v>17</v>
      </c>
      <c r="E908" s="37" t="s">
        <v>2331</v>
      </c>
      <c r="F908" s="37" t="s">
        <v>2332</v>
      </c>
      <c r="G908" s="37" t="s">
        <v>645</v>
      </c>
      <c r="H908" s="29">
        <v>41.25</v>
      </c>
      <c r="I908" s="29">
        <f>H908*(1-IFERROR(VLOOKUP(G908,Rabat!$D$10:$E$41,2,FALSE),0))</f>
        <v>41.25</v>
      </c>
      <c r="J908" s="37" t="s">
        <v>1902</v>
      </c>
      <c r="K908" s="37" t="s">
        <v>2359</v>
      </c>
      <c r="L908" s="37" t="s">
        <v>1901</v>
      </c>
      <c r="M908" s="37">
        <v>96</v>
      </c>
      <c r="N908" s="37">
        <v>1536</v>
      </c>
      <c r="O908" s="37" t="s">
        <v>3434</v>
      </c>
      <c r="P908" s="39" t="str">
        <f>HYPERLINK("https://b2b.kobi.pl/pl/product/12573,latarka-led-x-mpr-3-6000k-led2b?currency=PLN")</f>
        <v>https://b2b.kobi.pl/pl/product/12573,latarka-led-x-mpr-3-6000k-led2b?currency=PLN</v>
      </c>
      <c r="Q908" s="37" t="s">
        <v>15</v>
      </c>
      <c r="R908" s="37"/>
      <c r="S908" t="s">
        <v>2711</v>
      </c>
      <c r="T908"/>
      <c r="U908">
        <v>0.14000000000000001</v>
      </c>
      <c r="V908">
        <v>0.26</v>
      </c>
      <c r="W908">
        <v>24.2</v>
      </c>
      <c r="X908">
        <v>18.3</v>
      </c>
      <c r="Y908">
        <v>18</v>
      </c>
    </row>
    <row r="909" spans="1:25" ht="60" customHeight="1" x14ac:dyDescent="0.25">
      <c r="A909"/>
      <c r="B909" t="s">
        <v>646</v>
      </c>
      <c r="C909" t="s">
        <v>6</v>
      </c>
      <c r="D909" t="s">
        <v>17</v>
      </c>
      <c r="E909" t="s">
        <v>2333</v>
      </c>
      <c r="F909" t="s">
        <v>2334</v>
      </c>
      <c r="G909" t="s">
        <v>645</v>
      </c>
      <c r="H909" s="30">
        <v>44.23</v>
      </c>
      <c r="I909" s="38">
        <f>H909*(1-IFERROR(VLOOKUP(G909,Rabat!$D$10:$E$41,2,FALSE),0))</f>
        <v>44.23</v>
      </c>
      <c r="J909" t="s">
        <v>1902</v>
      </c>
      <c r="K909" t="s">
        <v>2360</v>
      </c>
      <c r="L909" t="s">
        <v>1901</v>
      </c>
      <c r="M909">
        <v>96</v>
      </c>
      <c r="N909">
        <v>2400</v>
      </c>
      <c r="O909" t="s">
        <v>3434</v>
      </c>
      <c r="P909" s="31" t="str">
        <f>HYPERLINK("https://b2b.kobi.pl/pl/product/12574,latarka-led-x-mpr-4-6000k-led2b?currency=PLN")</f>
        <v>https://b2b.kobi.pl/pl/product/12574,latarka-led-x-mpr-4-6000k-led2b?currency=PLN</v>
      </c>
      <c r="Q909" t="s">
        <v>15</v>
      </c>
      <c r="R909"/>
      <c r="S909" t="s">
        <v>2711</v>
      </c>
      <c r="T909"/>
      <c r="U909">
        <v>0.11</v>
      </c>
      <c r="V909">
        <v>0.25</v>
      </c>
      <c r="W909">
        <v>20.2</v>
      </c>
      <c r="X909">
        <v>15.3</v>
      </c>
      <c r="Y909">
        <v>16</v>
      </c>
    </row>
    <row r="910" spans="1:25" ht="60" customHeight="1" x14ac:dyDescent="0.25">
      <c r="A910"/>
      <c r="B910" t="s">
        <v>646</v>
      </c>
      <c r="C910" t="s">
        <v>6</v>
      </c>
      <c r="D910" t="s">
        <v>17</v>
      </c>
      <c r="E910" t="s">
        <v>2335</v>
      </c>
      <c r="F910" t="s">
        <v>2336</v>
      </c>
      <c r="G910" t="s">
        <v>645</v>
      </c>
      <c r="H910" s="30">
        <v>58.75</v>
      </c>
      <c r="I910" s="38">
        <f>H910*(1-IFERROR(VLOOKUP(G910,Rabat!$D$10:$E$41,2,FALSE),0))</f>
        <v>58.75</v>
      </c>
      <c r="J910" t="s">
        <v>1902</v>
      </c>
      <c r="K910" t="s">
        <v>2361</v>
      </c>
      <c r="L910" t="s">
        <v>1901</v>
      </c>
      <c r="M910">
        <v>40</v>
      </c>
      <c r="N910">
        <v>480</v>
      </c>
      <c r="O910" t="s">
        <v>3434</v>
      </c>
      <c r="P910" s="31" t="str">
        <f>HYPERLINK("https://b2b.kobi.pl/pl/product/12575,latarka-led-x-mpr-5-6000k-led2b?currency=PLN")</f>
        <v>https://b2b.kobi.pl/pl/product/12575,latarka-led-x-mpr-5-6000k-led2b?currency=PLN</v>
      </c>
      <c r="Q910" t="s">
        <v>15</v>
      </c>
      <c r="R910"/>
      <c r="S910" t="s">
        <v>2711</v>
      </c>
      <c r="T910"/>
      <c r="U910">
        <v>0.29199999999999998</v>
      </c>
      <c r="V910">
        <v>0.36</v>
      </c>
      <c r="W910">
        <v>20.8</v>
      </c>
      <c r="X910">
        <v>11</v>
      </c>
      <c r="Y910">
        <v>11</v>
      </c>
    </row>
    <row r="911" spans="1:25" ht="60" customHeight="1" x14ac:dyDescent="0.25">
      <c r="A911"/>
      <c r="B911" t="s">
        <v>646</v>
      </c>
      <c r="C911" t="s">
        <v>6</v>
      </c>
      <c r="D911" t="s">
        <v>17</v>
      </c>
      <c r="E911" t="s">
        <v>2337</v>
      </c>
      <c r="F911" t="s">
        <v>2338</v>
      </c>
      <c r="G911" t="s">
        <v>645</v>
      </c>
      <c r="H911" s="30">
        <v>99.98</v>
      </c>
      <c r="I911" s="38">
        <f>H911*(1-IFERROR(VLOOKUP(G911,Rabat!$D$10:$E$41,2,FALSE),0))</f>
        <v>99.98</v>
      </c>
      <c r="J911" t="s">
        <v>1902</v>
      </c>
      <c r="K911" t="s">
        <v>2362</v>
      </c>
      <c r="L911" t="s">
        <v>1901</v>
      </c>
      <c r="M911">
        <v>30</v>
      </c>
      <c r="N911">
        <v>180</v>
      </c>
      <c r="O911" t="s">
        <v>3434</v>
      </c>
      <c r="P911" s="31" t="str">
        <f>HYPERLINK("https://b2b.kobi.pl/pl/product/12576,latarka-led-x-mpr-6-6000k-led2b?currency=PLN")</f>
        <v>https://b2b.kobi.pl/pl/product/12576,latarka-led-x-mpr-6-6000k-led2b?currency=PLN</v>
      </c>
      <c r="Q911" t="s">
        <v>15</v>
      </c>
      <c r="R911"/>
      <c r="S911" t="s">
        <v>2711</v>
      </c>
      <c r="T911"/>
      <c r="U911">
        <v>0.77</v>
      </c>
      <c r="V911">
        <v>0.87</v>
      </c>
      <c r="W911">
        <v>24.5</v>
      </c>
      <c r="X911">
        <v>11.5</v>
      </c>
      <c r="Y911">
        <v>18.5</v>
      </c>
    </row>
    <row r="912" spans="1:25" ht="60" customHeight="1" x14ac:dyDescent="0.25">
      <c r="A912"/>
      <c r="B912" t="s">
        <v>646</v>
      </c>
      <c r="C912" t="s">
        <v>6</v>
      </c>
      <c r="D912" t="s">
        <v>17</v>
      </c>
      <c r="E912" t="s">
        <v>2339</v>
      </c>
      <c r="F912" t="s">
        <v>2340</v>
      </c>
      <c r="G912" t="s">
        <v>645</v>
      </c>
      <c r="H912" s="30">
        <v>15.75</v>
      </c>
      <c r="I912" s="38">
        <f>H912*(1-IFERROR(VLOOKUP(G912,Rabat!$D$10:$E$41,2,FALSE),0))</f>
        <v>15.75</v>
      </c>
      <c r="J912" t="s">
        <v>1902</v>
      </c>
      <c r="K912" t="s">
        <v>2363</v>
      </c>
      <c r="L912" t="s">
        <v>1901</v>
      </c>
      <c r="M912">
        <v>48</v>
      </c>
      <c r="N912">
        <v>768</v>
      </c>
      <c r="O912"/>
      <c r="P912" s="31" t="str">
        <f>HYPERLINK("https://b2b.kobi.pl/pl/product/12577,latarenka-led-mpr-3000k-led2b?currency=PLN")</f>
        <v>https://b2b.kobi.pl/pl/product/12577,latarenka-led-mpr-3000k-led2b?currency=PLN</v>
      </c>
      <c r="Q912" t="s">
        <v>15</v>
      </c>
      <c r="R912"/>
      <c r="S912" t="s">
        <v>2711</v>
      </c>
      <c r="T912"/>
      <c r="U912">
        <v>9.2999999999999999E-2</v>
      </c>
      <c r="V912">
        <v>1.01</v>
      </c>
      <c r="W912">
        <v>38.200000000000003</v>
      </c>
      <c r="X912">
        <v>19</v>
      </c>
      <c r="Y912">
        <v>18.5</v>
      </c>
    </row>
    <row r="913" spans="1:25" ht="60" customHeight="1" x14ac:dyDescent="0.25">
      <c r="A913"/>
      <c r="B913" t="s">
        <v>646</v>
      </c>
      <c r="C913" t="s">
        <v>6</v>
      </c>
      <c r="D913" t="s">
        <v>17</v>
      </c>
      <c r="E913" t="s">
        <v>2869</v>
      </c>
      <c r="F913" t="s">
        <v>2870</v>
      </c>
      <c r="G913" t="s">
        <v>645</v>
      </c>
      <c r="H913" s="30">
        <v>44.75</v>
      </c>
      <c r="I913" s="38">
        <f>H913*(1-IFERROR(VLOOKUP(G913,Rabat!$D$10:$E$41,2,FALSE),0))</f>
        <v>44.75</v>
      </c>
      <c r="J913" t="s">
        <v>1902</v>
      </c>
      <c r="K913" t="s">
        <v>2883</v>
      </c>
      <c r="L913" t="s">
        <v>1901</v>
      </c>
      <c r="M913">
        <v>30</v>
      </c>
      <c r="N913">
        <v>360</v>
      </c>
      <c r="O913" t="s">
        <v>3434</v>
      </c>
      <c r="P913" s="31" t="str">
        <f>HYPERLINK("https://b2b.kobi.pl/pl/product/12758,latarka-led-x-mpr-7-6000k-led2b?currency=PLN")</f>
        <v>https://b2b.kobi.pl/pl/product/12758,latarka-led-x-mpr-7-6000k-led2b?currency=PLN</v>
      </c>
      <c r="Q913" t="s">
        <v>15</v>
      </c>
      <c r="R913"/>
      <c r="S913" t="s">
        <v>2711</v>
      </c>
      <c r="T913"/>
      <c r="U913">
        <v>0.38</v>
      </c>
      <c r="V913">
        <v>0.44700000000000001</v>
      </c>
      <c r="W913">
        <v>21.2</v>
      </c>
      <c r="X913">
        <v>7</v>
      </c>
      <c r="Y913">
        <v>17.100000000000001</v>
      </c>
    </row>
    <row r="914" spans="1:25" ht="60" customHeight="1" x14ac:dyDescent="0.25">
      <c r="A914"/>
      <c r="B914" t="s">
        <v>646</v>
      </c>
      <c r="C914" t="s">
        <v>6</v>
      </c>
      <c r="D914" t="s">
        <v>17</v>
      </c>
      <c r="E914" t="s">
        <v>2871</v>
      </c>
      <c r="F914" t="s">
        <v>2872</v>
      </c>
      <c r="G914" t="s">
        <v>645</v>
      </c>
      <c r="H914" s="30">
        <v>23.75</v>
      </c>
      <c r="I914" s="38">
        <f>H914*(1-IFERROR(VLOOKUP(G914,Rabat!$D$10:$E$41,2,FALSE),0))</f>
        <v>23.75</v>
      </c>
      <c r="J914" t="s">
        <v>1902</v>
      </c>
      <c r="K914" t="s">
        <v>2884</v>
      </c>
      <c r="L914" t="s">
        <v>1901</v>
      </c>
      <c r="M914">
        <v>96</v>
      </c>
      <c r="N914">
        <v>576</v>
      </c>
      <c r="O914" t="s">
        <v>3434</v>
      </c>
      <c r="P914" s="31" t="str">
        <f>HYPERLINK("https://b2b.kobi.pl/pl/product/12759,latarka-led-x-mpr-8-3000k-6000k-led2b?currency=PLN")</f>
        <v>https://b2b.kobi.pl/pl/product/12759,latarka-led-x-mpr-8-3000k-6000k-led2b?currency=PLN</v>
      </c>
      <c r="Q914" t="s">
        <v>15</v>
      </c>
      <c r="R914"/>
      <c r="S914" t="s">
        <v>2711</v>
      </c>
      <c r="T914"/>
      <c r="U914">
        <v>0.128</v>
      </c>
      <c r="V914">
        <v>0.34</v>
      </c>
      <c r="W914">
        <v>31</v>
      </c>
      <c r="X914">
        <v>26.5</v>
      </c>
      <c r="Y914">
        <v>24.1</v>
      </c>
    </row>
    <row r="915" spans="1:25" ht="60" customHeight="1" x14ac:dyDescent="0.25">
      <c r="A915"/>
      <c r="B915" t="s">
        <v>646</v>
      </c>
      <c r="C915" t="s">
        <v>6</v>
      </c>
      <c r="D915" t="s">
        <v>17</v>
      </c>
      <c r="E915" t="s">
        <v>2873</v>
      </c>
      <c r="F915" t="s">
        <v>2874</v>
      </c>
      <c r="G915" t="s">
        <v>645</v>
      </c>
      <c r="H915" s="30">
        <v>33.75</v>
      </c>
      <c r="I915" s="38">
        <f>H915*(1-IFERROR(VLOOKUP(G915,Rabat!$D$10:$E$41,2,FALSE),0))</f>
        <v>33.75</v>
      </c>
      <c r="J915" t="s">
        <v>1902</v>
      </c>
      <c r="K915" t="s">
        <v>2885</v>
      </c>
      <c r="L915" t="s">
        <v>1901</v>
      </c>
      <c r="M915">
        <v>96</v>
      </c>
      <c r="N915">
        <v>576</v>
      </c>
      <c r="O915" t="s">
        <v>3434</v>
      </c>
      <c r="P915" s="31" t="str">
        <f>HYPERLINK("https://b2b.kobi.pl/pl/product/12760,latarka-led-x-mpr-9-6000k-led2b?currency=PLN")</f>
        <v>https://b2b.kobi.pl/pl/product/12760,latarka-led-x-mpr-9-6000k-led2b?currency=PLN</v>
      </c>
      <c r="Q915" t="s">
        <v>15</v>
      </c>
      <c r="R915"/>
      <c r="S915" t="s">
        <v>2711</v>
      </c>
      <c r="T915"/>
      <c r="U915">
        <v>0.19</v>
      </c>
      <c r="V915">
        <v>0.25</v>
      </c>
      <c r="W915">
        <v>21.5</v>
      </c>
      <c r="X915">
        <v>23.4</v>
      </c>
      <c r="Y915">
        <v>20</v>
      </c>
    </row>
    <row r="916" spans="1:25" ht="60" customHeight="1" x14ac:dyDescent="0.25">
      <c r="A916"/>
      <c r="B916" t="s">
        <v>5</v>
      </c>
      <c r="C916" t="s">
        <v>3377</v>
      </c>
      <c r="D916" t="s">
        <v>671</v>
      </c>
      <c r="E916" t="s">
        <v>1830</v>
      </c>
      <c r="F916" t="s">
        <v>1831</v>
      </c>
      <c r="G916" t="s">
        <v>713</v>
      </c>
      <c r="H916" s="30">
        <v>464.33</v>
      </c>
      <c r="I916" s="38">
        <f>H916*(1-IFERROR(VLOOKUP(G916,Rabat!$D$10:$E$41,2,FALSE),0))</f>
        <v>464.33</v>
      </c>
      <c r="J916" t="s">
        <v>1902</v>
      </c>
      <c r="K916" t="s">
        <v>1993</v>
      </c>
      <c r="L916" t="s">
        <v>1901</v>
      </c>
      <c r="M916">
        <v>1</v>
      </c>
      <c r="N916">
        <v>15</v>
      </c>
      <c r="O916" t="s">
        <v>3434</v>
      </c>
      <c r="P916" s="31" t="str">
        <f>HYPERLINK("https://b2b.kobi.pl/pl/product/9803,lampa-podlogowa-boho-bonn-st-1xe27-kobi-design?currency=PLN")</f>
        <v>https://b2b.kobi.pl/pl/product/9803,lampa-podlogowa-boho-bonn-st-1xe27-kobi-design?currency=PLN</v>
      </c>
      <c r="Q916" t="s">
        <v>15</v>
      </c>
      <c r="R916"/>
      <c r="S916" t="s">
        <v>2706</v>
      </c>
      <c r="T916"/>
      <c r="U916">
        <v>2.7</v>
      </c>
      <c r="V916">
        <v>3.6</v>
      </c>
      <c r="W916">
        <v>46</v>
      </c>
      <c r="X916">
        <v>33</v>
      </c>
      <c r="Y916">
        <v>36</v>
      </c>
    </row>
    <row r="917" spans="1:25" ht="60" customHeight="1" x14ac:dyDescent="0.25">
      <c r="A917"/>
      <c r="B917" t="s">
        <v>5</v>
      </c>
      <c r="C917" t="s">
        <v>3377</v>
      </c>
      <c r="D917" t="s">
        <v>671</v>
      </c>
      <c r="E917" t="s">
        <v>1832</v>
      </c>
      <c r="F917" t="s">
        <v>1833</v>
      </c>
      <c r="G917" t="s">
        <v>825</v>
      </c>
      <c r="H917" s="30">
        <v>290.55</v>
      </c>
      <c r="I917" s="38">
        <f>H917*(1-IFERROR(VLOOKUP(G917,Rabat!$D$10:$E$41,2,FALSE),0))</f>
        <v>290.55</v>
      </c>
      <c r="J917" t="s">
        <v>1902</v>
      </c>
      <c r="K917" t="s">
        <v>1994</v>
      </c>
      <c r="L917" t="s">
        <v>1901</v>
      </c>
      <c r="M917">
        <v>1</v>
      </c>
      <c r="N917"/>
      <c r="O917" t="s">
        <v>3434</v>
      </c>
      <c r="P917" s="31" t="str">
        <f>HYPERLINK("https://b2b.kobi.pl/pl/product/9804,lampka-biurkowa-boho-bonn-mini-1xe27-kobi-design?currency=PLN")</f>
        <v>https://b2b.kobi.pl/pl/product/9804,lampka-biurkowa-boho-bonn-mini-1xe27-kobi-design?currency=PLN</v>
      </c>
      <c r="Q917" t="s">
        <v>15</v>
      </c>
      <c r="R917"/>
      <c r="S917" t="s">
        <v>2706</v>
      </c>
      <c r="T917"/>
      <c r="U917">
        <v>0.4</v>
      </c>
      <c r="V917">
        <v>0.8</v>
      </c>
      <c r="W917">
        <v>23.5</v>
      </c>
      <c r="X917">
        <v>23.5</v>
      </c>
      <c r="Y917">
        <v>18.5</v>
      </c>
    </row>
    <row r="918" spans="1:25" ht="60" customHeight="1" x14ac:dyDescent="0.25">
      <c r="A918"/>
      <c r="B918" t="s">
        <v>5</v>
      </c>
      <c r="C918" t="s">
        <v>3377</v>
      </c>
      <c r="D918" t="s">
        <v>671</v>
      </c>
      <c r="E918" t="s">
        <v>1834</v>
      </c>
      <c r="F918" t="s">
        <v>1835</v>
      </c>
      <c r="G918" t="s">
        <v>825</v>
      </c>
      <c r="H918" s="30">
        <v>349.18</v>
      </c>
      <c r="I918" s="38">
        <f>H918*(1-IFERROR(VLOOKUP(G918,Rabat!$D$10:$E$41,2,FALSE),0))</f>
        <v>349.18</v>
      </c>
      <c r="J918" t="s">
        <v>1902</v>
      </c>
      <c r="K918" t="s">
        <v>1995</v>
      </c>
      <c r="L918" t="s">
        <v>1901</v>
      </c>
      <c r="M918">
        <v>1</v>
      </c>
      <c r="N918"/>
      <c r="O918" t="s">
        <v>3434</v>
      </c>
      <c r="P918" s="31" t="str">
        <f>HYPERLINK("https://b2b.kobi.pl/pl/product/9805,lampka-biurkowa-boho-bonn-st-mini-1xe27-kobi-design?currency=PLN")</f>
        <v>https://b2b.kobi.pl/pl/product/9805,lampka-biurkowa-boho-bonn-st-mini-1xe27-kobi-design?currency=PLN</v>
      </c>
      <c r="Q918" t="s">
        <v>15</v>
      </c>
      <c r="R918"/>
      <c r="S918" t="s">
        <v>2706</v>
      </c>
      <c r="T918"/>
      <c r="U918">
        <v>1.1000000000000001</v>
      </c>
      <c r="V918">
        <v>1.6</v>
      </c>
      <c r="W918">
        <v>28</v>
      </c>
      <c r="X918">
        <v>28</v>
      </c>
      <c r="Y918">
        <v>28</v>
      </c>
    </row>
    <row r="919" spans="1:25" ht="60" customHeight="1" x14ac:dyDescent="0.25">
      <c r="A919"/>
      <c r="B919" t="s">
        <v>5</v>
      </c>
      <c r="C919" t="s">
        <v>3377</v>
      </c>
      <c r="D919" t="s">
        <v>671</v>
      </c>
      <c r="E919" t="s">
        <v>874</v>
      </c>
      <c r="F919" t="s">
        <v>875</v>
      </c>
      <c r="G919" t="s">
        <v>713</v>
      </c>
      <c r="H919" s="30">
        <v>375.18</v>
      </c>
      <c r="I919" s="38">
        <f>H919*(1-IFERROR(VLOOKUP(G919,Rabat!$D$10:$E$41,2,FALSE),0))</f>
        <v>375.18</v>
      </c>
      <c r="J919" t="s">
        <v>1902</v>
      </c>
      <c r="K919" t="s">
        <v>1926</v>
      </c>
      <c r="L919" t="s">
        <v>1901</v>
      </c>
      <c r="M919">
        <v>1</v>
      </c>
      <c r="N919"/>
      <c r="O919" t="s">
        <v>3434</v>
      </c>
      <c r="P919" s="31" t="str">
        <f>HYPERLINK("https://b2b.kobi.pl/pl/product/9806,lampa-wiszaca-boho-bonn-rb-1xe27-kobi-design?currency=PLN")</f>
        <v>https://b2b.kobi.pl/pl/product/9806,lampa-wiszaca-boho-bonn-rb-1xe27-kobi-design?currency=PLN</v>
      </c>
      <c r="Q919" t="s">
        <v>15</v>
      </c>
      <c r="R919"/>
      <c r="S919" t="s">
        <v>2706</v>
      </c>
      <c r="T919"/>
      <c r="U919">
        <v>0.8</v>
      </c>
      <c r="V919">
        <v>1.6</v>
      </c>
      <c r="W919">
        <v>42</v>
      </c>
      <c r="X919">
        <v>42</v>
      </c>
      <c r="Y919">
        <v>26.5</v>
      </c>
    </row>
    <row r="920" spans="1:25" ht="60" customHeight="1" x14ac:dyDescent="0.25">
      <c r="A920"/>
      <c r="B920" t="s">
        <v>5</v>
      </c>
      <c r="C920" t="s">
        <v>3377</v>
      </c>
      <c r="D920" t="s">
        <v>671</v>
      </c>
      <c r="E920" t="s">
        <v>878</v>
      </c>
      <c r="F920" t="s">
        <v>879</v>
      </c>
      <c r="G920" t="s">
        <v>713</v>
      </c>
      <c r="H920" s="30">
        <v>375.18</v>
      </c>
      <c r="I920" s="38">
        <f>H920*(1-IFERROR(VLOOKUP(G920,Rabat!$D$10:$E$41,2,FALSE),0))</f>
        <v>375.18</v>
      </c>
      <c r="J920" t="s">
        <v>1902</v>
      </c>
      <c r="K920" t="s">
        <v>1927</v>
      </c>
      <c r="L920" t="s">
        <v>1901</v>
      </c>
      <c r="M920">
        <v>1</v>
      </c>
      <c r="N920"/>
      <c r="O920" t="s">
        <v>3434</v>
      </c>
      <c r="P920" s="31" t="str">
        <f>HYPERLINK("https://b2b.kobi.pl/pl/product/9807,lampa-wiszaca-boho-bonn-rw-1xe27-kobi-design?currency=PLN")</f>
        <v>https://b2b.kobi.pl/pl/product/9807,lampa-wiszaca-boho-bonn-rw-1xe27-kobi-design?currency=PLN</v>
      </c>
      <c r="Q920" t="s">
        <v>15</v>
      </c>
      <c r="R920"/>
      <c r="S920" t="s">
        <v>2706</v>
      </c>
      <c r="T920"/>
      <c r="U920">
        <v>0.8</v>
      </c>
      <c r="V920">
        <v>1.6</v>
      </c>
      <c r="W920">
        <v>42</v>
      </c>
      <c r="X920">
        <v>42</v>
      </c>
      <c r="Y920">
        <v>26.5</v>
      </c>
    </row>
    <row r="921" spans="1:25" ht="60" customHeight="1" x14ac:dyDescent="0.25">
      <c r="A921"/>
      <c r="B921" t="s">
        <v>5</v>
      </c>
      <c r="C921" t="s">
        <v>3377</v>
      </c>
      <c r="D921" t="s">
        <v>671</v>
      </c>
      <c r="E921" t="s">
        <v>892</v>
      </c>
      <c r="F921" t="s">
        <v>893</v>
      </c>
      <c r="G921" t="s">
        <v>713</v>
      </c>
      <c r="H921" s="30">
        <v>341.33</v>
      </c>
      <c r="I921" s="38">
        <f>H921*(1-IFERROR(VLOOKUP(G921,Rabat!$D$10:$E$41,2,FALSE),0))</f>
        <v>341.33</v>
      </c>
      <c r="J921" t="s">
        <v>1902</v>
      </c>
      <c r="K921" t="s">
        <v>1930</v>
      </c>
      <c r="L921" t="s">
        <v>1901</v>
      </c>
      <c r="M921">
        <v>1</v>
      </c>
      <c r="N921"/>
      <c r="O921" t="s">
        <v>3434</v>
      </c>
      <c r="P921" s="31" t="str">
        <f>HYPERLINK("https://b2b.kobi.pl/pl/product/9808,lampa-wiszaca-boho-brugia-m-rb-1xe27-kobi-design?currency=PLN")</f>
        <v>https://b2b.kobi.pl/pl/product/9808,lampa-wiszaca-boho-brugia-m-rb-1xe27-kobi-design?currency=PLN</v>
      </c>
      <c r="Q921" t="s">
        <v>15</v>
      </c>
      <c r="R921"/>
      <c r="S921" t="s">
        <v>2706</v>
      </c>
      <c r="T921"/>
      <c r="U921">
        <v>0.5</v>
      </c>
      <c r="V921">
        <v>1</v>
      </c>
      <c r="W921">
        <v>52</v>
      </c>
      <c r="X921">
        <v>19</v>
      </c>
      <c r="Y921">
        <v>30</v>
      </c>
    </row>
    <row r="922" spans="1:25" ht="60" customHeight="1" x14ac:dyDescent="0.25">
      <c r="A922"/>
      <c r="B922" t="s">
        <v>5</v>
      </c>
      <c r="C922" t="s">
        <v>3377</v>
      </c>
      <c r="D922" t="s">
        <v>671</v>
      </c>
      <c r="E922" t="s">
        <v>894</v>
      </c>
      <c r="F922" t="s">
        <v>895</v>
      </c>
      <c r="G922" t="s">
        <v>713</v>
      </c>
      <c r="H922" s="30">
        <v>341.33</v>
      </c>
      <c r="I922" s="38">
        <f>H922*(1-IFERROR(VLOOKUP(G922,Rabat!$D$10:$E$41,2,FALSE),0))</f>
        <v>341.33</v>
      </c>
      <c r="J922" t="s">
        <v>1902</v>
      </c>
      <c r="K922" t="s">
        <v>1931</v>
      </c>
      <c r="L922" t="s">
        <v>1901</v>
      </c>
      <c r="M922">
        <v>1</v>
      </c>
      <c r="N922"/>
      <c r="O922" t="s">
        <v>3434</v>
      </c>
      <c r="P922" s="31" t="str">
        <f>HYPERLINK("https://b2b.kobi.pl/pl/product/9809,lampa-wiszaca-boho-brugia-m-rw-1xe27-kobi-design?currency=PLN")</f>
        <v>https://b2b.kobi.pl/pl/product/9809,lampa-wiszaca-boho-brugia-m-rw-1xe27-kobi-design?currency=PLN</v>
      </c>
      <c r="Q922" t="s">
        <v>15</v>
      </c>
      <c r="R922"/>
      <c r="S922" t="s">
        <v>2706</v>
      </c>
      <c r="T922"/>
      <c r="U922">
        <v>0.5</v>
      </c>
      <c r="V922">
        <v>1</v>
      </c>
      <c r="W922">
        <v>52</v>
      </c>
      <c r="X922">
        <v>19</v>
      </c>
      <c r="Y922">
        <v>30</v>
      </c>
    </row>
    <row r="923" spans="1:25" ht="60" customHeight="1" x14ac:dyDescent="0.25">
      <c r="A923"/>
      <c r="B923" t="s">
        <v>5</v>
      </c>
      <c r="C923" t="s">
        <v>3377</v>
      </c>
      <c r="D923" t="s">
        <v>671</v>
      </c>
      <c r="E923" t="s">
        <v>882</v>
      </c>
      <c r="F923" t="s">
        <v>883</v>
      </c>
      <c r="G923" t="s">
        <v>713</v>
      </c>
      <c r="H923" s="30">
        <v>428.96</v>
      </c>
      <c r="I923" s="38">
        <f>H923*(1-IFERROR(VLOOKUP(G923,Rabat!$D$10:$E$41,2,FALSE),0))</f>
        <v>428.96</v>
      </c>
      <c r="J923" t="s">
        <v>1902</v>
      </c>
      <c r="K923" t="s">
        <v>1928</v>
      </c>
      <c r="L923" t="s">
        <v>1901</v>
      </c>
      <c r="M923">
        <v>1</v>
      </c>
      <c r="N923"/>
      <c r="O923" t="s">
        <v>3434</v>
      </c>
      <c r="P923" s="31" t="str">
        <f>HYPERLINK("https://b2b.kobi.pl/pl/product/9810,lampa-wiszaca-boho-brugia-l-rb-1xe27-kobi-design?currency=PLN")</f>
        <v>https://b2b.kobi.pl/pl/product/9810,lampa-wiszaca-boho-brugia-l-rb-1xe27-kobi-design?currency=PLN</v>
      </c>
      <c r="Q923" t="s">
        <v>15</v>
      </c>
      <c r="R923"/>
      <c r="S923" t="s">
        <v>2706</v>
      </c>
      <c r="T923"/>
      <c r="U923">
        <v>0.7</v>
      </c>
      <c r="V923">
        <v>1.3</v>
      </c>
      <c r="W923">
        <v>63</v>
      </c>
      <c r="X923">
        <v>21</v>
      </c>
      <c r="Y923">
        <v>35</v>
      </c>
    </row>
    <row r="924" spans="1:25" ht="60" customHeight="1" x14ac:dyDescent="0.25">
      <c r="A924"/>
      <c r="B924" t="s">
        <v>5</v>
      </c>
      <c r="C924" t="s">
        <v>3377</v>
      </c>
      <c r="D924" t="s">
        <v>671</v>
      </c>
      <c r="E924" t="s">
        <v>884</v>
      </c>
      <c r="F924" t="s">
        <v>885</v>
      </c>
      <c r="G924" t="s">
        <v>713</v>
      </c>
      <c r="H924" s="30">
        <v>428.96</v>
      </c>
      <c r="I924" s="38">
        <f>H924*(1-IFERROR(VLOOKUP(G924,Rabat!$D$10:$E$41,2,FALSE),0))</f>
        <v>428.96</v>
      </c>
      <c r="J924" t="s">
        <v>1902</v>
      </c>
      <c r="K924" t="s">
        <v>1929</v>
      </c>
      <c r="L924" t="s">
        <v>1901</v>
      </c>
      <c r="M924">
        <v>1</v>
      </c>
      <c r="N924">
        <v>24</v>
      </c>
      <c r="O924" t="s">
        <v>3434</v>
      </c>
      <c r="P924" s="31" t="str">
        <f>HYPERLINK("https://b2b.kobi.pl/pl/product/9811,lampa-wiszaca-boho-brugia-l-rw-1xe27-kobi-design?currency=PLN")</f>
        <v>https://b2b.kobi.pl/pl/product/9811,lampa-wiszaca-boho-brugia-l-rw-1xe27-kobi-design?currency=PLN</v>
      </c>
      <c r="Q924" t="s">
        <v>15</v>
      </c>
      <c r="R924"/>
      <c r="S924" t="s">
        <v>2706</v>
      </c>
      <c r="T924"/>
      <c r="U924">
        <v>0.7</v>
      </c>
      <c r="V924">
        <v>1.3</v>
      </c>
      <c r="W924">
        <v>63</v>
      </c>
      <c r="X924">
        <v>21</v>
      </c>
      <c r="Y924">
        <v>35</v>
      </c>
    </row>
    <row r="925" spans="1:25" ht="60" customHeight="1" x14ac:dyDescent="0.25">
      <c r="A925"/>
      <c r="B925" t="s">
        <v>5</v>
      </c>
      <c r="C925" t="s">
        <v>3377</v>
      </c>
      <c r="D925" t="s">
        <v>671</v>
      </c>
      <c r="E925" t="s">
        <v>850</v>
      </c>
      <c r="F925" t="s">
        <v>851</v>
      </c>
      <c r="G925" t="s">
        <v>713</v>
      </c>
      <c r="H925" s="30">
        <v>341.11</v>
      </c>
      <c r="I925" s="38">
        <f>H925*(1-IFERROR(VLOOKUP(G925,Rabat!$D$10:$E$41,2,FALSE),0))</f>
        <v>341.11</v>
      </c>
      <c r="J925" t="s">
        <v>1902</v>
      </c>
      <c r="K925" t="s">
        <v>1924</v>
      </c>
      <c r="L925" t="s">
        <v>1901</v>
      </c>
      <c r="M925">
        <v>1</v>
      </c>
      <c r="N925">
        <v>30</v>
      </c>
      <c r="O925" t="s">
        <v>3434</v>
      </c>
      <c r="P925" s="31" t="str">
        <f>HYPERLINK("https://b2b.kobi.pl/pl/product/9812,lampa-wiszaca-boho-baku-l-1xe27-kobi-design?currency=PLN")</f>
        <v>https://b2b.kobi.pl/pl/product/9812,lampa-wiszaca-boho-baku-l-1xe27-kobi-design?currency=PLN</v>
      </c>
      <c r="Q925" t="s">
        <v>15</v>
      </c>
      <c r="R925"/>
      <c r="S925" t="s">
        <v>2706</v>
      </c>
      <c r="T925"/>
      <c r="U925">
        <v>0.7</v>
      </c>
      <c r="V925">
        <v>1.4</v>
      </c>
      <c r="W925">
        <v>46</v>
      </c>
      <c r="X925">
        <v>24</v>
      </c>
      <c r="Y925">
        <v>47</v>
      </c>
    </row>
    <row r="926" spans="1:25" ht="60" customHeight="1" x14ac:dyDescent="0.25">
      <c r="A926"/>
      <c r="B926" t="s">
        <v>5</v>
      </c>
      <c r="C926" t="s">
        <v>3377</v>
      </c>
      <c r="D926" t="s">
        <v>671</v>
      </c>
      <c r="E926" t="s">
        <v>1836</v>
      </c>
      <c r="F926" t="s">
        <v>1837</v>
      </c>
      <c r="G926" t="s">
        <v>713</v>
      </c>
      <c r="H926" s="30">
        <v>432.33</v>
      </c>
      <c r="I926" s="38">
        <f>H926*(1-IFERROR(VLOOKUP(G926,Rabat!$D$10:$E$41,2,FALSE),0))</f>
        <v>432.33</v>
      </c>
      <c r="J926" t="s">
        <v>1902</v>
      </c>
      <c r="K926" t="s">
        <v>1996</v>
      </c>
      <c r="L926" t="s">
        <v>1901</v>
      </c>
      <c r="M926">
        <v>1</v>
      </c>
      <c r="N926"/>
      <c r="O926" t="s">
        <v>3434</v>
      </c>
      <c r="P926" s="31" t="str">
        <f>HYPERLINK("https://b2b.kobi.pl/pl/product/9813,lampa-wiszaca-boho-bern-m-1xe27-kobi-design?currency=PLN")</f>
        <v>https://b2b.kobi.pl/pl/product/9813,lampa-wiszaca-boho-bern-m-1xe27-kobi-design?currency=PLN</v>
      </c>
      <c r="Q926" t="s">
        <v>15</v>
      </c>
      <c r="R926"/>
      <c r="S926" t="s">
        <v>2706</v>
      </c>
      <c r="T926"/>
      <c r="U926">
        <v>0.8</v>
      </c>
      <c r="V926">
        <v>1.6</v>
      </c>
      <c r="W926">
        <v>36</v>
      </c>
      <c r="X926">
        <v>36</v>
      </c>
      <c r="Y926">
        <v>42</v>
      </c>
    </row>
    <row r="927" spans="1:25" ht="60" customHeight="1" x14ac:dyDescent="0.25">
      <c r="A927"/>
      <c r="B927" t="s">
        <v>5</v>
      </c>
      <c r="C927" t="s">
        <v>3377</v>
      </c>
      <c r="D927" t="s">
        <v>671</v>
      </c>
      <c r="E927" t="s">
        <v>1838</v>
      </c>
      <c r="F927" t="s">
        <v>1839</v>
      </c>
      <c r="G927" t="s">
        <v>713</v>
      </c>
      <c r="H927" s="30">
        <v>359</v>
      </c>
      <c r="I927" s="38">
        <f>H927*(1-IFERROR(VLOOKUP(G927,Rabat!$D$10:$E$41,2,FALSE),0))</f>
        <v>359</v>
      </c>
      <c r="J927" t="s">
        <v>1902</v>
      </c>
      <c r="K927" t="s">
        <v>1997</v>
      </c>
      <c r="L927" t="s">
        <v>1901</v>
      </c>
      <c r="M927">
        <v>1</v>
      </c>
      <c r="N927"/>
      <c r="O927" t="s">
        <v>3434</v>
      </c>
      <c r="P927" s="31" t="str">
        <f>HYPERLINK("https://b2b.kobi.pl/pl/product/9814,lampa-wiszaca-boho-bitavia-s-1xe27-kobi-design?currency=PLN")</f>
        <v>https://b2b.kobi.pl/pl/product/9814,lampa-wiszaca-boho-bitavia-s-1xe27-kobi-design?currency=PLN</v>
      </c>
      <c r="Q927" t="s">
        <v>15</v>
      </c>
      <c r="R927"/>
      <c r="S927" t="s">
        <v>2706</v>
      </c>
      <c r="T927"/>
      <c r="U927">
        <v>0.5</v>
      </c>
      <c r="V927">
        <v>1.2</v>
      </c>
      <c r="W927">
        <v>40</v>
      </c>
      <c r="X927">
        <v>40</v>
      </c>
      <c r="Y927">
        <v>36</v>
      </c>
    </row>
    <row r="928" spans="1:25" ht="60" customHeight="1" x14ac:dyDescent="0.25">
      <c r="A928"/>
      <c r="B928" t="s">
        <v>5</v>
      </c>
      <c r="C928" t="s">
        <v>3377</v>
      </c>
      <c r="D928" t="s">
        <v>671</v>
      </c>
      <c r="E928" t="s">
        <v>1840</v>
      </c>
      <c r="F928" t="s">
        <v>1841</v>
      </c>
      <c r="G928" t="s">
        <v>713</v>
      </c>
      <c r="H928" s="30">
        <v>510.38</v>
      </c>
      <c r="I928" s="38">
        <f>H928*(1-IFERROR(VLOOKUP(G928,Rabat!$D$10:$E$41,2,FALSE),0))</f>
        <v>510.38</v>
      </c>
      <c r="J928" t="s">
        <v>1902</v>
      </c>
      <c r="K928" t="s">
        <v>1998</v>
      </c>
      <c r="L928" t="s">
        <v>1901</v>
      </c>
      <c r="M928">
        <v>1</v>
      </c>
      <c r="N928"/>
      <c r="O928" t="s">
        <v>3434</v>
      </c>
      <c r="P928" s="31" t="str">
        <f>HYPERLINK("https://b2b.kobi.pl/pl/product/9815,lampa-wiszaca-boho-bitavia-m-1xe27-kobi-design?currency=PLN")</f>
        <v>https://b2b.kobi.pl/pl/product/9815,lampa-wiszaca-boho-bitavia-m-1xe27-kobi-design?currency=PLN</v>
      </c>
      <c r="Q928" t="s">
        <v>15</v>
      </c>
      <c r="R928"/>
      <c r="S928" t="s">
        <v>2706</v>
      </c>
      <c r="T928"/>
      <c r="U928">
        <v>0.7</v>
      </c>
      <c r="V928">
        <v>1.6</v>
      </c>
      <c r="W928">
        <v>50</v>
      </c>
      <c r="X928">
        <v>50</v>
      </c>
      <c r="Y928">
        <v>47</v>
      </c>
    </row>
    <row r="929" spans="1:25" ht="60" customHeight="1" x14ac:dyDescent="0.25">
      <c r="A929"/>
      <c r="B929" t="s">
        <v>5</v>
      </c>
      <c r="C929" t="s">
        <v>3377</v>
      </c>
      <c r="D929" t="s">
        <v>671</v>
      </c>
      <c r="E929" t="s">
        <v>1879</v>
      </c>
      <c r="F929" t="s">
        <v>1880</v>
      </c>
      <c r="G929" t="s">
        <v>825</v>
      </c>
      <c r="H929" s="30">
        <v>302.08</v>
      </c>
      <c r="I929" s="38">
        <f>H929*(1-IFERROR(VLOOKUP(G929,Rabat!$D$10:$E$41,2,FALSE),0))</f>
        <v>302.08</v>
      </c>
      <c r="J929" t="s">
        <v>1902</v>
      </c>
      <c r="K929" t="s">
        <v>2017</v>
      </c>
      <c r="L929" t="s">
        <v>1901</v>
      </c>
      <c r="M929">
        <v>1</v>
      </c>
      <c r="N929"/>
      <c r="O929" t="s">
        <v>3434</v>
      </c>
      <c r="P929" s="31" t="str">
        <f>HYPERLINK("https://b2b.kobi.pl/pl/product/9816,lampka-biurkowa-boho-bitavia-mini-1xe27-kobi-design?currency=PLN")</f>
        <v>https://b2b.kobi.pl/pl/product/9816,lampka-biurkowa-boho-bitavia-mini-1xe27-kobi-design?currency=PLN</v>
      </c>
      <c r="Q929" t="s">
        <v>15</v>
      </c>
      <c r="R929"/>
      <c r="S929" t="s">
        <v>2706</v>
      </c>
      <c r="T929"/>
      <c r="U929">
        <v>0.7</v>
      </c>
      <c r="V929">
        <v>1.4</v>
      </c>
      <c r="W929">
        <v>35</v>
      </c>
      <c r="X929">
        <v>35</v>
      </c>
      <c r="Y929">
        <v>31</v>
      </c>
    </row>
    <row r="930" spans="1:25" ht="60" customHeight="1" x14ac:dyDescent="0.25">
      <c r="A930"/>
      <c r="B930" t="s">
        <v>5</v>
      </c>
      <c r="C930" t="s">
        <v>3377</v>
      </c>
      <c r="D930" t="s">
        <v>671</v>
      </c>
      <c r="E930" t="s">
        <v>866</v>
      </c>
      <c r="F930" t="s">
        <v>867</v>
      </c>
      <c r="G930" t="s">
        <v>713</v>
      </c>
      <c r="H930" s="30">
        <v>303.38</v>
      </c>
      <c r="I930" s="38">
        <f>H930*(1-IFERROR(VLOOKUP(G930,Rabat!$D$10:$E$41,2,FALSE),0))</f>
        <v>303.38</v>
      </c>
      <c r="J930" t="s">
        <v>1902</v>
      </c>
      <c r="K930" t="s">
        <v>1925</v>
      </c>
      <c r="L930" t="s">
        <v>1901</v>
      </c>
      <c r="M930">
        <v>1</v>
      </c>
      <c r="N930"/>
      <c r="O930" t="s">
        <v>3434</v>
      </c>
      <c r="P930" s="31" t="str">
        <f>HYPERLINK("https://b2b.kobi.pl/pl/product/9817,lampa-wiszaca-boho-belmo-1xe27-kobi-design?currency=PLN")</f>
        <v>https://b2b.kobi.pl/pl/product/9817,lampa-wiszaca-boho-belmo-1xe27-kobi-design?currency=PLN</v>
      </c>
      <c r="Q930" t="s">
        <v>15</v>
      </c>
      <c r="R930"/>
      <c r="S930" t="s">
        <v>2706</v>
      </c>
      <c r="T930"/>
      <c r="U930">
        <v>0.5</v>
      </c>
      <c r="V930">
        <v>1.2</v>
      </c>
      <c r="W930">
        <v>40</v>
      </c>
      <c r="X930">
        <v>40</v>
      </c>
      <c r="Y930">
        <v>22</v>
      </c>
    </row>
    <row r="931" spans="1:25" ht="60" customHeight="1" x14ac:dyDescent="0.25">
      <c r="A931"/>
      <c r="B931" t="s">
        <v>5</v>
      </c>
      <c r="C931" t="s">
        <v>3377</v>
      </c>
      <c r="D931" t="s">
        <v>671</v>
      </c>
      <c r="E931" t="s">
        <v>1842</v>
      </c>
      <c r="F931" t="s">
        <v>1843</v>
      </c>
      <c r="G931" t="s">
        <v>713</v>
      </c>
      <c r="H931" s="30">
        <v>337.08</v>
      </c>
      <c r="I931" s="38">
        <f>H931*(1-IFERROR(VLOOKUP(G931,Rabat!$D$10:$E$41,2,FALSE),0))</f>
        <v>337.08</v>
      </c>
      <c r="J931" t="s">
        <v>1902</v>
      </c>
      <c r="K931" t="s">
        <v>1999</v>
      </c>
      <c r="L931" t="s">
        <v>1901</v>
      </c>
      <c r="M931">
        <v>1</v>
      </c>
      <c r="N931"/>
      <c r="O931" t="s">
        <v>3434</v>
      </c>
      <c r="P931" s="31" t="str">
        <f>HYPERLINK("https://b2b.kobi.pl/pl/product/9818,lampa-wiszaca-boho-bosu-1xe27-kobi-design?currency=PLN")</f>
        <v>https://b2b.kobi.pl/pl/product/9818,lampa-wiszaca-boho-bosu-1xe27-kobi-design?currency=PLN</v>
      </c>
      <c r="Q931" t="s">
        <v>15</v>
      </c>
      <c r="R931"/>
      <c r="S931" t="s">
        <v>2706</v>
      </c>
      <c r="T931"/>
      <c r="U931">
        <v>0.5</v>
      </c>
      <c r="V931">
        <v>1.2</v>
      </c>
      <c r="W931">
        <v>40</v>
      </c>
      <c r="X931">
        <v>40</v>
      </c>
      <c r="Y931">
        <v>28</v>
      </c>
    </row>
    <row r="932" spans="1:25" ht="60" customHeight="1" x14ac:dyDescent="0.25">
      <c r="A932"/>
      <c r="B932" t="s">
        <v>5</v>
      </c>
      <c r="C932" t="s">
        <v>3377</v>
      </c>
      <c r="D932" t="s">
        <v>671</v>
      </c>
      <c r="E932" t="s">
        <v>1881</v>
      </c>
      <c r="F932" t="s">
        <v>1882</v>
      </c>
      <c r="G932" t="s">
        <v>713</v>
      </c>
      <c r="H932" s="30">
        <v>342.6</v>
      </c>
      <c r="I932" s="38">
        <f>H932*(1-IFERROR(VLOOKUP(G932,Rabat!$D$10:$E$41,2,FALSE),0))</f>
        <v>342.6</v>
      </c>
      <c r="J932" t="s">
        <v>1902</v>
      </c>
      <c r="K932" t="s">
        <v>2018</v>
      </c>
      <c r="L932" t="s">
        <v>1901</v>
      </c>
      <c r="M932">
        <v>1</v>
      </c>
      <c r="N932"/>
      <c r="O932" t="s">
        <v>3434</v>
      </c>
      <c r="P932" s="31" t="str">
        <f>HYPERLINK("https://b2b.kobi.pl/pl/product/9819,lampa-wiszaca-boho-bonti-1xe27-kobi-design?currency=PLN")</f>
        <v>https://b2b.kobi.pl/pl/product/9819,lampa-wiszaca-boho-bonti-1xe27-kobi-design?currency=PLN</v>
      </c>
      <c r="Q932" t="s">
        <v>15</v>
      </c>
      <c r="R932"/>
      <c r="S932" t="s">
        <v>2706</v>
      </c>
      <c r="T932"/>
      <c r="U932">
        <v>1.2</v>
      </c>
      <c r="V932">
        <v>1.9</v>
      </c>
      <c r="W932">
        <v>41</v>
      </c>
      <c r="X932">
        <v>41</v>
      </c>
      <c r="Y932">
        <v>24</v>
      </c>
    </row>
    <row r="933" spans="1:25" ht="60" customHeight="1" x14ac:dyDescent="0.25">
      <c r="A933"/>
      <c r="B933" t="s">
        <v>5</v>
      </c>
      <c r="C933" t="s">
        <v>3377</v>
      </c>
      <c r="D933" t="s">
        <v>671</v>
      </c>
      <c r="E933" t="s">
        <v>1883</v>
      </c>
      <c r="F933" t="s">
        <v>1884</v>
      </c>
      <c r="G933" t="s">
        <v>713</v>
      </c>
      <c r="H933" s="30">
        <v>502.73</v>
      </c>
      <c r="I933" s="38">
        <f>H933*(1-IFERROR(VLOOKUP(G933,Rabat!$D$10:$E$41,2,FALSE),0))</f>
        <v>502.73</v>
      </c>
      <c r="J933" t="s">
        <v>1902</v>
      </c>
      <c r="K933" t="s">
        <v>2019</v>
      </c>
      <c r="L933" t="s">
        <v>1901</v>
      </c>
      <c r="M933">
        <v>1</v>
      </c>
      <c r="N933"/>
      <c r="O933" t="s">
        <v>3434</v>
      </c>
      <c r="P933" s="31" t="str">
        <f>HYPERLINK("https://b2b.kobi.pl/pl/product/9820,lampa-wiszaca-boho-bindum-1xe27-kobi-design?currency=PLN")</f>
        <v>https://b2b.kobi.pl/pl/product/9820,lampa-wiszaca-boho-bindum-1xe27-kobi-design?currency=PLN</v>
      </c>
      <c r="Q933" t="s">
        <v>15</v>
      </c>
      <c r="R933"/>
      <c r="S933" t="s">
        <v>2706</v>
      </c>
      <c r="T933"/>
      <c r="U933">
        <v>0.6</v>
      </c>
      <c r="V933">
        <v>1.6</v>
      </c>
      <c r="W933">
        <v>51</v>
      </c>
      <c r="X933">
        <v>51</v>
      </c>
      <c r="Y933">
        <v>23</v>
      </c>
    </row>
    <row r="934" spans="1:25" ht="60" customHeight="1" x14ac:dyDescent="0.25">
      <c r="A934"/>
      <c r="B934" t="s">
        <v>5</v>
      </c>
      <c r="C934" t="s">
        <v>3377</v>
      </c>
      <c r="D934" t="s">
        <v>671</v>
      </c>
      <c r="E934" t="s">
        <v>1844</v>
      </c>
      <c r="F934" t="s">
        <v>1845</v>
      </c>
      <c r="G934" t="s">
        <v>713</v>
      </c>
      <c r="H934" s="30">
        <v>380.95</v>
      </c>
      <c r="I934" s="38">
        <f>H934*(1-IFERROR(VLOOKUP(G934,Rabat!$D$10:$E$41,2,FALSE),0))</f>
        <v>380.95</v>
      </c>
      <c r="J934" t="s">
        <v>1902</v>
      </c>
      <c r="K934" t="s">
        <v>2000</v>
      </c>
      <c r="L934" t="s">
        <v>1901</v>
      </c>
      <c r="M934">
        <v>1</v>
      </c>
      <c r="N934"/>
      <c r="O934" t="s">
        <v>3434</v>
      </c>
      <c r="P934" s="31" t="str">
        <f>HYPERLINK("https://b2b.kobi.pl/pl/product/9821,lampa-wiszaca-boho-renni-n-1xe27-kobi-design?currency=PLN")</f>
        <v>https://b2b.kobi.pl/pl/product/9821,lampa-wiszaca-boho-renni-n-1xe27-kobi-design?currency=PLN</v>
      </c>
      <c r="Q934" t="s">
        <v>15</v>
      </c>
      <c r="R934"/>
      <c r="S934" t="s">
        <v>2706</v>
      </c>
      <c r="T934"/>
      <c r="U934">
        <v>0.6</v>
      </c>
      <c r="V934">
        <v>1.4</v>
      </c>
      <c r="W934">
        <v>41.5</v>
      </c>
      <c r="X934">
        <v>41.5</v>
      </c>
      <c r="Y934">
        <v>22.5</v>
      </c>
    </row>
    <row r="935" spans="1:25" ht="60" customHeight="1" x14ac:dyDescent="0.25">
      <c r="A935"/>
      <c r="B935" t="s">
        <v>5</v>
      </c>
      <c r="C935" t="s">
        <v>3377</v>
      </c>
      <c r="D935" t="s">
        <v>671</v>
      </c>
      <c r="E935" t="s">
        <v>1846</v>
      </c>
      <c r="F935" t="s">
        <v>1847</v>
      </c>
      <c r="G935" t="s">
        <v>713</v>
      </c>
      <c r="H935" s="30">
        <v>353.7</v>
      </c>
      <c r="I935" s="38">
        <f>H935*(1-IFERROR(VLOOKUP(G935,Rabat!$D$10:$E$41,2,FALSE),0))</f>
        <v>353.7</v>
      </c>
      <c r="J935" t="s">
        <v>1902</v>
      </c>
      <c r="K935" t="s">
        <v>2001</v>
      </c>
      <c r="L935" t="s">
        <v>1901</v>
      </c>
      <c r="M935">
        <v>1</v>
      </c>
      <c r="N935"/>
      <c r="O935" t="s">
        <v>3434</v>
      </c>
      <c r="P935" s="31" t="str">
        <f>HYPERLINK("https://b2b.kobi.pl/pl/product/9822,lampa-wiszaca-boho-bayos-1xe27-kobi-design?currency=PLN")</f>
        <v>https://b2b.kobi.pl/pl/product/9822,lampa-wiszaca-boho-bayos-1xe27-kobi-design?currency=PLN</v>
      </c>
      <c r="Q935" t="s">
        <v>15</v>
      </c>
      <c r="R935"/>
      <c r="S935" t="s">
        <v>2706</v>
      </c>
      <c r="T935"/>
      <c r="U935">
        <v>0.4</v>
      </c>
      <c r="V935">
        <v>1.2</v>
      </c>
      <c r="W935">
        <v>42</v>
      </c>
      <c r="X935">
        <v>42</v>
      </c>
      <c r="Y935">
        <v>29</v>
      </c>
    </row>
    <row r="936" spans="1:25" ht="60" customHeight="1" x14ac:dyDescent="0.25">
      <c r="A936"/>
      <c r="B936" t="s">
        <v>5</v>
      </c>
      <c r="C936" t="s">
        <v>3377</v>
      </c>
      <c r="D936" t="s">
        <v>671</v>
      </c>
      <c r="E936" t="s">
        <v>1885</v>
      </c>
      <c r="F936" t="s">
        <v>1886</v>
      </c>
      <c r="G936" t="s">
        <v>713</v>
      </c>
      <c r="H936" s="30">
        <v>276.93</v>
      </c>
      <c r="I936" s="38">
        <f>H936*(1-IFERROR(VLOOKUP(G936,Rabat!$D$10:$E$41,2,FALSE),0))</f>
        <v>276.93</v>
      </c>
      <c r="J936" t="s">
        <v>1902</v>
      </c>
      <c r="K936" t="s">
        <v>2020</v>
      </c>
      <c r="L936" t="s">
        <v>1901</v>
      </c>
      <c r="M936">
        <v>1</v>
      </c>
      <c r="N936"/>
      <c r="O936" t="s">
        <v>3434</v>
      </c>
      <c r="P936" s="31" t="str">
        <f>HYPERLINK("https://b2b.kobi.pl/pl/product/9823,lampa-wiszaca-boho-bandigo-1xe27-kobi-design?currency=PLN")</f>
        <v>https://b2b.kobi.pl/pl/product/9823,lampa-wiszaca-boho-bandigo-1xe27-kobi-design?currency=PLN</v>
      </c>
      <c r="Q936" t="s">
        <v>15</v>
      </c>
      <c r="R936"/>
      <c r="S936" t="s">
        <v>2706</v>
      </c>
      <c r="T936"/>
      <c r="U936">
        <v>0.6</v>
      </c>
      <c r="V936">
        <v>1</v>
      </c>
      <c r="W936">
        <v>32</v>
      </c>
      <c r="X936">
        <v>32</v>
      </c>
      <c r="Y936">
        <v>22</v>
      </c>
    </row>
    <row r="937" spans="1:25" ht="60" customHeight="1" x14ac:dyDescent="0.25">
      <c r="A937"/>
      <c r="B937" t="s">
        <v>5</v>
      </c>
      <c r="C937" t="s">
        <v>3377</v>
      </c>
      <c r="D937" t="s">
        <v>671</v>
      </c>
      <c r="E937" t="s">
        <v>1848</v>
      </c>
      <c r="F937" t="s">
        <v>1849</v>
      </c>
      <c r="G937" t="s">
        <v>713</v>
      </c>
      <c r="H937" s="30">
        <v>410.6</v>
      </c>
      <c r="I937" s="38">
        <f>H937*(1-IFERROR(VLOOKUP(G937,Rabat!$D$10:$E$41,2,FALSE),0))</f>
        <v>410.6</v>
      </c>
      <c r="J937" t="s">
        <v>1902</v>
      </c>
      <c r="K937" t="s">
        <v>2002</v>
      </c>
      <c r="L937" t="s">
        <v>1901</v>
      </c>
      <c r="M937">
        <v>1</v>
      </c>
      <c r="N937"/>
      <c r="O937" t="s">
        <v>3434</v>
      </c>
      <c r="P937" s="31" t="str">
        <f>HYPERLINK("https://b2b.kobi.pl/pl/product/9824,lampa-wiszaca-boho-barso-1xe27-kobi-design?currency=PLN")</f>
        <v>https://b2b.kobi.pl/pl/product/9824,lampa-wiszaca-boho-barso-1xe27-kobi-design?currency=PLN</v>
      </c>
      <c r="Q937" t="s">
        <v>15</v>
      </c>
      <c r="R937"/>
      <c r="S937" t="s">
        <v>2706</v>
      </c>
      <c r="T937"/>
      <c r="U937">
        <v>0.4</v>
      </c>
      <c r="V937">
        <v>1.4</v>
      </c>
      <c r="W937">
        <v>41</v>
      </c>
      <c r="X937">
        <v>41</v>
      </c>
      <c r="Y937">
        <v>43</v>
      </c>
    </row>
    <row r="938" spans="1:25" ht="60" customHeight="1" x14ac:dyDescent="0.25">
      <c r="A938"/>
      <c r="B938" t="s">
        <v>5</v>
      </c>
      <c r="C938" t="s">
        <v>3377</v>
      </c>
      <c r="D938" t="s">
        <v>671</v>
      </c>
      <c r="E938" t="s">
        <v>2904</v>
      </c>
      <c r="F938" t="s">
        <v>834</v>
      </c>
      <c r="G938" t="s">
        <v>713</v>
      </c>
      <c r="H938" s="30">
        <v>300.02</v>
      </c>
      <c r="I938" s="38">
        <f>H938*(1-IFERROR(VLOOKUP(G938,Rabat!$D$10:$E$41,2,FALSE),0))</f>
        <v>300.02</v>
      </c>
      <c r="J938" t="s">
        <v>1902</v>
      </c>
      <c r="K938" t="s">
        <v>1920</v>
      </c>
      <c r="L938" t="s">
        <v>1901</v>
      </c>
      <c r="M938">
        <v>1</v>
      </c>
      <c r="N938">
        <v>30</v>
      </c>
      <c r="O938" t="s">
        <v>3434</v>
      </c>
      <c r="P938" s="31" t="str">
        <f>HYPERLINK("https://b2b.kobi.pl/pl/product/9825,lampa-sufitowa-boho-buli-s-1xe27-kobi-design?currency=PLN")</f>
        <v>https://b2b.kobi.pl/pl/product/9825,lampa-sufitowa-boho-buli-s-1xe27-kobi-design?currency=PLN</v>
      </c>
      <c r="Q938" t="s">
        <v>15</v>
      </c>
      <c r="R938"/>
      <c r="S938" t="s">
        <v>2706</v>
      </c>
      <c r="T938"/>
      <c r="U938">
        <v>0.7</v>
      </c>
      <c r="V938">
        <v>1.4</v>
      </c>
      <c r="W938">
        <v>41</v>
      </c>
      <c r="X938">
        <v>41</v>
      </c>
      <c r="Y938">
        <v>23</v>
      </c>
    </row>
    <row r="939" spans="1:25" ht="60" customHeight="1" x14ac:dyDescent="0.25">
      <c r="A939"/>
      <c r="B939" t="s">
        <v>5</v>
      </c>
      <c r="C939" t="s">
        <v>3377</v>
      </c>
      <c r="D939" t="s">
        <v>671</v>
      </c>
      <c r="E939" t="s">
        <v>1850</v>
      </c>
      <c r="F939" t="s">
        <v>1851</v>
      </c>
      <c r="G939" t="s">
        <v>713</v>
      </c>
      <c r="H939" s="30">
        <v>418.93</v>
      </c>
      <c r="I939" s="38">
        <f>H939*(1-IFERROR(VLOOKUP(G939,Rabat!$D$10:$E$41,2,FALSE),0))</f>
        <v>418.93</v>
      </c>
      <c r="J939" t="s">
        <v>1902</v>
      </c>
      <c r="K939" t="s">
        <v>2003</v>
      </c>
      <c r="L939" t="s">
        <v>1901</v>
      </c>
      <c r="M939">
        <v>1</v>
      </c>
      <c r="N939">
        <v>18</v>
      </c>
      <c r="O939" t="s">
        <v>3434</v>
      </c>
      <c r="P939" s="31" t="str">
        <f>HYPERLINK("https://b2b.kobi.pl/pl/product/9826,lampa-sufitowa-boho-buli-m-1xe27-kobi-design?currency=PLN")</f>
        <v>https://b2b.kobi.pl/pl/product/9826,lampa-sufitowa-boho-buli-m-1xe27-kobi-design?currency=PLN</v>
      </c>
      <c r="Q939" t="s">
        <v>15</v>
      </c>
      <c r="R939"/>
      <c r="S939" t="s">
        <v>2706</v>
      </c>
      <c r="T939"/>
      <c r="U939">
        <v>0.9</v>
      </c>
      <c r="V939">
        <v>1.8</v>
      </c>
      <c r="W939">
        <v>51</v>
      </c>
      <c r="X939">
        <v>51</v>
      </c>
      <c r="Y939">
        <v>24.5</v>
      </c>
    </row>
    <row r="940" spans="1:25" ht="60" customHeight="1" x14ac:dyDescent="0.25">
      <c r="A940"/>
      <c r="B940" t="s">
        <v>5</v>
      </c>
      <c r="C940" t="s">
        <v>3377</v>
      </c>
      <c r="D940" t="s">
        <v>671</v>
      </c>
      <c r="E940" t="s">
        <v>1852</v>
      </c>
      <c r="F940" t="s">
        <v>1853</v>
      </c>
      <c r="G940" t="s">
        <v>713</v>
      </c>
      <c r="H940" s="30">
        <v>290.55</v>
      </c>
      <c r="I940" s="38">
        <f>H940*(1-IFERROR(VLOOKUP(G940,Rabat!$D$10:$E$41,2,FALSE),0))</f>
        <v>290.55</v>
      </c>
      <c r="J940" t="s">
        <v>1902</v>
      </c>
      <c r="K940" t="s">
        <v>2004</v>
      </c>
      <c r="L940" t="s">
        <v>1901</v>
      </c>
      <c r="M940">
        <v>1</v>
      </c>
      <c r="N940"/>
      <c r="O940" t="s">
        <v>3434</v>
      </c>
      <c r="P940" s="31" t="str">
        <f>HYPERLINK("https://b2b.kobi.pl/pl/product/9827,lampa-wiszaca-boho-bemidi-s-1xe27-kobi-design?currency=PLN")</f>
        <v>https://b2b.kobi.pl/pl/product/9827,lampa-wiszaca-boho-bemidi-s-1xe27-kobi-design?currency=PLN</v>
      </c>
      <c r="Q940" t="s">
        <v>15</v>
      </c>
      <c r="R940"/>
      <c r="S940" t="s">
        <v>2706</v>
      </c>
      <c r="T940"/>
      <c r="U940">
        <v>0.4</v>
      </c>
      <c r="V940">
        <v>1.2</v>
      </c>
      <c r="W940">
        <v>42</v>
      </c>
      <c r="X940">
        <v>20</v>
      </c>
      <c r="Y940">
        <v>33</v>
      </c>
    </row>
    <row r="941" spans="1:25" ht="60" customHeight="1" x14ac:dyDescent="0.25">
      <c r="A941"/>
      <c r="B941" t="s">
        <v>5</v>
      </c>
      <c r="C941" t="s">
        <v>3377</v>
      </c>
      <c r="D941" t="s">
        <v>671</v>
      </c>
      <c r="E941" t="s">
        <v>1887</v>
      </c>
      <c r="F941" t="s">
        <v>1888</v>
      </c>
      <c r="G941" t="s">
        <v>713</v>
      </c>
      <c r="H941" s="30">
        <v>383.33</v>
      </c>
      <c r="I941" s="38">
        <f>H941*(1-IFERROR(VLOOKUP(G941,Rabat!$D$10:$E$41,2,FALSE),0))</f>
        <v>383.33</v>
      </c>
      <c r="J941" t="s">
        <v>1902</v>
      </c>
      <c r="K941" t="s">
        <v>2021</v>
      </c>
      <c r="L941" t="s">
        <v>1901</v>
      </c>
      <c r="M941">
        <v>1</v>
      </c>
      <c r="N941"/>
      <c r="O941" t="s">
        <v>3434</v>
      </c>
      <c r="P941" s="31" t="str">
        <f>HYPERLINK("https://b2b.kobi.pl/pl/product/9828,lampa-wiszaca-boho-bemidi-m-1xe27-kobi-design?currency=PLN")</f>
        <v>https://b2b.kobi.pl/pl/product/9828,lampa-wiszaca-boho-bemidi-m-1xe27-kobi-design?currency=PLN</v>
      </c>
      <c r="Q941" t="s">
        <v>15</v>
      </c>
      <c r="R941"/>
      <c r="S941" t="s">
        <v>2706</v>
      </c>
      <c r="T941"/>
      <c r="U941">
        <v>0.5</v>
      </c>
      <c r="V941">
        <v>1.5</v>
      </c>
      <c r="W941">
        <v>52</v>
      </c>
      <c r="X941">
        <v>22</v>
      </c>
      <c r="Y941">
        <v>43</v>
      </c>
    </row>
    <row r="942" spans="1:25" ht="60" customHeight="1" x14ac:dyDescent="0.25">
      <c r="A942"/>
      <c r="B942" t="s">
        <v>5</v>
      </c>
      <c r="C942" t="s">
        <v>3377</v>
      </c>
      <c r="D942" t="s">
        <v>671</v>
      </c>
      <c r="E942" t="s">
        <v>2755</v>
      </c>
      <c r="F942" t="s">
        <v>837</v>
      </c>
      <c r="G942" t="s">
        <v>713</v>
      </c>
      <c r="H942" s="30">
        <v>278.18</v>
      </c>
      <c r="I942" s="38">
        <f>H942*(1-IFERROR(VLOOKUP(G942,Rabat!$D$10:$E$41,2,FALSE),0))</f>
        <v>278.18</v>
      </c>
      <c r="J942" t="s">
        <v>1902</v>
      </c>
      <c r="K942" t="s">
        <v>1923</v>
      </c>
      <c r="L942" t="s">
        <v>1901</v>
      </c>
      <c r="M942">
        <v>1</v>
      </c>
      <c r="N942"/>
      <c r="O942" t="s">
        <v>3434</v>
      </c>
      <c r="P942" s="31" t="str">
        <f>HYPERLINK("https://b2b.kobi.pl/pl/product/9829,lampa-sufitowa-boho-rovno-1xe27-kobi-design?currency=PLN")</f>
        <v>https://b2b.kobi.pl/pl/product/9829,lampa-sufitowa-boho-rovno-1xe27-kobi-design?currency=PLN</v>
      </c>
      <c r="Q942" t="s">
        <v>15</v>
      </c>
      <c r="R942"/>
      <c r="S942" t="s">
        <v>2706</v>
      </c>
      <c r="T942"/>
      <c r="U942">
        <v>0.6</v>
      </c>
      <c r="V942">
        <v>1.5</v>
      </c>
      <c r="W942">
        <v>41</v>
      </c>
      <c r="X942">
        <v>41</v>
      </c>
      <c r="Y942">
        <v>42</v>
      </c>
    </row>
    <row r="943" spans="1:25" ht="60" customHeight="1" x14ac:dyDescent="0.25">
      <c r="A943"/>
      <c r="B943" t="s">
        <v>5</v>
      </c>
      <c r="C943" t="s">
        <v>3377</v>
      </c>
      <c r="D943" t="s">
        <v>671</v>
      </c>
      <c r="E943" t="s">
        <v>2905</v>
      </c>
      <c r="F943" t="s">
        <v>1854</v>
      </c>
      <c r="G943" t="s">
        <v>713</v>
      </c>
      <c r="H943" s="30">
        <v>380.95</v>
      </c>
      <c r="I943" s="38">
        <f>H943*(1-IFERROR(VLOOKUP(G943,Rabat!$D$10:$E$41,2,FALSE),0))</f>
        <v>380.95</v>
      </c>
      <c r="J943" t="s">
        <v>1902</v>
      </c>
      <c r="K943" t="s">
        <v>2005</v>
      </c>
      <c r="L943" t="s">
        <v>1901</v>
      </c>
      <c r="M943">
        <v>1</v>
      </c>
      <c r="N943"/>
      <c r="O943" t="s">
        <v>3434</v>
      </c>
      <c r="P943" s="31" t="str">
        <f>HYPERLINK("https://b2b.kobi.pl/pl/product/9830,lampa-sufitowa-boho-renni-b-1xe27-kobi-design?currency=PLN")</f>
        <v>https://b2b.kobi.pl/pl/product/9830,lampa-sufitowa-boho-renni-b-1xe27-kobi-design?currency=PLN</v>
      </c>
      <c r="Q943" t="s">
        <v>15</v>
      </c>
      <c r="R943"/>
      <c r="S943" t="s">
        <v>2706</v>
      </c>
      <c r="T943"/>
      <c r="U943">
        <v>0.7</v>
      </c>
      <c r="V943">
        <v>1.5</v>
      </c>
      <c r="W943">
        <v>40</v>
      </c>
      <c r="X943">
        <v>40</v>
      </c>
      <c r="Y943">
        <v>25</v>
      </c>
    </row>
    <row r="944" spans="1:25" ht="60" customHeight="1" x14ac:dyDescent="0.25">
      <c r="A944"/>
      <c r="B944" t="s">
        <v>5</v>
      </c>
      <c r="C944" t="s">
        <v>3377</v>
      </c>
      <c r="D944" t="s">
        <v>671</v>
      </c>
      <c r="E944" t="s">
        <v>2906</v>
      </c>
      <c r="F944" t="s">
        <v>1889</v>
      </c>
      <c r="G944" t="s">
        <v>713</v>
      </c>
      <c r="H944" s="30">
        <v>335.1</v>
      </c>
      <c r="I944" s="38">
        <f>H944*(1-IFERROR(VLOOKUP(G944,Rabat!$D$10:$E$41,2,FALSE),0))</f>
        <v>335.1</v>
      </c>
      <c r="J944" t="s">
        <v>1902</v>
      </c>
      <c r="K944" t="s">
        <v>2022</v>
      </c>
      <c r="L944" t="s">
        <v>1901</v>
      </c>
      <c r="M944">
        <v>1</v>
      </c>
      <c r="N944"/>
      <c r="O944" t="s">
        <v>3434</v>
      </c>
      <c r="P944" s="31" t="str">
        <f>HYPERLINK("https://b2b.kobi.pl/pl/product/9831,lampa-sufitowa-boho-reddi-1xe27-kobi-design?currency=PLN")</f>
        <v>https://b2b.kobi.pl/pl/product/9831,lampa-sufitowa-boho-reddi-1xe27-kobi-design?currency=PLN</v>
      </c>
      <c r="Q944" t="s">
        <v>15</v>
      </c>
      <c r="R944"/>
      <c r="S944" t="s">
        <v>2706</v>
      </c>
      <c r="T944"/>
      <c r="U944">
        <v>1</v>
      </c>
      <c r="V944">
        <v>1.7</v>
      </c>
      <c r="W944">
        <v>36</v>
      </c>
      <c r="X944">
        <v>36</v>
      </c>
      <c r="Y944">
        <v>41</v>
      </c>
    </row>
    <row r="945" spans="1:25" ht="60" customHeight="1" x14ac:dyDescent="0.25">
      <c r="A945"/>
      <c r="B945" t="s">
        <v>5</v>
      </c>
      <c r="C945" t="s">
        <v>3377</v>
      </c>
      <c r="D945" t="s">
        <v>671</v>
      </c>
      <c r="E945" t="s">
        <v>2907</v>
      </c>
      <c r="F945" t="s">
        <v>1855</v>
      </c>
      <c r="G945" t="s">
        <v>713</v>
      </c>
      <c r="H945" s="30">
        <v>246.68</v>
      </c>
      <c r="I945" s="38">
        <f>H945*(1-IFERROR(VLOOKUP(G945,Rabat!$D$10:$E$41,2,FALSE),0))</f>
        <v>246.68</v>
      </c>
      <c r="J945" t="s">
        <v>1902</v>
      </c>
      <c r="K945" t="s">
        <v>2006</v>
      </c>
      <c r="L945" t="s">
        <v>1901</v>
      </c>
      <c r="M945">
        <v>1</v>
      </c>
      <c r="N945"/>
      <c r="O945" t="s">
        <v>3434</v>
      </c>
      <c r="P945" s="31" t="str">
        <f>HYPERLINK("https://b2b.kobi.pl/pl/product/9832,lampa-sufitowa-boho-sibu-long-1xe27-kobi-design?currency=PLN")</f>
        <v>https://b2b.kobi.pl/pl/product/9832,lampa-sufitowa-boho-sibu-long-1xe27-kobi-design?currency=PLN</v>
      </c>
      <c r="Q945" t="s">
        <v>15</v>
      </c>
      <c r="R945"/>
      <c r="S945" t="s">
        <v>2706</v>
      </c>
      <c r="T945"/>
      <c r="U945">
        <v>0.8</v>
      </c>
      <c r="V945">
        <v>1.4</v>
      </c>
      <c r="W945">
        <v>31.5</v>
      </c>
      <c r="X945">
        <v>31.5</v>
      </c>
      <c r="Y945">
        <v>43</v>
      </c>
    </row>
    <row r="946" spans="1:25" ht="60" customHeight="1" x14ac:dyDescent="0.25">
      <c r="A946"/>
      <c r="B946" t="s">
        <v>5</v>
      </c>
      <c r="C946" t="s">
        <v>3377</v>
      </c>
      <c r="D946" t="s">
        <v>671</v>
      </c>
      <c r="E946" t="s">
        <v>1856</v>
      </c>
      <c r="F946" t="s">
        <v>1857</v>
      </c>
      <c r="G946" t="s">
        <v>713</v>
      </c>
      <c r="H946" s="30">
        <v>265.85000000000002</v>
      </c>
      <c r="I946" s="38">
        <f>H946*(1-IFERROR(VLOOKUP(G946,Rabat!$D$10:$E$41,2,FALSE),0))</f>
        <v>265.85000000000002</v>
      </c>
      <c r="J946" t="s">
        <v>1902</v>
      </c>
      <c r="K946" t="s">
        <v>2007</v>
      </c>
      <c r="L946" t="s">
        <v>1901</v>
      </c>
      <c r="M946">
        <v>1</v>
      </c>
      <c r="N946"/>
      <c r="O946" t="s">
        <v>3434</v>
      </c>
      <c r="P946" s="31" t="str">
        <f>HYPERLINK("https://b2b.kobi.pl/pl/product/9833,kinkiet-boho-sibu-wall-1xe27-kobi-design?currency=PLN")</f>
        <v>https://b2b.kobi.pl/pl/product/9833,kinkiet-boho-sibu-wall-1xe27-kobi-design?currency=PLN</v>
      </c>
      <c r="Q946" t="s">
        <v>15</v>
      </c>
      <c r="R946"/>
      <c r="S946" t="s">
        <v>2706</v>
      </c>
      <c r="T946"/>
      <c r="U946">
        <v>0.8</v>
      </c>
      <c r="V946">
        <v>1.2</v>
      </c>
      <c r="W946">
        <v>27</v>
      </c>
      <c r="X946">
        <v>22</v>
      </c>
      <c r="Y946">
        <v>20</v>
      </c>
    </row>
    <row r="947" spans="1:25" ht="60" customHeight="1" x14ac:dyDescent="0.25">
      <c r="A947"/>
      <c r="B947" t="s">
        <v>5</v>
      </c>
      <c r="C947" t="s">
        <v>3377</v>
      </c>
      <c r="D947" t="s">
        <v>671</v>
      </c>
      <c r="E947" t="s">
        <v>1890</v>
      </c>
      <c r="F947" t="s">
        <v>1891</v>
      </c>
      <c r="G947" t="s">
        <v>825</v>
      </c>
      <c r="H947" s="30">
        <v>337.08</v>
      </c>
      <c r="I947" s="38">
        <f>H947*(1-IFERROR(VLOOKUP(G947,Rabat!$D$10:$E$41,2,FALSE),0))</f>
        <v>337.08</v>
      </c>
      <c r="J947" t="s">
        <v>1902</v>
      </c>
      <c r="K947" t="s">
        <v>2023</v>
      </c>
      <c r="L947" t="s">
        <v>1901</v>
      </c>
      <c r="M947">
        <v>1</v>
      </c>
      <c r="N947"/>
      <c r="O947" t="s">
        <v>3434</v>
      </c>
      <c r="P947" s="31" t="str">
        <f>HYPERLINK("https://b2b.kobi.pl/pl/product/9834,lampka-biurkowa-boho-simbu-hs-1xe27-kobi-design?currency=PLN")</f>
        <v>https://b2b.kobi.pl/pl/product/9834,lampka-biurkowa-boho-simbu-hs-1xe27-kobi-design?currency=PLN</v>
      </c>
      <c r="Q947" t="s">
        <v>15</v>
      </c>
      <c r="R947"/>
      <c r="S947" t="s">
        <v>2706</v>
      </c>
      <c r="T947"/>
      <c r="U947">
        <v>0.8</v>
      </c>
      <c r="V947">
        <v>1.5</v>
      </c>
      <c r="W947">
        <v>29.5</v>
      </c>
      <c r="X947">
        <v>29.5</v>
      </c>
      <c r="Y947">
        <v>31</v>
      </c>
    </row>
    <row r="948" spans="1:25" ht="60" customHeight="1" x14ac:dyDescent="0.25">
      <c r="A948"/>
      <c r="B948" t="s">
        <v>5</v>
      </c>
      <c r="C948" t="s">
        <v>3377</v>
      </c>
      <c r="D948" t="s">
        <v>671</v>
      </c>
      <c r="E948" t="s">
        <v>1858</v>
      </c>
      <c r="F948" t="s">
        <v>1859</v>
      </c>
      <c r="G948" t="s">
        <v>825</v>
      </c>
      <c r="H948" s="30">
        <v>341.33</v>
      </c>
      <c r="I948" s="38">
        <f>H948*(1-IFERROR(VLOOKUP(G948,Rabat!$D$10:$E$41,2,FALSE),0))</f>
        <v>341.33</v>
      </c>
      <c r="J948" t="s">
        <v>1902</v>
      </c>
      <c r="K948" t="s">
        <v>2008</v>
      </c>
      <c r="L948" t="s">
        <v>1901</v>
      </c>
      <c r="M948">
        <v>1</v>
      </c>
      <c r="N948"/>
      <c r="O948" t="s">
        <v>3434</v>
      </c>
      <c r="P948" s="31" t="str">
        <f>HYPERLINK("https://b2b.kobi.pl/pl/product/9835,lampka-biurkowa-boho-simbu-ls-1xe27-kobi-design?currency=PLN")</f>
        <v>https://b2b.kobi.pl/pl/product/9835,lampka-biurkowa-boho-simbu-ls-1xe27-kobi-design?currency=PLN</v>
      </c>
      <c r="Q948" t="s">
        <v>15</v>
      </c>
      <c r="R948"/>
      <c r="S948" t="s">
        <v>2706</v>
      </c>
      <c r="T948"/>
      <c r="U948">
        <v>0.8</v>
      </c>
      <c r="V948">
        <v>1.4</v>
      </c>
      <c r="W948">
        <v>32.5</v>
      </c>
      <c r="X948">
        <v>32.5</v>
      </c>
      <c r="Y948">
        <v>24.5</v>
      </c>
    </row>
    <row r="949" spans="1:25" ht="60" customHeight="1" x14ac:dyDescent="0.25">
      <c r="A949"/>
      <c r="B949" t="s">
        <v>5</v>
      </c>
      <c r="C949" t="s">
        <v>3377</v>
      </c>
      <c r="D949" t="s">
        <v>671</v>
      </c>
      <c r="E949" t="s">
        <v>1892</v>
      </c>
      <c r="F949" t="s">
        <v>1893</v>
      </c>
      <c r="G949" t="s">
        <v>713</v>
      </c>
      <c r="H949" s="30">
        <v>241.1</v>
      </c>
      <c r="I949" s="38">
        <f>H949*(1-IFERROR(VLOOKUP(G949,Rabat!$D$10:$E$41,2,FALSE),0))</f>
        <v>241.1</v>
      </c>
      <c r="J949" t="s">
        <v>1902</v>
      </c>
      <c r="K949" t="s">
        <v>2024</v>
      </c>
      <c r="L949" t="s">
        <v>1901</v>
      </c>
      <c r="M949">
        <v>1</v>
      </c>
      <c r="N949"/>
      <c r="O949" t="s">
        <v>3434</v>
      </c>
      <c r="P949" s="31" t="str">
        <f>HYPERLINK("https://b2b.kobi.pl/pl/product/9836,lampa-wiszaca-boho-silvon-1xe27-kobi-design?currency=PLN")</f>
        <v>https://b2b.kobi.pl/pl/product/9836,lampa-wiszaca-boho-silvon-1xe27-kobi-design?currency=PLN</v>
      </c>
      <c r="Q949" t="s">
        <v>15</v>
      </c>
      <c r="R949"/>
      <c r="S949" t="s">
        <v>2706</v>
      </c>
      <c r="T949"/>
      <c r="U949">
        <v>0.8</v>
      </c>
      <c r="V949">
        <v>1.6</v>
      </c>
      <c r="W949">
        <v>31.5</v>
      </c>
      <c r="X949">
        <v>31.5</v>
      </c>
      <c r="Y949">
        <v>35</v>
      </c>
    </row>
    <row r="950" spans="1:25" ht="60" customHeight="1" x14ac:dyDescent="0.25">
      <c r="A950"/>
      <c r="B950" t="s">
        <v>5</v>
      </c>
      <c r="C950" t="s">
        <v>3377</v>
      </c>
      <c r="D950" t="s">
        <v>671</v>
      </c>
      <c r="E950" t="s">
        <v>1860</v>
      </c>
      <c r="F950" t="s">
        <v>1861</v>
      </c>
      <c r="G950" t="s">
        <v>825</v>
      </c>
      <c r="H950" s="30">
        <v>290.55</v>
      </c>
      <c r="I950" s="38">
        <f>H950*(1-IFERROR(VLOOKUP(G950,Rabat!$D$10:$E$41,2,FALSE),0))</f>
        <v>290.55</v>
      </c>
      <c r="J950" t="s">
        <v>1902</v>
      </c>
      <c r="K950" t="s">
        <v>2009</v>
      </c>
      <c r="L950" t="s">
        <v>1901</v>
      </c>
      <c r="M950">
        <v>1</v>
      </c>
      <c r="N950"/>
      <c r="O950" t="s">
        <v>3434</v>
      </c>
      <c r="P950" s="31" t="str">
        <f>HYPERLINK("https://b2b.kobi.pl/pl/product/9837,lampka-biurkowa-boho-sibu-st-1xe27-kobi-design?currency=PLN")</f>
        <v>https://b2b.kobi.pl/pl/product/9837,lampka-biurkowa-boho-sibu-st-1xe27-kobi-design?currency=PLN</v>
      </c>
      <c r="Q950" t="s">
        <v>15</v>
      </c>
      <c r="R950"/>
      <c r="S950" t="s">
        <v>2706</v>
      </c>
      <c r="T950"/>
      <c r="U950">
        <v>0.7</v>
      </c>
      <c r="V950">
        <v>1.3</v>
      </c>
      <c r="W950">
        <v>32</v>
      </c>
      <c r="X950">
        <v>32</v>
      </c>
      <c r="Y950">
        <v>38</v>
      </c>
    </row>
    <row r="951" spans="1:25" ht="60" customHeight="1" x14ac:dyDescent="0.25">
      <c r="A951"/>
      <c r="B951" t="s">
        <v>5</v>
      </c>
      <c r="C951" t="s">
        <v>3377</v>
      </c>
      <c r="D951" t="s">
        <v>671</v>
      </c>
      <c r="E951" t="s">
        <v>2756</v>
      </c>
      <c r="F951" t="s">
        <v>835</v>
      </c>
      <c r="G951" t="s">
        <v>713</v>
      </c>
      <c r="H951" s="30">
        <v>346.62</v>
      </c>
      <c r="I951" s="38">
        <f>H951*(1-IFERROR(VLOOKUP(G951,Rabat!$D$10:$E$41,2,FALSE),0))</f>
        <v>346.62</v>
      </c>
      <c r="J951" t="s">
        <v>1902</v>
      </c>
      <c r="K951" t="s">
        <v>1921</v>
      </c>
      <c r="L951" t="s">
        <v>1901</v>
      </c>
      <c r="M951">
        <v>1</v>
      </c>
      <c r="N951"/>
      <c r="O951" t="s">
        <v>3434</v>
      </c>
      <c r="P951" s="31" t="str">
        <f>HYPERLINK("https://b2b.kobi.pl/pl/product/9838,lampa-sufitowa-boho-floxen-round-1xe27-kobi-design?currency=PLN")</f>
        <v>https://b2b.kobi.pl/pl/product/9838,lampa-sufitowa-boho-floxen-round-1xe27-kobi-design?currency=PLN</v>
      </c>
      <c r="Q951" t="s">
        <v>15</v>
      </c>
      <c r="R951"/>
      <c r="S951" t="s">
        <v>2706</v>
      </c>
      <c r="T951"/>
      <c r="U951">
        <v>1</v>
      </c>
      <c r="V951">
        <v>1.9</v>
      </c>
      <c r="W951">
        <v>46.5</v>
      </c>
      <c r="X951">
        <v>46.5</v>
      </c>
      <c r="Y951">
        <v>26</v>
      </c>
    </row>
    <row r="952" spans="1:25" ht="60" customHeight="1" x14ac:dyDescent="0.25">
      <c r="A952"/>
      <c r="B952" t="s">
        <v>5</v>
      </c>
      <c r="C952" t="s">
        <v>3377</v>
      </c>
      <c r="D952" t="s">
        <v>671</v>
      </c>
      <c r="E952" t="s">
        <v>2757</v>
      </c>
      <c r="F952" t="s">
        <v>836</v>
      </c>
      <c r="G952" t="s">
        <v>713</v>
      </c>
      <c r="H952" s="30">
        <v>352.18</v>
      </c>
      <c r="I952" s="38">
        <f>H952*(1-IFERROR(VLOOKUP(G952,Rabat!$D$10:$E$41,2,FALSE),0))</f>
        <v>352.18</v>
      </c>
      <c r="J952" t="s">
        <v>1902</v>
      </c>
      <c r="K952" t="s">
        <v>1922</v>
      </c>
      <c r="L952" t="s">
        <v>1901</v>
      </c>
      <c r="M952">
        <v>1</v>
      </c>
      <c r="N952"/>
      <c r="O952" t="s">
        <v>3434</v>
      </c>
      <c r="P952" s="31" t="str">
        <f>HYPERLINK("https://b2b.kobi.pl/pl/product/9839,lampa-sufitowa-boho-floxen-slant-1xe27-kobi-design?currency=PLN")</f>
        <v>https://b2b.kobi.pl/pl/product/9839,lampa-sufitowa-boho-floxen-slant-1xe27-kobi-design?currency=PLN</v>
      </c>
      <c r="Q952" t="s">
        <v>15</v>
      </c>
      <c r="R952"/>
      <c r="S952" t="s">
        <v>2706</v>
      </c>
      <c r="T952"/>
      <c r="U952">
        <v>1</v>
      </c>
      <c r="V952">
        <v>1.8</v>
      </c>
      <c r="W952">
        <v>46.5</v>
      </c>
      <c r="X952">
        <v>46.5</v>
      </c>
      <c r="Y952">
        <v>28</v>
      </c>
    </row>
    <row r="953" spans="1:25" ht="60" customHeight="1" x14ac:dyDescent="0.25">
      <c r="A953"/>
      <c r="B953" t="s">
        <v>5</v>
      </c>
      <c r="C953" t="s">
        <v>3377</v>
      </c>
      <c r="D953" t="s">
        <v>671</v>
      </c>
      <c r="E953" t="s">
        <v>2908</v>
      </c>
      <c r="F953" t="s">
        <v>1862</v>
      </c>
      <c r="G953" t="s">
        <v>713</v>
      </c>
      <c r="H953" s="30">
        <v>313.18</v>
      </c>
      <c r="I953" s="38">
        <f>H953*(1-IFERROR(VLOOKUP(G953,Rabat!$D$10:$E$41,2,FALSE),0))</f>
        <v>313.18</v>
      </c>
      <c r="J953" t="s">
        <v>1902</v>
      </c>
      <c r="K953" t="s">
        <v>2010</v>
      </c>
      <c r="L953" t="s">
        <v>1901</v>
      </c>
      <c r="M953">
        <v>1</v>
      </c>
      <c r="N953">
        <v>34</v>
      </c>
      <c r="O953" t="s">
        <v>3434</v>
      </c>
      <c r="P953" s="31" t="str">
        <f>HYPERLINK("https://b2b.kobi.pl/pl/product/9840,lampa-sufitowa-boho-sonti-1xe27-kobi-design?currency=PLN")</f>
        <v>https://b2b.kobi.pl/pl/product/9840,lampa-sufitowa-boho-sonti-1xe27-kobi-design?currency=PLN</v>
      </c>
      <c r="Q953" t="s">
        <v>15</v>
      </c>
      <c r="R953"/>
      <c r="S953" t="s">
        <v>2706</v>
      </c>
      <c r="T953"/>
      <c r="U953">
        <v>1.6</v>
      </c>
      <c r="V953">
        <v>2.2999999999999998</v>
      </c>
      <c r="W953">
        <v>51.5</v>
      </c>
      <c r="X953">
        <v>51.5</v>
      </c>
      <c r="Y953">
        <v>13</v>
      </c>
    </row>
    <row r="954" spans="1:25" ht="60" customHeight="1" x14ac:dyDescent="0.25">
      <c r="A954"/>
      <c r="B954" t="s">
        <v>4</v>
      </c>
      <c r="C954" t="s">
        <v>3381</v>
      </c>
      <c r="D954" t="s">
        <v>599</v>
      </c>
      <c r="E954" t="s">
        <v>1395</v>
      </c>
      <c r="F954" t="s">
        <v>1396</v>
      </c>
      <c r="G954" t="s">
        <v>1392</v>
      </c>
      <c r="H954" s="30">
        <v>125.56</v>
      </c>
      <c r="I954" s="38">
        <f>H954*(1-IFERROR(VLOOKUP(G954,Rabat!$D$10:$E$41,2,FALSE),0))</f>
        <v>125.56</v>
      </c>
      <c r="J954" t="s">
        <v>1902</v>
      </c>
      <c r="K954" t="s">
        <v>1960</v>
      </c>
      <c r="L954" t="s">
        <v>1901</v>
      </c>
      <c r="M954">
        <v>20</v>
      </c>
      <c r="N954">
        <v>500</v>
      </c>
      <c r="O954" t="s">
        <v>3436</v>
      </c>
      <c r="P954" s="31" t="str">
        <f>HYPERLINK("https://b2b.kobi.pl/pl/product/10057,reflektor-szynowy-led-nextrack-core-10w-3cct-36-bialy-kobi-pro?currency=PLN")</f>
        <v>https://b2b.kobi.pl/pl/product/10057,reflektor-szynowy-led-nextrack-core-10w-3cct-36-bialy-kobi-pro?currency=PLN</v>
      </c>
      <c r="Q954" s="31" t="str">
        <f>HYPERLINK("https://eprel.ec.europa.eu/qr/2173141")</f>
        <v>https://eprel.ec.europa.eu/qr/2173141</v>
      </c>
      <c r="R954"/>
      <c r="S954" t="s">
        <v>2714</v>
      </c>
      <c r="T954"/>
      <c r="U954">
        <v>0.248</v>
      </c>
      <c r="V954">
        <v>0.30659999999999998</v>
      </c>
      <c r="W954">
        <v>14.7</v>
      </c>
      <c r="X954">
        <v>5.8</v>
      </c>
      <c r="Y954">
        <v>16</v>
      </c>
    </row>
    <row r="955" spans="1:25" ht="60" customHeight="1" x14ac:dyDescent="0.25">
      <c r="A955"/>
      <c r="B955" t="s">
        <v>4</v>
      </c>
      <c r="C955" t="s">
        <v>3381</v>
      </c>
      <c r="D955" t="s">
        <v>599</v>
      </c>
      <c r="E955" t="s">
        <v>1397</v>
      </c>
      <c r="F955" t="s">
        <v>1398</v>
      </c>
      <c r="G955" t="s">
        <v>1392</v>
      </c>
      <c r="H955" s="30">
        <v>125.56</v>
      </c>
      <c r="I955" s="38">
        <f>H955*(1-IFERROR(VLOOKUP(G955,Rabat!$D$10:$E$41,2,FALSE),0))</f>
        <v>125.56</v>
      </c>
      <c r="J955" t="s">
        <v>1902</v>
      </c>
      <c r="K955" t="s">
        <v>1961</v>
      </c>
      <c r="L955" t="s">
        <v>1901</v>
      </c>
      <c r="M955">
        <v>20</v>
      </c>
      <c r="N955">
        <v>500</v>
      </c>
      <c r="O955" t="s">
        <v>3436</v>
      </c>
      <c r="P955" s="31" t="str">
        <f>HYPERLINK("https://b2b.kobi.pl/pl/product/10058,reflektor-szynowy-led-nextrack-core-10w-3cct-36-czarny-kobi-pro?currency=PLN")</f>
        <v>https://b2b.kobi.pl/pl/product/10058,reflektor-szynowy-led-nextrack-core-10w-3cct-36-czarny-kobi-pro?currency=PLN</v>
      </c>
      <c r="Q955" s="31" t="str">
        <f>HYPERLINK("https://eprel.ec.europa.eu/qr/2173141")</f>
        <v>https://eprel.ec.europa.eu/qr/2173141</v>
      </c>
      <c r="R955"/>
      <c r="S955" t="s">
        <v>2714</v>
      </c>
      <c r="T955"/>
      <c r="U955">
        <v>0.248</v>
      </c>
      <c r="V955">
        <v>0.30659999999999998</v>
      </c>
      <c r="W955">
        <v>14.7</v>
      </c>
      <c r="X955">
        <v>5.8</v>
      </c>
      <c r="Y955">
        <v>16</v>
      </c>
    </row>
    <row r="956" spans="1:25" ht="60" customHeight="1" x14ac:dyDescent="0.25">
      <c r="A956"/>
      <c r="B956" t="s">
        <v>4</v>
      </c>
      <c r="C956" t="s">
        <v>3381</v>
      </c>
      <c r="D956" t="s">
        <v>599</v>
      </c>
      <c r="E956" t="s">
        <v>1399</v>
      </c>
      <c r="F956" t="s">
        <v>1400</v>
      </c>
      <c r="G956" t="s">
        <v>1392</v>
      </c>
      <c r="H956" s="30">
        <v>137.78</v>
      </c>
      <c r="I956" s="38">
        <f>H956*(1-IFERROR(VLOOKUP(G956,Rabat!$D$10:$E$41,2,FALSE),0))</f>
        <v>137.78</v>
      </c>
      <c r="J956" t="s">
        <v>1902</v>
      </c>
      <c r="K956" t="s">
        <v>1962</v>
      </c>
      <c r="L956" t="s">
        <v>1901</v>
      </c>
      <c r="M956">
        <v>20</v>
      </c>
      <c r="N956">
        <v>500</v>
      </c>
      <c r="O956" t="s">
        <v>3436</v>
      </c>
      <c r="P956" s="31" t="str">
        <f>HYPERLINK("https://b2b.kobi.pl/pl/product/10059,reflektor-szynowy-led-nextrack-core-20w-3cct-36-bialy-kobi-pro?currency=PLN")</f>
        <v>https://b2b.kobi.pl/pl/product/10059,reflektor-szynowy-led-nextrack-core-20w-3cct-36-bialy-kobi-pro?currency=PLN</v>
      </c>
      <c r="Q956" s="31" t="str">
        <f>HYPERLINK("https://eprel.ec.europa.eu/qr/2178298")</f>
        <v>https://eprel.ec.europa.eu/qr/2178298</v>
      </c>
      <c r="R956"/>
      <c r="S956" t="s">
        <v>2714</v>
      </c>
      <c r="T956"/>
      <c r="U956">
        <v>0.28899999999999998</v>
      </c>
      <c r="V956">
        <v>0.3538</v>
      </c>
      <c r="W956">
        <v>14.7</v>
      </c>
      <c r="X956">
        <v>6.5</v>
      </c>
      <c r="Y956">
        <v>17.2</v>
      </c>
    </row>
    <row r="957" spans="1:25" ht="60" customHeight="1" x14ac:dyDescent="0.25">
      <c r="A957"/>
      <c r="B957" t="s">
        <v>4</v>
      </c>
      <c r="C957" t="s">
        <v>3381</v>
      </c>
      <c r="D957" t="s">
        <v>599</v>
      </c>
      <c r="E957" t="s">
        <v>1401</v>
      </c>
      <c r="F957" t="s">
        <v>1402</v>
      </c>
      <c r="G957" t="s">
        <v>1392</v>
      </c>
      <c r="H957" s="30">
        <v>137.78</v>
      </c>
      <c r="I957" s="38">
        <f>H957*(1-IFERROR(VLOOKUP(G957,Rabat!$D$10:$E$41,2,FALSE),0))</f>
        <v>137.78</v>
      </c>
      <c r="J957" t="s">
        <v>1902</v>
      </c>
      <c r="K957" t="s">
        <v>1963</v>
      </c>
      <c r="L957" t="s">
        <v>1901</v>
      </c>
      <c r="M957">
        <v>20</v>
      </c>
      <c r="N957">
        <v>500</v>
      </c>
      <c r="O957" t="s">
        <v>3436</v>
      </c>
      <c r="P957" s="31" t="str">
        <f>HYPERLINK("https://b2b.kobi.pl/pl/product/10060,reflektor-szynowy-led-nextrack-core-20w-3cct-36-czarny-kobi-pro?currency=PLN")</f>
        <v>https://b2b.kobi.pl/pl/product/10060,reflektor-szynowy-led-nextrack-core-20w-3cct-36-czarny-kobi-pro?currency=PLN</v>
      </c>
      <c r="Q957" s="31" t="str">
        <f>HYPERLINK("https://eprel.ec.europa.eu/qr/2178298")</f>
        <v>https://eprel.ec.europa.eu/qr/2178298</v>
      </c>
      <c r="R957"/>
      <c r="S957" t="s">
        <v>2714</v>
      </c>
      <c r="T957"/>
      <c r="U957">
        <v>0.28899999999999998</v>
      </c>
      <c r="V957">
        <v>0.3538</v>
      </c>
      <c r="W957">
        <v>14.7</v>
      </c>
      <c r="X957">
        <v>6.5</v>
      </c>
      <c r="Y957">
        <v>17.2</v>
      </c>
    </row>
    <row r="958" spans="1:25" ht="60" customHeight="1" x14ac:dyDescent="0.25">
      <c r="A958"/>
      <c r="B958" t="s">
        <v>4</v>
      </c>
      <c r="C958" t="s">
        <v>3381</v>
      </c>
      <c r="D958" t="s">
        <v>599</v>
      </c>
      <c r="E958" t="s">
        <v>1403</v>
      </c>
      <c r="F958" t="s">
        <v>1404</v>
      </c>
      <c r="G958" t="s">
        <v>1392</v>
      </c>
      <c r="H958" s="30">
        <v>177.56</v>
      </c>
      <c r="I958" s="38">
        <f>H958*(1-IFERROR(VLOOKUP(G958,Rabat!$D$10:$E$41,2,FALSE),0))</f>
        <v>177.56</v>
      </c>
      <c r="J958" t="s">
        <v>1902</v>
      </c>
      <c r="K958" t="s">
        <v>1964</v>
      </c>
      <c r="L958" t="s">
        <v>1901</v>
      </c>
      <c r="M958">
        <v>20</v>
      </c>
      <c r="N958">
        <v>240</v>
      </c>
      <c r="O958" t="s">
        <v>3436</v>
      </c>
      <c r="P958" s="31" t="str">
        <f>HYPERLINK("https://b2b.kobi.pl/pl/product/10061,reflektor-szynowy-led-nextrack-core-35w-3cct-36-bialy-kobi-pro?currency=PLN")</f>
        <v>https://b2b.kobi.pl/pl/product/10061,reflektor-szynowy-led-nextrack-core-35w-3cct-36-bialy-kobi-pro?currency=PLN</v>
      </c>
      <c r="Q958" s="31" t="str">
        <f>HYPERLINK("https://eprel.ec.europa.eu/qr/2190368")</f>
        <v>https://eprel.ec.europa.eu/qr/2190368</v>
      </c>
      <c r="R958"/>
      <c r="S958" t="s">
        <v>2714</v>
      </c>
      <c r="T958"/>
      <c r="U958">
        <v>0.61399999999999999</v>
      </c>
      <c r="V958">
        <v>0.71599999999999997</v>
      </c>
      <c r="W958">
        <v>20.7</v>
      </c>
      <c r="X958">
        <v>9</v>
      </c>
      <c r="Y958">
        <v>20.7</v>
      </c>
    </row>
    <row r="959" spans="1:25" ht="60" customHeight="1" x14ac:dyDescent="0.25">
      <c r="A959"/>
      <c r="B959" t="s">
        <v>4</v>
      </c>
      <c r="C959" t="s">
        <v>3381</v>
      </c>
      <c r="D959" t="s">
        <v>599</v>
      </c>
      <c r="E959" t="s">
        <v>1405</v>
      </c>
      <c r="F959" t="s">
        <v>1406</v>
      </c>
      <c r="G959" t="s">
        <v>1392</v>
      </c>
      <c r="H959" s="30">
        <v>177.56</v>
      </c>
      <c r="I959" s="38">
        <f>H959*(1-IFERROR(VLOOKUP(G959,Rabat!$D$10:$E$41,2,FALSE),0))</f>
        <v>177.56</v>
      </c>
      <c r="J959" t="s">
        <v>1902</v>
      </c>
      <c r="K959" t="s">
        <v>1965</v>
      </c>
      <c r="L959" t="s">
        <v>1901</v>
      </c>
      <c r="M959">
        <v>20</v>
      </c>
      <c r="N959">
        <v>240</v>
      </c>
      <c r="O959" t="s">
        <v>3436</v>
      </c>
      <c r="P959" s="31" t="str">
        <f>HYPERLINK("https://b2b.kobi.pl/pl/product/10062,reflektor-szynowy-led-nextrack-core-35w-3cct-36-czarny-kobi-pro?currency=PLN")</f>
        <v>https://b2b.kobi.pl/pl/product/10062,reflektor-szynowy-led-nextrack-core-35w-3cct-36-czarny-kobi-pro?currency=PLN</v>
      </c>
      <c r="Q959" s="31" t="str">
        <f>HYPERLINK("https://eprel.ec.europa.eu/qr/2190368")</f>
        <v>https://eprel.ec.europa.eu/qr/2190368</v>
      </c>
      <c r="R959"/>
      <c r="S959" t="s">
        <v>2714</v>
      </c>
      <c r="T959"/>
      <c r="U959">
        <v>0.61399999999999999</v>
      </c>
      <c r="V959">
        <v>0.71599999999999997</v>
      </c>
      <c r="W959">
        <v>20.7</v>
      </c>
      <c r="X959">
        <v>9</v>
      </c>
      <c r="Y959">
        <v>20.7</v>
      </c>
    </row>
    <row r="960" spans="1:25" ht="60" customHeight="1" x14ac:dyDescent="0.25">
      <c r="A960"/>
      <c r="B960" t="s">
        <v>4</v>
      </c>
      <c r="C960" t="s">
        <v>3381</v>
      </c>
      <c r="D960" t="s">
        <v>599</v>
      </c>
      <c r="E960" t="s">
        <v>3051</v>
      </c>
      <c r="F960" t="s">
        <v>1407</v>
      </c>
      <c r="G960" t="s">
        <v>1392</v>
      </c>
      <c r="H960" s="30">
        <v>210</v>
      </c>
      <c r="I960" s="38">
        <f>H960*(1-IFERROR(VLOOKUP(G960,Rabat!$D$10:$E$41,2,FALSE),0))</f>
        <v>210</v>
      </c>
      <c r="J960" t="s">
        <v>1902</v>
      </c>
      <c r="K960" t="s">
        <v>1966</v>
      </c>
      <c r="L960" t="s">
        <v>1901</v>
      </c>
      <c r="M960">
        <v>20</v>
      </c>
      <c r="N960">
        <v>460</v>
      </c>
      <c r="O960" t="s">
        <v>3436</v>
      </c>
      <c r="P960" s="31" t="str">
        <f>HYPERLINK("https://b2b.kobi.pl/pl/product/10161,reflektor-szynowy-led-nextrack-vision-10w-3cct-10-60-bialy-kobi-pro?currency=PLN")</f>
        <v>https://b2b.kobi.pl/pl/product/10161,reflektor-szynowy-led-nextrack-vision-10w-3cct-10-60-bialy-kobi-pro?currency=PLN</v>
      </c>
      <c r="Q960" s="31" t="str">
        <f>HYPERLINK("https://eprel.ec.europa.eu/qr/2190375")</f>
        <v>https://eprel.ec.europa.eu/qr/2190375</v>
      </c>
      <c r="R960"/>
      <c r="S960" t="s">
        <v>2714</v>
      </c>
      <c r="T960"/>
      <c r="U960">
        <v>0.3155</v>
      </c>
      <c r="V960">
        <v>0.497</v>
      </c>
      <c r="W960">
        <v>14.7</v>
      </c>
      <c r="X960">
        <v>5.8</v>
      </c>
      <c r="Y960">
        <v>16</v>
      </c>
    </row>
    <row r="961" spans="1:25" ht="60" customHeight="1" x14ac:dyDescent="0.25">
      <c r="A961"/>
      <c r="B961" t="s">
        <v>4</v>
      </c>
      <c r="C961" t="s">
        <v>3381</v>
      </c>
      <c r="D961" t="s">
        <v>599</v>
      </c>
      <c r="E961" t="s">
        <v>3052</v>
      </c>
      <c r="F961" t="s">
        <v>1408</v>
      </c>
      <c r="G961" t="s">
        <v>1392</v>
      </c>
      <c r="H961" s="30">
        <v>210</v>
      </c>
      <c r="I961" s="38">
        <f>H961*(1-IFERROR(VLOOKUP(G961,Rabat!$D$10:$E$41,2,FALSE),0))</f>
        <v>210</v>
      </c>
      <c r="J961" t="s">
        <v>1902</v>
      </c>
      <c r="K961" t="s">
        <v>1967</v>
      </c>
      <c r="L961" t="s">
        <v>1901</v>
      </c>
      <c r="M961">
        <v>20</v>
      </c>
      <c r="N961">
        <v>460</v>
      </c>
      <c r="O961" t="s">
        <v>3436</v>
      </c>
      <c r="P961" s="31" t="str">
        <f>HYPERLINK("https://b2b.kobi.pl/pl/product/10162,reflektor-szynowy-led-nextrack-vision-10w-3cct-10-60-czarny-kobi-pro?currency=PLN")</f>
        <v>https://b2b.kobi.pl/pl/product/10162,reflektor-szynowy-led-nextrack-vision-10w-3cct-10-60-czarny-kobi-pro?currency=PLN</v>
      </c>
      <c r="Q961" s="31" t="str">
        <f>HYPERLINK("https://eprel.ec.europa.eu/qr/2190375")</f>
        <v>https://eprel.ec.europa.eu/qr/2190375</v>
      </c>
      <c r="R961"/>
      <c r="S961" t="s">
        <v>2714</v>
      </c>
      <c r="T961"/>
      <c r="U961">
        <v>0.3155</v>
      </c>
      <c r="V961">
        <v>0.497</v>
      </c>
      <c r="W961">
        <v>14.7</v>
      </c>
      <c r="X961">
        <v>5.8</v>
      </c>
      <c r="Y961">
        <v>16</v>
      </c>
    </row>
    <row r="962" spans="1:25" ht="60" customHeight="1" x14ac:dyDescent="0.25">
      <c r="A962"/>
      <c r="B962" t="s">
        <v>4</v>
      </c>
      <c r="C962" t="s">
        <v>3381</v>
      </c>
      <c r="D962" t="s">
        <v>599</v>
      </c>
      <c r="E962" t="s">
        <v>3053</v>
      </c>
      <c r="F962" t="s">
        <v>1409</v>
      </c>
      <c r="G962" t="s">
        <v>1392</v>
      </c>
      <c r="H962" s="30">
        <v>249</v>
      </c>
      <c r="I962" s="38">
        <f>H962*(1-IFERROR(VLOOKUP(G962,Rabat!$D$10:$E$41,2,FALSE),0))</f>
        <v>249</v>
      </c>
      <c r="J962" t="s">
        <v>1902</v>
      </c>
      <c r="K962" t="s">
        <v>1968</v>
      </c>
      <c r="L962" t="s">
        <v>1901</v>
      </c>
      <c r="M962">
        <v>20</v>
      </c>
      <c r="N962">
        <v>320</v>
      </c>
      <c r="O962" t="s">
        <v>3436</v>
      </c>
      <c r="P962" s="31" t="str">
        <f>HYPERLINK("https://b2b.kobi.pl/pl/product/10163,reflektor-szynowy-led-nextrack-vision-20w-3cct-10-60-bialy-kobi-pro?currency=PLN")</f>
        <v>https://b2b.kobi.pl/pl/product/10163,reflektor-szynowy-led-nextrack-vision-20w-3cct-10-60-bialy-kobi-pro?currency=PLN</v>
      </c>
      <c r="Q962" s="31" t="str">
        <f>HYPERLINK("https://eprel.ec.europa.eu/qr/2190387")</f>
        <v>https://eprel.ec.europa.eu/qr/2190387</v>
      </c>
      <c r="R962"/>
      <c r="S962" t="s">
        <v>2714</v>
      </c>
      <c r="T962"/>
      <c r="U962">
        <v>0.54049999999999998</v>
      </c>
      <c r="V962">
        <v>0.65300000000000002</v>
      </c>
      <c r="W962">
        <v>20.8</v>
      </c>
      <c r="X962">
        <v>6.7</v>
      </c>
      <c r="Y962">
        <v>16.5</v>
      </c>
    </row>
    <row r="963" spans="1:25" ht="60" customHeight="1" x14ac:dyDescent="0.25">
      <c r="A963"/>
      <c r="B963" t="s">
        <v>4</v>
      </c>
      <c r="C963" t="s">
        <v>3381</v>
      </c>
      <c r="D963" t="s">
        <v>599</v>
      </c>
      <c r="E963" t="s">
        <v>3054</v>
      </c>
      <c r="F963" t="s">
        <v>1410</v>
      </c>
      <c r="G963" t="s">
        <v>1392</v>
      </c>
      <c r="H963" s="30">
        <v>249</v>
      </c>
      <c r="I963" s="38">
        <f>H963*(1-IFERROR(VLOOKUP(G963,Rabat!$D$10:$E$41,2,FALSE),0))</f>
        <v>249</v>
      </c>
      <c r="J963" t="s">
        <v>1902</v>
      </c>
      <c r="K963" t="s">
        <v>1969</v>
      </c>
      <c r="L963" t="s">
        <v>1901</v>
      </c>
      <c r="M963">
        <v>20</v>
      </c>
      <c r="N963">
        <v>320</v>
      </c>
      <c r="O963" t="s">
        <v>3436</v>
      </c>
      <c r="P963" s="31" t="str">
        <f>HYPERLINK("https://b2b.kobi.pl/pl/product/10164,reflektor-szynowy-led-nextrack-vision-20w-3cct-10-60-czarny-kobi-pro?currency=PLN")</f>
        <v>https://b2b.kobi.pl/pl/product/10164,reflektor-szynowy-led-nextrack-vision-20w-3cct-10-60-czarny-kobi-pro?currency=PLN</v>
      </c>
      <c r="Q963" s="31" t="str">
        <f>HYPERLINK("https://eprel.ec.europa.eu/qr/2190387")</f>
        <v>https://eprel.ec.europa.eu/qr/2190387</v>
      </c>
      <c r="R963"/>
      <c r="S963" t="s">
        <v>2714</v>
      </c>
      <c r="T963"/>
      <c r="U963">
        <v>0.54049999999999998</v>
      </c>
      <c r="V963">
        <v>0.65300000000000002</v>
      </c>
      <c r="W963">
        <v>20.8</v>
      </c>
      <c r="X963">
        <v>6.7</v>
      </c>
      <c r="Y963">
        <v>16.5</v>
      </c>
    </row>
    <row r="964" spans="1:25" ht="60" customHeight="1" x14ac:dyDescent="0.25">
      <c r="A964"/>
      <c r="B964" t="s">
        <v>4</v>
      </c>
      <c r="C964" t="s">
        <v>3381</v>
      </c>
      <c r="D964" t="s">
        <v>599</v>
      </c>
      <c r="E964" t="s">
        <v>2969</v>
      </c>
      <c r="F964" t="s">
        <v>1411</v>
      </c>
      <c r="G964" t="s">
        <v>1392</v>
      </c>
      <c r="H964" s="30">
        <v>275.56</v>
      </c>
      <c r="I964" s="38">
        <f>H964*(1-IFERROR(VLOOKUP(G964,Rabat!$D$10:$E$41,2,FALSE),0))</f>
        <v>275.56</v>
      </c>
      <c r="J964" t="s">
        <v>1902</v>
      </c>
      <c r="K964" t="s">
        <v>1970</v>
      </c>
      <c r="L964" t="s">
        <v>1901</v>
      </c>
      <c r="M964">
        <v>20</v>
      </c>
      <c r="N964">
        <v>320</v>
      </c>
      <c r="O964" t="s">
        <v>3436</v>
      </c>
      <c r="P964" s="31" t="str">
        <f>HYPERLINK("https://b2b.kobi.pl/pl/product/10165,reflektor-szynowy-led-nextrack-vision-30w-3cct-10-60-bialy-kobi-pro?currency=PLN")</f>
        <v>https://b2b.kobi.pl/pl/product/10165,reflektor-szynowy-led-nextrack-vision-30w-3cct-10-60-bialy-kobi-pro?currency=PLN</v>
      </c>
      <c r="Q964" s="31" t="str">
        <f>HYPERLINK("https://eprel.ec.europa.eu/qr/2190390")</f>
        <v>https://eprel.ec.europa.eu/qr/2190390</v>
      </c>
      <c r="R964"/>
      <c r="S964" t="s">
        <v>2714</v>
      </c>
      <c r="T964"/>
      <c r="U964">
        <v>0.66200000000000003</v>
      </c>
      <c r="V964">
        <v>0.77</v>
      </c>
      <c r="W964">
        <v>21</v>
      </c>
      <c r="X964">
        <v>7.7</v>
      </c>
      <c r="Y964">
        <v>17</v>
      </c>
    </row>
    <row r="965" spans="1:25" ht="60" customHeight="1" x14ac:dyDescent="0.25">
      <c r="A965"/>
      <c r="B965" t="s">
        <v>4</v>
      </c>
      <c r="C965" t="s">
        <v>3381</v>
      </c>
      <c r="D965" t="s">
        <v>599</v>
      </c>
      <c r="E965" t="s">
        <v>3055</v>
      </c>
      <c r="F965" t="s">
        <v>1412</v>
      </c>
      <c r="G965" t="s">
        <v>1392</v>
      </c>
      <c r="H965" s="30">
        <v>275.56</v>
      </c>
      <c r="I965" s="38">
        <f>H965*(1-IFERROR(VLOOKUP(G965,Rabat!$D$10:$E$41,2,FALSE),0))</f>
        <v>275.56</v>
      </c>
      <c r="J965" t="s">
        <v>1902</v>
      </c>
      <c r="K965" t="s">
        <v>1971</v>
      </c>
      <c r="L965" t="s">
        <v>1901</v>
      </c>
      <c r="M965">
        <v>20</v>
      </c>
      <c r="N965">
        <v>320</v>
      </c>
      <c r="O965" t="s">
        <v>3436</v>
      </c>
      <c r="P965" s="31" t="str">
        <f>HYPERLINK("https://b2b.kobi.pl/pl/product/10166,reflektor-szynowy-led-nextrack-vision-30w-3cct-10-60-czarny-kobi-pro?currency=PLN")</f>
        <v>https://b2b.kobi.pl/pl/product/10166,reflektor-szynowy-led-nextrack-vision-30w-3cct-10-60-czarny-kobi-pro?currency=PLN</v>
      </c>
      <c r="Q965" s="31" t="str">
        <f>HYPERLINK("https://eprel.ec.europa.eu/qr/2190390")</f>
        <v>https://eprel.ec.europa.eu/qr/2190390</v>
      </c>
      <c r="R965"/>
      <c r="S965" t="s">
        <v>2714</v>
      </c>
      <c r="T965"/>
      <c r="U965">
        <v>0.66200000000000003</v>
      </c>
      <c r="V965">
        <v>0.77</v>
      </c>
      <c r="W965">
        <v>21</v>
      </c>
      <c r="X965">
        <v>7.7</v>
      </c>
      <c r="Y965">
        <v>17</v>
      </c>
    </row>
    <row r="966" spans="1:25" ht="60" customHeight="1" x14ac:dyDescent="0.25">
      <c r="A966"/>
      <c r="B966" t="s">
        <v>646</v>
      </c>
      <c r="C966" t="s">
        <v>6</v>
      </c>
      <c r="D966" t="s">
        <v>643</v>
      </c>
      <c r="E966" t="s">
        <v>1049</v>
      </c>
      <c r="F966" t="s">
        <v>1050</v>
      </c>
      <c r="G966" t="s">
        <v>645</v>
      </c>
      <c r="H966" s="30">
        <v>59.75</v>
      </c>
      <c r="I966" s="38">
        <f>H966*(1-IFERROR(VLOOKUP(G966,Rabat!$D$10:$E$41,2,FALSE),0))</f>
        <v>59.75</v>
      </c>
      <c r="J966" t="s">
        <v>1902</v>
      </c>
      <c r="K966" t="s">
        <v>542</v>
      </c>
      <c r="L966" t="s">
        <v>1901</v>
      </c>
      <c r="M966">
        <v>50</v>
      </c>
      <c r="N966"/>
      <c r="O966" t="s">
        <v>3434</v>
      </c>
      <c r="P966" s="31" t="str">
        <f>HYPERLINK("https://b2b.kobi.pl/pl/product/10689,miernik-poboru-energii-kobi-pmm-1-bialy-kobi?currency=PLN")</f>
        <v>https://b2b.kobi.pl/pl/product/10689,miernik-poboru-energii-kobi-pmm-1-bialy-kobi?currency=PLN</v>
      </c>
      <c r="Q966" t="s">
        <v>15</v>
      </c>
      <c r="R966"/>
      <c r="S966" t="s">
        <v>2729</v>
      </c>
      <c r="T966"/>
      <c r="U966">
        <v>0.23</v>
      </c>
      <c r="V966">
        <v>0.245</v>
      </c>
      <c r="W966">
        <v>8</v>
      </c>
      <c r="X966">
        <v>8</v>
      </c>
      <c r="Y966">
        <v>15.56</v>
      </c>
    </row>
    <row r="967" spans="1:25" ht="60" customHeight="1" x14ac:dyDescent="0.25">
      <c r="A967"/>
      <c r="B967" t="s">
        <v>4</v>
      </c>
      <c r="C967" t="s">
        <v>3381</v>
      </c>
      <c r="D967" t="s">
        <v>643</v>
      </c>
      <c r="E967" t="s">
        <v>1390</v>
      </c>
      <c r="F967" t="s">
        <v>1391</v>
      </c>
      <c r="G967" t="s">
        <v>1392</v>
      </c>
      <c r="H967" s="30">
        <v>61.09</v>
      </c>
      <c r="I967" s="38">
        <f>H967*(1-IFERROR(VLOOKUP(G967,Rabat!$D$10:$E$41,2,FALSE),0))</f>
        <v>61.09</v>
      </c>
      <c r="J967" t="s">
        <v>1902</v>
      </c>
      <c r="K967" t="s">
        <v>159</v>
      </c>
      <c r="L967" t="s">
        <v>1901</v>
      </c>
      <c r="M967">
        <v>50</v>
      </c>
      <c r="N967">
        <v>700</v>
      </c>
      <c r="O967" t="s">
        <v>3434</v>
      </c>
      <c r="P967" s="31" t="str">
        <f>HYPERLINK("https://b2b.kobi.pl/pl/product/10066,reflektor-szynowy-3-obwodowy-nextrack-s-line-1xgu10-bialy-kobi?currency=PLN")</f>
        <v>https://b2b.kobi.pl/pl/product/10066,reflektor-szynowy-3-obwodowy-nextrack-s-line-1xgu10-bialy-kobi?currency=PLN</v>
      </c>
      <c r="Q967" t="s">
        <v>15</v>
      </c>
      <c r="R967"/>
      <c r="S967" t="s">
        <v>2714</v>
      </c>
      <c r="T967"/>
      <c r="U967">
        <v>0.25</v>
      </c>
      <c r="V967">
        <v>0.28739999999999999</v>
      </c>
      <c r="W967">
        <v>21.5</v>
      </c>
      <c r="X967">
        <v>9.5</v>
      </c>
      <c r="Y967">
        <v>7</v>
      </c>
    </row>
    <row r="968" spans="1:25" ht="60" customHeight="1" x14ac:dyDescent="0.25">
      <c r="A968"/>
      <c r="B968" t="s">
        <v>646</v>
      </c>
      <c r="C968" t="s">
        <v>6</v>
      </c>
      <c r="D968" t="s">
        <v>643</v>
      </c>
      <c r="E968" t="s">
        <v>1051</v>
      </c>
      <c r="F968" t="s">
        <v>1052</v>
      </c>
      <c r="G968" t="s">
        <v>645</v>
      </c>
      <c r="H968" s="30">
        <v>63.75</v>
      </c>
      <c r="I968" s="38">
        <f>H968*(1-IFERROR(VLOOKUP(G968,Rabat!$D$10:$E$41,2,FALSE),0))</f>
        <v>63.75</v>
      </c>
      <c r="J968" t="s">
        <v>1902</v>
      </c>
      <c r="K968" t="s">
        <v>543</v>
      </c>
      <c r="L968" t="s">
        <v>1901</v>
      </c>
      <c r="M968">
        <v>50</v>
      </c>
      <c r="N968"/>
      <c r="O968" t="s">
        <v>3434</v>
      </c>
      <c r="P968" s="31" t="str">
        <f>HYPERLINK("https://b2b.kobi.pl/pl/product/10690,miernik-poboru-energii-kobi-pmm-2-czarny-kobi?currency=PLN")</f>
        <v>https://b2b.kobi.pl/pl/product/10690,miernik-poboru-energii-kobi-pmm-2-czarny-kobi?currency=PLN</v>
      </c>
      <c r="Q968" t="s">
        <v>15</v>
      </c>
      <c r="R968"/>
      <c r="S968" t="s">
        <v>2729</v>
      </c>
      <c r="T968"/>
      <c r="U968">
        <v>0.23</v>
      </c>
      <c r="V968">
        <v>0.245</v>
      </c>
      <c r="W968">
        <v>8</v>
      </c>
      <c r="X968">
        <v>8</v>
      </c>
      <c r="Y968">
        <v>15.5</v>
      </c>
    </row>
    <row r="969" spans="1:25" ht="60" customHeight="1" x14ac:dyDescent="0.25">
      <c r="A969"/>
      <c r="B969" t="s">
        <v>4</v>
      </c>
      <c r="C969" t="s">
        <v>3381</v>
      </c>
      <c r="D969" t="s">
        <v>643</v>
      </c>
      <c r="E969" t="s">
        <v>1393</v>
      </c>
      <c r="F969" t="s">
        <v>1394</v>
      </c>
      <c r="G969" t="s">
        <v>1392</v>
      </c>
      <c r="H969" s="30">
        <v>61.09</v>
      </c>
      <c r="I969" s="38">
        <f>H969*(1-IFERROR(VLOOKUP(G969,Rabat!$D$10:$E$41,2,FALSE),0))</f>
        <v>61.09</v>
      </c>
      <c r="J969" t="s">
        <v>1902</v>
      </c>
      <c r="K969" t="s">
        <v>160</v>
      </c>
      <c r="L969" t="s">
        <v>1901</v>
      </c>
      <c r="M969">
        <v>50</v>
      </c>
      <c r="N969">
        <v>700</v>
      </c>
      <c r="O969" t="s">
        <v>3434</v>
      </c>
      <c r="P969" s="31" t="str">
        <f>HYPERLINK("https://b2b.kobi.pl/pl/product/10067,reflektor-szynowy-3-obwodowy-nextrack-s-line-1xgu10-czarny-kobi?currency=PLN")</f>
        <v>https://b2b.kobi.pl/pl/product/10067,reflektor-szynowy-3-obwodowy-nextrack-s-line-1xgu10-czarny-kobi?currency=PLN</v>
      </c>
      <c r="Q969" t="s">
        <v>15</v>
      </c>
      <c r="R969"/>
      <c r="S969" t="s">
        <v>2714</v>
      </c>
      <c r="T969"/>
      <c r="U969">
        <v>0.25</v>
      </c>
      <c r="V969">
        <v>0.28739999999999999</v>
      </c>
      <c r="W969">
        <v>21.5</v>
      </c>
      <c r="X969">
        <v>9.5</v>
      </c>
      <c r="Y969">
        <v>7</v>
      </c>
    </row>
    <row r="970" spans="1:25" ht="60" customHeight="1" x14ac:dyDescent="0.25">
      <c r="A970"/>
      <c r="B970" t="s">
        <v>646</v>
      </c>
      <c r="C970" t="s">
        <v>6</v>
      </c>
      <c r="D970" t="s">
        <v>643</v>
      </c>
      <c r="E970" t="s">
        <v>1055</v>
      </c>
      <c r="F970" t="s">
        <v>1056</v>
      </c>
      <c r="G970" t="s">
        <v>645</v>
      </c>
      <c r="H970" s="30">
        <v>63.75</v>
      </c>
      <c r="I970" s="38">
        <f>H970*(1-IFERROR(VLOOKUP(G970,Rabat!$D$10:$E$41,2,FALSE),0))</f>
        <v>63.75</v>
      </c>
      <c r="J970" t="s">
        <v>1902</v>
      </c>
      <c r="K970" t="s">
        <v>544</v>
      </c>
      <c r="L970" t="s">
        <v>1901</v>
      </c>
      <c r="M970">
        <v>50</v>
      </c>
      <c r="N970"/>
      <c r="O970" t="s">
        <v>3434</v>
      </c>
      <c r="P970" s="31" t="str">
        <f>HYPERLINK("https://b2b.kobi.pl/pl/product/10691,miernik-poboru-energii-kobi-pmm-3-bialy-kobi?currency=PLN")</f>
        <v>https://b2b.kobi.pl/pl/product/10691,miernik-poboru-energii-kobi-pmm-3-bialy-kobi?currency=PLN</v>
      </c>
      <c r="Q970" t="s">
        <v>15</v>
      </c>
      <c r="R970"/>
      <c r="S970" t="s">
        <v>2729</v>
      </c>
      <c r="T970"/>
      <c r="U970">
        <v>0.21</v>
      </c>
      <c r="V970">
        <v>0.215</v>
      </c>
      <c r="W970">
        <v>8.1999999999999993</v>
      </c>
      <c r="X970">
        <v>6.2</v>
      </c>
      <c r="Y970">
        <v>14.5</v>
      </c>
    </row>
    <row r="971" spans="1:25" ht="60" customHeight="1" x14ac:dyDescent="0.25">
      <c r="A971"/>
      <c r="B971" t="s">
        <v>4</v>
      </c>
      <c r="C971" t="s">
        <v>3381</v>
      </c>
      <c r="D971" t="s">
        <v>643</v>
      </c>
      <c r="E971" t="s">
        <v>1445</v>
      </c>
      <c r="F971" t="s">
        <v>1446</v>
      </c>
      <c r="G971" t="s">
        <v>1006</v>
      </c>
      <c r="H971" s="30">
        <v>86.67</v>
      </c>
      <c r="I971" s="38">
        <f>H971*(1-IFERROR(VLOOKUP(G971,Rabat!$D$10:$E$41,2,FALSE),0))</f>
        <v>86.67</v>
      </c>
      <c r="J971" t="s">
        <v>1902</v>
      </c>
      <c r="K971" t="s">
        <v>1975</v>
      </c>
      <c r="L971" t="s">
        <v>1901</v>
      </c>
      <c r="M971">
        <v>10</v>
      </c>
      <c r="N971"/>
      <c r="O971" t="s">
        <v>3434</v>
      </c>
      <c r="P971" s="31" t="str">
        <f>HYPERLINK("https://b2b.kobi.pl/pl/product/12094,szynoprzewod-3-obwodowy-1m-bialy-kobi?currency=PLN")</f>
        <v>https://b2b.kobi.pl/pl/product/12094,szynoprzewod-3-obwodowy-1m-bialy-kobi?currency=PLN</v>
      </c>
      <c r="Q971" t="s">
        <v>15</v>
      </c>
      <c r="R971"/>
      <c r="S971" t="s">
        <v>2721</v>
      </c>
      <c r="T971"/>
      <c r="U971">
        <v>0.77</v>
      </c>
      <c r="V971">
        <v>0.88</v>
      </c>
      <c r="W971">
        <v>100</v>
      </c>
      <c r="X971">
        <v>3.2</v>
      </c>
      <c r="Y971">
        <v>3.6</v>
      </c>
    </row>
    <row r="972" spans="1:25" ht="60" customHeight="1" x14ac:dyDescent="0.25">
      <c r="A972"/>
      <c r="B972" t="s">
        <v>4</v>
      </c>
      <c r="C972" t="s">
        <v>3381</v>
      </c>
      <c r="D972" t="s">
        <v>643</v>
      </c>
      <c r="E972" t="s">
        <v>1447</v>
      </c>
      <c r="F972" t="s">
        <v>1448</v>
      </c>
      <c r="G972" t="s">
        <v>1392</v>
      </c>
      <c r="H972" s="30">
        <v>86.67</v>
      </c>
      <c r="I972" s="38">
        <f>H972*(1-IFERROR(VLOOKUP(G972,Rabat!$D$10:$E$41,2,FALSE),0))</f>
        <v>86.67</v>
      </c>
      <c r="J972" t="s">
        <v>1902</v>
      </c>
      <c r="K972" t="s">
        <v>1976</v>
      </c>
      <c r="L972" t="s">
        <v>1901</v>
      </c>
      <c r="M972">
        <v>10</v>
      </c>
      <c r="N972"/>
      <c r="O972" t="s">
        <v>3434</v>
      </c>
      <c r="P972" s="31" t="str">
        <f>HYPERLINK("https://b2b.kobi.pl/pl/product/12095,szynoprzewod-3-obwodowy-1m-czarny-kobi?currency=PLN")</f>
        <v>https://b2b.kobi.pl/pl/product/12095,szynoprzewod-3-obwodowy-1m-czarny-kobi?currency=PLN</v>
      </c>
      <c r="Q972" t="s">
        <v>15</v>
      </c>
      <c r="R972"/>
      <c r="S972" t="s">
        <v>2721</v>
      </c>
      <c r="T972"/>
      <c r="U972">
        <v>0.77</v>
      </c>
      <c r="V972">
        <v>0.88</v>
      </c>
      <c r="W972">
        <v>100</v>
      </c>
      <c r="X972">
        <v>3.2</v>
      </c>
      <c r="Y972">
        <v>3.6</v>
      </c>
    </row>
    <row r="973" spans="1:25" ht="60" customHeight="1" x14ac:dyDescent="0.25">
      <c r="A973"/>
      <c r="B973" t="s">
        <v>646</v>
      </c>
      <c r="C973" t="s">
        <v>6</v>
      </c>
      <c r="D973" t="s">
        <v>643</v>
      </c>
      <c r="E973" t="s">
        <v>1453</v>
      </c>
      <c r="F973" t="s">
        <v>1454</v>
      </c>
      <c r="G973" t="s">
        <v>645</v>
      </c>
      <c r="H973" s="30">
        <v>26.67</v>
      </c>
      <c r="I973" s="38">
        <f>H973*(1-IFERROR(VLOOKUP(G973,Rabat!$D$10:$E$41,2,FALSE),0))</f>
        <v>26.67</v>
      </c>
      <c r="J973" t="s">
        <v>1902</v>
      </c>
      <c r="K973" t="s">
        <v>436</v>
      </c>
      <c r="L973" t="s">
        <v>1901</v>
      </c>
      <c r="M973">
        <v>10</v>
      </c>
      <c r="N973"/>
      <c r="O973" t="s">
        <v>3434</v>
      </c>
      <c r="P973" s="31" t="str">
        <f>HYPERLINK("https://b2b.kobi.pl/pl/product/10724,sciemniacz-led-sc02dp-5-24v-6a-z-pilotem-kobi?currency=PLN")</f>
        <v>https://b2b.kobi.pl/pl/product/10724,sciemniacz-led-sc02dp-5-24v-6a-z-pilotem-kobi?currency=PLN</v>
      </c>
      <c r="Q973" t="s">
        <v>15</v>
      </c>
      <c r="R973"/>
      <c r="S973" t="s">
        <v>2726</v>
      </c>
      <c r="T973"/>
      <c r="U973">
        <v>2.7E-2</v>
      </c>
      <c r="V973">
        <v>0.34</v>
      </c>
      <c r="W973">
        <v>12.6</v>
      </c>
      <c r="X973">
        <v>8.6</v>
      </c>
      <c r="Y973">
        <v>0.6</v>
      </c>
    </row>
    <row r="974" spans="1:25" ht="60" customHeight="1" x14ac:dyDescent="0.25">
      <c r="A974"/>
      <c r="B974" t="s">
        <v>4</v>
      </c>
      <c r="C974" t="s">
        <v>608</v>
      </c>
      <c r="D974" t="s">
        <v>643</v>
      </c>
      <c r="E974" t="s">
        <v>1035</v>
      </c>
      <c r="F974" t="s">
        <v>1036</v>
      </c>
      <c r="G974" t="s">
        <v>645</v>
      </c>
      <c r="H974" s="30">
        <v>18.899999999999999</v>
      </c>
      <c r="I974" s="38">
        <f>H974*(1-IFERROR(VLOOKUP(G974,Rabat!$D$10:$E$41,2,FALSE),0))</f>
        <v>18.899999999999999</v>
      </c>
      <c r="J974" t="s">
        <v>1902</v>
      </c>
      <c r="K974" t="s">
        <v>1935</v>
      </c>
      <c r="L974" t="s">
        <v>1901</v>
      </c>
      <c r="M974">
        <v>500</v>
      </c>
      <c r="N974"/>
      <c r="O974" t="s">
        <v>3434</v>
      </c>
      <c r="P974" s="31" t="str">
        <f>HYPERLINK("https://b2b.kobi.pl/pl/product/12158,lacznik-prosty-do-led-koline-k2-kobi?currency=PLN")</f>
        <v>https://b2b.kobi.pl/pl/product/12158,lacznik-prosty-do-led-koline-k2-kobi?currency=PLN</v>
      </c>
      <c r="Q974" t="s">
        <v>15</v>
      </c>
      <c r="R974"/>
      <c r="S974" t="s">
        <v>2678</v>
      </c>
      <c r="T974"/>
      <c r="U974">
        <v>2.4400000000000002E-2</v>
      </c>
      <c r="V974">
        <v>3.04E-2</v>
      </c>
      <c r="W974">
        <v>0</v>
      </c>
      <c r="X974">
        <v>0</v>
      </c>
      <c r="Y974">
        <v>0</v>
      </c>
    </row>
    <row r="975" spans="1:25" ht="60" customHeight="1" x14ac:dyDescent="0.25">
      <c r="A975"/>
      <c r="B975" t="s">
        <v>4</v>
      </c>
      <c r="C975" t="s">
        <v>3381</v>
      </c>
      <c r="D975" t="s">
        <v>643</v>
      </c>
      <c r="E975" t="s">
        <v>2215</v>
      </c>
      <c r="F975" t="s">
        <v>2216</v>
      </c>
      <c r="G975" t="s">
        <v>1392</v>
      </c>
      <c r="H975" s="30">
        <v>144.22</v>
      </c>
      <c r="I975" s="38">
        <f>H975*(1-IFERROR(VLOOKUP(G975,Rabat!$D$10:$E$41,2,FALSE),0))</f>
        <v>144.22</v>
      </c>
      <c r="J975" t="s">
        <v>1902</v>
      </c>
      <c r="K975" t="s">
        <v>2256</v>
      </c>
      <c r="L975" t="s">
        <v>1901</v>
      </c>
      <c r="M975">
        <v>10</v>
      </c>
      <c r="N975">
        <v>100</v>
      </c>
      <c r="O975" t="s">
        <v>3434</v>
      </c>
      <c r="P975" s="31" t="str">
        <f>HYPERLINK("https://b2b.kobi.pl/pl/product/12161,zestaw-szynoprzewod-1-obwodowy-nextrack-go-4xgu10-1m-bialy-kobi?currency=PLN")</f>
        <v>https://b2b.kobi.pl/pl/product/12161,zestaw-szynoprzewod-1-obwodowy-nextrack-go-4xgu10-1m-bialy-kobi?currency=PLN</v>
      </c>
      <c r="Q975" t="s">
        <v>15</v>
      </c>
      <c r="R975"/>
      <c r="S975" t="s">
        <v>2706</v>
      </c>
      <c r="T975"/>
      <c r="U975">
        <v>0.92</v>
      </c>
      <c r="V975">
        <v>1.1299999999999999</v>
      </c>
      <c r="W975">
        <v>101</v>
      </c>
      <c r="X975">
        <v>15</v>
      </c>
      <c r="Y975">
        <v>6</v>
      </c>
    </row>
    <row r="976" spans="1:25" ht="60" customHeight="1" x14ac:dyDescent="0.25">
      <c r="A976"/>
      <c r="B976" t="s">
        <v>646</v>
      </c>
      <c r="C976" t="s">
        <v>6</v>
      </c>
      <c r="D976" t="s">
        <v>643</v>
      </c>
      <c r="E976" t="s">
        <v>1443</v>
      </c>
      <c r="F976" t="s">
        <v>1444</v>
      </c>
      <c r="G976" t="s">
        <v>645</v>
      </c>
      <c r="H976" s="30">
        <v>66.2</v>
      </c>
      <c r="I976" s="38">
        <f>H976*(1-IFERROR(VLOOKUP(G976,Rabat!$D$10:$E$41,2,FALSE),0))</f>
        <v>66.2</v>
      </c>
      <c r="J976" t="s">
        <v>1902</v>
      </c>
      <c r="K976" t="s">
        <v>434</v>
      </c>
      <c r="L976" t="s">
        <v>1901</v>
      </c>
      <c r="M976">
        <v>10</v>
      </c>
      <c r="N976"/>
      <c r="O976" t="s">
        <v>3434</v>
      </c>
      <c r="P976" s="31" t="str">
        <f>HYPERLINK("https://b2b.kobi.pl/pl/product/10740,sterownik-led-st06fp-5-24v-6a-z-pilotem-kobi?currency=PLN")</f>
        <v>https://b2b.kobi.pl/pl/product/10740,sterownik-led-st06fp-5-24v-6a-z-pilotem-kobi?currency=PLN</v>
      </c>
      <c r="Q976" t="s">
        <v>15</v>
      </c>
      <c r="R976" t="s">
        <v>2035</v>
      </c>
      <c r="S976" t="s">
        <v>2731</v>
      </c>
      <c r="T976"/>
      <c r="U976">
        <v>2.7E-2</v>
      </c>
      <c r="V976">
        <v>3.4000000000000002E-2</v>
      </c>
      <c r="W976">
        <v>1</v>
      </c>
      <c r="X976">
        <v>13</v>
      </c>
      <c r="Y976">
        <v>1</v>
      </c>
    </row>
    <row r="977" spans="1:25" ht="60" customHeight="1" x14ac:dyDescent="0.25">
      <c r="A977"/>
      <c r="B977" t="s">
        <v>4</v>
      </c>
      <c r="C977" t="s">
        <v>3381</v>
      </c>
      <c r="D977" t="s">
        <v>643</v>
      </c>
      <c r="E977" t="s">
        <v>2217</v>
      </c>
      <c r="F977" t="s">
        <v>2218</v>
      </c>
      <c r="G977" t="s">
        <v>1392</v>
      </c>
      <c r="H977" s="30">
        <v>144.22</v>
      </c>
      <c r="I977" s="38">
        <f>H977*(1-IFERROR(VLOOKUP(G977,Rabat!$D$10:$E$41,2,FALSE),0))</f>
        <v>144.22</v>
      </c>
      <c r="J977" t="s">
        <v>1902</v>
      </c>
      <c r="K977" t="s">
        <v>2257</v>
      </c>
      <c r="L977" t="s">
        <v>1901</v>
      </c>
      <c r="M977">
        <v>10</v>
      </c>
      <c r="N977">
        <v>100</v>
      </c>
      <c r="O977" t="s">
        <v>3434</v>
      </c>
      <c r="P977" s="31" t="str">
        <f>HYPERLINK("https://b2b.kobi.pl/pl/product/12162,zestaw-szynoprzewod-1-obwodowy-nextrack-go-4xgu10-1m-czarny-kobi?currency=PLN")</f>
        <v>https://b2b.kobi.pl/pl/product/12162,zestaw-szynoprzewod-1-obwodowy-nextrack-go-4xgu10-1m-czarny-kobi?currency=PLN</v>
      </c>
      <c r="Q977" t="s">
        <v>15</v>
      </c>
      <c r="R977"/>
      <c r="S977" t="s">
        <v>2706</v>
      </c>
      <c r="T977"/>
      <c r="U977">
        <v>0.92</v>
      </c>
      <c r="V977">
        <v>1.1299999999999999</v>
      </c>
      <c r="W977">
        <v>101</v>
      </c>
      <c r="X977">
        <v>15</v>
      </c>
      <c r="Y977">
        <v>6</v>
      </c>
    </row>
    <row r="978" spans="1:25" ht="60" customHeight="1" x14ac:dyDescent="0.25">
      <c r="A978"/>
      <c r="B978" t="s">
        <v>4</v>
      </c>
      <c r="C978" t="s">
        <v>3381</v>
      </c>
      <c r="D978" t="s">
        <v>643</v>
      </c>
      <c r="E978" t="s">
        <v>2282</v>
      </c>
      <c r="F978" t="s">
        <v>2283</v>
      </c>
      <c r="G978" t="s">
        <v>1392</v>
      </c>
      <c r="H978" s="30">
        <v>48.67</v>
      </c>
      <c r="I978" s="38">
        <f>H978*(1-IFERROR(VLOOKUP(G978,Rabat!$D$10:$E$41,2,FALSE),0))</f>
        <v>48.67</v>
      </c>
      <c r="J978" t="s">
        <v>1902</v>
      </c>
      <c r="K978" t="s">
        <v>2292</v>
      </c>
      <c r="L978" t="s">
        <v>1901</v>
      </c>
      <c r="M978">
        <v>50</v>
      </c>
      <c r="N978">
        <v>1000</v>
      </c>
      <c r="O978" t="s">
        <v>3434</v>
      </c>
      <c r="P978" s="31" t="str">
        <f>HYPERLINK("https://b2b.kobi.pl/pl/product/12445,reflektor-szynowy-3-obwodowy-nextrack-s-line-n1-1xgu10-bialy-kobi?currency=PLN")</f>
        <v>https://b2b.kobi.pl/pl/product/12445,reflektor-szynowy-3-obwodowy-nextrack-s-line-n1-1xgu10-bialy-kobi?currency=PLN</v>
      </c>
      <c r="Q978" t="s">
        <v>15</v>
      </c>
      <c r="R978"/>
      <c r="S978" t="s">
        <v>2714</v>
      </c>
      <c r="T978"/>
      <c r="U978">
        <v>0.15</v>
      </c>
      <c r="V978">
        <v>0.21</v>
      </c>
      <c r="W978">
        <v>9</v>
      </c>
      <c r="X978">
        <v>6.5</v>
      </c>
      <c r="Y978">
        <v>19</v>
      </c>
    </row>
    <row r="979" spans="1:25" ht="60" customHeight="1" x14ac:dyDescent="0.25">
      <c r="A979"/>
      <c r="B979" t="s">
        <v>646</v>
      </c>
      <c r="C979" t="s">
        <v>6</v>
      </c>
      <c r="D979" t="s">
        <v>643</v>
      </c>
      <c r="E979" t="s">
        <v>1515</v>
      </c>
      <c r="F979" t="s">
        <v>1516</v>
      </c>
      <c r="G979" t="s">
        <v>645</v>
      </c>
      <c r="H979" s="30">
        <v>44.5</v>
      </c>
      <c r="I979" s="38">
        <f>H979*(1-IFERROR(VLOOKUP(G979,Rabat!$D$10:$E$41,2,FALSE),0))</f>
        <v>44.5</v>
      </c>
      <c r="J979" t="s">
        <v>1902</v>
      </c>
      <c r="K979" t="s">
        <v>435</v>
      </c>
      <c r="L979" t="s">
        <v>1901</v>
      </c>
      <c r="M979">
        <v>12</v>
      </c>
      <c r="N979"/>
      <c r="O979" t="s">
        <v>3434</v>
      </c>
      <c r="P979" s="31" t="str">
        <f>HYPERLINK("https://b2b.kobi.pl/pl/product/10741,wzmacniacz-led-st07f-5-24v-12a-z-pilotem-kobi?currency=PLN")</f>
        <v>https://b2b.kobi.pl/pl/product/10741,wzmacniacz-led-st07f-5-24v-12a-z-pilotem-kobi?currency=PLN</v>
      </c>
      <c r="Q979" t="s">
        <v>15</v>
      </c>
      <c r="R979" t="s">
        <v>2035</v>
      </c>
      <c r="S979" t="s">
        <v>2731</v>
      </c>
      <c r="T979"/>
      <c r="U979">
        <v>7.0000000000000001E-3</v>
      </c>
      <c r="V979">
        <v>1.4999999999999999E-2</v>
      </c>
      <c r="W979">
        <v>12.5</v>
      </c>
      <c r="X979">
        <v>9.6</v>
      </c>
      <c r="Y979">
        <v>0.6</v>
      </c>
    </row>
    <row r="980" spans="1:25" ht="60" customHeight="1" x14ac:dyDescent="0.25">
      <c r="A980"/>
      <c r="B980" t="s">
        <v>4</v>
      </c>
      <c r="C980" t="s">
        <v>3381</v>
      </c>
      <c r="D980" t="s">
        <v>643</v>
      </c>
      <c r="E980" t="s">
        <v>2284</v>
      </c>
      <c r="F980" t="s">
        <v>2285</v>
      </c>
      <c r="G980" t="s">
        <v>1392</v>
      </c>
      <c r="H980" s="30">
        <v>48.67</v>
      </c>
      <c r="I980" s="38">
        <f>H980*(1-IFERROR(VLOOKUP(G980,Rabat!$D$10:$E$41,2,FALSE),0))</f>
        <v>48.67</v>
      </c>
      <c r="J980" t="s">
        <v>1902</v>
      </c>
      <c r="K980" t="s">
        <v>2293</v>
      </c>
      <c r="L980" t="s">
        <v>1901</v>
      </c>
      <c r="M980">
        <v>50</v>
      </c>
      <c r="N980">
        <v>1000</v>
      </c>
      <c r="O980" t="s">
        <v>3434</v>
      </c>
      <c r="P980" s="31" t="str">
        <f>HYPERLINK("https://b2b.kobi.pl/pl/product/12444,reflektor-szynowy-3-obwodowy-nextrack-s-line-n1-1xgu10-czarny-kobi?currency=PLN")</f>
        <v>https://b2b.kobi.pl/pl/product/12444,reflektor-szynowy-3-obwodowy-nextrack-s-line-n1-1xgu10-czarny-kobi?currency=PLN</v>
      </c>
      <c r="Q980" t="s">
        <v>15</v>
      </c>
      <c r="R980"/>
      <c r="S980" t="s">
        <v>2714</v>
      </c>
      <c r="T980"/>
      <c r="U980">
        <v>0.15</v>
      </c>
      <c r="V980">
        <v>0.21</v>
      </c>
      <c r="W980">
        <v>9</v>
      </c>
      <c r="X980">
        <v>6.5</v>
      </c>
      <c r="Y980">
        <v>19</v>
      </c>
    </row>
    <row r="981" spans="1:25" ht="60" customHeight="1" x14ac:dyDescent="0.25">
      <c r="A981"/>
      <c r="B981" t="s">
        <v>4</v>
      </c>
      <c r="C981" t="s">
        <v>3381</v>
      </c>
      <c r="D981" t="s">
        <v>643</v>
      </c>
      <c r="E981" t="s">
        <v>2889</v>
      </c>
      <c r="F981" t="s">
        <v>2890</v>
      </c>
      <c r="G981" t="s">
        <v>1392</v>
      </c>
      <c r="H981" s="30">
        <v>79.78</v>
      </c>
      <c r="I981" s="38">
        <f>H981*(1-IFERROR(VLOOKUP(G981,Rabat!$D$10:$E$41,2,FALSE),0))</f>
        <v>79.78</v>
      </c>
      <c r="J981" t="s">
        <v>1902</v>
      </c>
      <c r="K981" t="s">
        <v>2896</v>
      </c>
      <c r="L981" t="s">
        <v>1901</v>
      </c>
      <c r="M981">
        <v>30</v>
      </c>
      <c r="N981"/>
      <c r="O981" t="s">
        <v>3434</v>
      </c>
      <c r="P981" s="31" t="str">
        <f>HYPERLINK("https://b2b.kobi.pl/pl/product/12831,reflektor-szynowy-zwieszany-3-obwodowy-nextrack-s-line-p-1xgu10-czarny-kobi?currency=PLN")</f>
        <v>https://b2b.kobi.pl/pl/product/12831,reflektor-szynowy-zwieszany-3-obwodowy-nextrack-s-line-p-1xgu10-czarny-kobi?currency=PLN</v>
      </c>
      <c r="Q981" t="s">
        <v>15</v>
      </c>
      <c r="R981"/>
      <c r="S981" t="s">
        <v>2706</v>
      </c>
      <c r="T981"/>
      <c r="U981">
        <v>0.40899999999999997</v>
      </c>
      <c r="V981">
        <v>0.49</v>
      </c>
      <c r="W981">
        <v>9.8000000000000007</v>
      </c>
      <c r="X981">
        <v>6.5</v>
      </c>
      <c r="Y981">
        <v>35</v>
      </c>
    </row>
    <row r="982" spans="1:25" ht="60" customHeight="1" x14ac:dyDescent="0.25">
      <c r="A982"/>
      <c r="B982" t="s">
        <v>4</v>
      </c>
      <c r="C982" t="s">
        <v>3381</v>
      </c>
      <c r="D982" t="s">
        <v>643</v>
      </c>
      <c r="E982" t="s">
        <v>2891</v>
      </c>
      <c r="F982" t="s">
        <v>2892</v>
      </c>
      <c r="G982" t="s">
        <v>1392</v>
      </c>
      <c r="H982" s="30">
        <v>79.78</v>
      </c>
      <c r="I982" s="38">
        <f>H982*(1-IFERROR(VLOOKUP(G982,Rabat!$D$10:$E$41,2,FALSE),0))</f>
        <v>79.78</v>
      </c>
      <c r="J982" t="s">
        <v>1902</v>
      </c>
      <c r="K982" t="s">
        <v>2897</v>
      </c>
      <c r="L982" t="s">
        <v>1901</v>
      </c>
      <c r="M982">
        <v>30</v>
      </c>
      <c r="N982"/>
      <c r="O982" t="s">
        <v>3434</v>
      </c>
      <c r="P982" s="31" t="str">
        <f>HYPERLINK("https://b2b.kobi.pl/pl/product/12832,reflektor-szynowy-zwieszany-3-obwodowy-nextrack-s-line-p-1xgu10-bialy-kobi?currency=PLN")</f>
        <v>https://b2b.kobi.pl/pl/product/12832,reflektor-szynowy-zwieszany-3-obwodowy-nextrack-s-line-p-1xgu10-bialy-kobi?currency=PLN</v>
      </c>
      <c r="Q982" t="s">
        <v>15</v>
      </c>
      <c r="R982"/>
      <c r="S982" t="s">
        <v>2706</v>
      </c>
      <c r="T982"/>
      <c r="U982">
        <v>0.40400000000000003</v>
      </c>
      <c r="V982">
        <v>0.49</v>
      </c>
      <c r="W982">
        <v>9.8000000000000007</v>
      </c>
      <c r="X982">
        <v>6.5</v>
      </c>
      <c r="Y982">
        <v>35</v>
      </c>
    </row>
    <row r="983" spans="1:25" ht="60" customHeight="1" x14ac:dyDescent="0.25">
      <c r="A983"/>
      <c r="B983" t="s">
        <v>3367</v>
      </c>
      <c r="C983" t="s">
        <v>3368</v>
      </c>
      <c r="D983" t="s">
        <v>643</v>
      </c>
      <c r="E983" t="s">
        <v>1441</v>
      </c>
      <c r="F983" t="s">
        <v>1442</v>
      </c>
      <c r="G983" t="s">
        <v>645</v>
      </c>
      <c r="H983" s="30">
        <v>2.2200000000000002</v>
      </c>
      <c r="I983" s="38">
        <f>H983*(1-IFERROR(VLOOKUP(G983,Rabat!$D$10:$E$41,2,FALSE),0))</f>
        <v>2.2200000000000002</v>
      </c>
      <c r="J983" t="s">
        <v>1902</v>
      </c>
      <c r="K983" t="s">
        <v>451</v>
      </c>
      <c r="L983" t="s">
        <v>1901</v>
      </c>
      <c r="M983">
        <v>1000</v>
      </c>
      <c r="N983"/>
      <c r="O983" t="s">
        <v>3434</v>
      </c>
      <c r="P983" s="31" t="str">
        <f>HYPERLINK("https://b2b.kobi.pl/pl/product/10738,starter-do-led-t8-kobi?currency=PLN")</f>
        <v>https://b2b.kobi.pl/pl/product/10738,starter-do-led-t8-kobi?currency=PLN</v>
      </c>
      <c r="Q983" t="s">
        <v>15</v>
      </c>
      <c r="R983"/>
      <c r="S983" t="s">
        <v>2732</v>
      </c>
      <c r="T983"/>
      <c r="U983">
        <v>3.0000000000000001E-3</v>
      </c>
      <c r="V983">
        <v>3.0000000000000001E-3</v>
      </c>
      <c r="W983">
        <v>2</v>
      </c>
      <c r="X983">
        <v>2</v>
      </c>
      <c r="Y983">
        <v>4</v>
      </c>
    </row>
    <row r="984" spans="1:25" ht="60" customHeight="1" x14ac:dyDescent="0.25">
      <c r="A984"/>
      <c r="B984" t="s">
        <v>3367</v>
      </c>
      <c r="C984" t="s">
        <v>3369</v>
      </c>
      <c r="D984" t="s">
        <v>643</v>
      </c>
      <c r="E984" t="s">
        <v>1504</v>
      </c>
      <c r="F984" t="s">
        <v>1505</v>
      </c>
      <c r="G984" t="s">
        <v>1506</v>
      </c>
      <c r="H984" s="30">
        <v>16.29</v>
      </c>
      <c r="I984" s="38">
        <f>H984*(1-IFERROR(VLOOKUP(G984,Rabat!$D$10:$E$41,2,FALSE),0))</f>
        <v>16.29</v>
      </c>
      <c r="J984" t="s">
        <v>1903</v>
      </c>
      <c r="K984" t="s">
        <v>148</v>
      </c>
      <c r="L984" t="s">
        <v>1901</v>
      </c>
      <c r="M984">
        <v>100</v>
      </c>
      <c r="N984">
        <v>7200</v>
      </c>
      <c r="O984" t="s">
        <v>3434</v>
      </c>
      <c r="P984" s="31" t="str">
        <f>HYPERLINK("https://b2b.kobi.pl/pl/product/9576,wklad-led-insert-5w-3000k-mleczny-kobi?currency=PLN")</f>
        <v>https://b2b.kobi.pl/pl/product/9576,wklad-led-insert-5w-3000k-mleczny-kobi?currency=PLN</v>
      </c>
      <c r="Q984" s="31" t="str">
        <f>HYPERLINK("https://eprel.ec.europa.eu/qr/660155")</f>
        <v>https://eprel.ec.europa.eu/qr/660155</v>
      </c>
      <c r="R984"/>
      <c r="S984" t="s">
        <v>2673</v>
      </c>
      <c r="T984"/>
      <c r="U984">
        <v>5.1999999999999998E-2</v>
      </c>
      <c r="V984">
        <v>5.8999999999999997E-2</v>
      </c>
      <c r="W984">
        <v>5.2</v>
      </c>
      <c r="X984">
        <v>5.0999999999999996</v>
      </c>
      <c r="Y984">
        <v>5.7</v>
      </c>
    </row>
    <row r="985" spans="1:25" ht="60" customHeight="1" x14ac:dyDescent="0.25">
      <c r="A985"/>
      <c r="B985" t="s">
        <v>3367</v>
      </c>
      <c r="C985" t="s">
        <v>3369</v>
      </c>
      <c r="D985" t="s">
        <v>643</v>
      </c>
      <c r="E985" t="s">
        <v>1507</v>
      </c>
      <c r="F985" t="s">
        <v>1508</v>
      </c>
      <c r="G985" t="s">
        <v>1506</v>
      </c>
      <c r="H985" s="30">
        <v>16.29</v>
      </c>
      <c r="I985" s="38">
        <f>H985*(1-IFERROR(VLOOKUP(G985,Rabat!$D$10:$E$41,2,FALSE),0))</f>
        <v>16.29</v>
      </c>
      <c r="J985" t="s">
        <v>1903</v>
      </c>
      <c r="K985" t="s">
        <v>149</v>
      </c>
      <c r="L985" t="s">
        <v>1901</v>
      </c>
      <c r="M985">
        <v>100</v>
      </c>
      <c r="N985">
        <v>7200</v>
      </c>
      <c r="O985" t="s">
        <v>3434</v>
      </c>
      <c r="P985" s="31" t="str">
        <f>HYPERLINK("https://b2b.kobi.pl/pl/product/9577,wklad-led-insert-5w-4000k-mleczny-kobi?currency=PLN")</f>
        <v>https://b2b.kobi.pl/pl/product/9577,wklad-led-insert-5w-4000k-mleczny-kobi?currency=PLN</v>
      </c>
      <c r="Q985" s="31" t="str">
        <f>HYPERLINK("https://eprel.ec.europa.eu/qr/660157")</f>
        <v>https://eprel.ec.europa.eu/qr/660157</v>
      </c>
      <c r="R985"/>
      <c r="S985" t="s">
        <v>2673</v>
      </c>
      <c r="T985"/>
      <c r="U985">
        <v>5.1999999999999998E-2</v>
      </c>
      <c r="V985">
        <v>5.8999999999999997E-2</v>
      </c>
      <c r="W985">
        <v>5</v>
      </c>
      <c r="X985">
        <v>6.5</v>
      </c>
      <c r="Y985">
        <v>5</v>
      </c>
    </row>
    <row r="986" spans="1:25" ht="60" customHeight="1" x14ac:dyDescent="0.25">
      <c r="A986"/>
      <c r="B986" t="s">
        <v>3367</v>
      </c>
      <c r="C986" t="s">
        <v>3369</v>
      </c>
      <c r="D986" t="s">
        <v>643</v>
      </c>
      <c r="E986" t="s">
        <v>1509</v>
      </c>
      <c r="F986" t="s">
        <v>1510</v>
      </c>
      <c r="G986" t="s">
        <v>1506</v>
      </c>
      <c r="H986" s="30">
        <v>16.29</v>
      </c>
      <c r="I986" s="38">
        <f>H986*(1-IFERROR(VLOOKUP(G986,Rabat!$D$10:$E$41,2,FALSE),0))</f>
        <v>16.29</v>
      </c>
      <c r="J986" t="s">
        <v>1903</v>
      </c>
      <c r="K986" t="s">
        <v>150</v>
      </c>
      <c r="L986" t="s">
        <v>1901</v>
      </c>
      <c r="M986">
        <v>100</v>
      </c>
      <c r="N986">
        <v>7200</v>
      </c>
      <c r="O986" t="s">
        <v>3434</v>
      </c>
      <c r="P986" s="31" t="str">
        <f>HYPERLINK("https://b2b.kobi.pl/pl/product/9578,wklad-led-insert-5w-6000k-mleczny-kobi?currency=PLN")</f>
        <v>https://b2b.kobi.pl/pl/product/9578,wklad-led-insert-5w-6000k-mleczny-kobi?currency=PLN</v>
      </c>
      <c r="Q986" s="31" t="str">
        <f>HYPERLINK("https://eprel.ec.europa.eu/qr/660159")</f>
        <v>https://eprel.ec.europa.eu/qr/660159</v>
      </c>
      <c r="R986"/>
      <c r="S986" t="s">
        <v>2673</v>
      </c>
      <c r="T986"/>
      <c r="U986">
        <v>5.1999999999999998E-2</v>
      </c>
      <c r="V986">
        <v>5.8999999999999997E-2</v>
      </c>
      <c r="W986">
        <v>5</v>
      </c>
      <c r="X986">
        <v>6.5</v>
      </c>
      <c r="Y986">
        <v>5</v>
      </c>
    </row>
    <row r="987" spans="1:25" ht="60" customHeight="1" x14ac:dyDescent="0.25">
      <c r="A987"/>
      <c r="B987" t="s">
        <v>3367</v>
      </c>
      <c r="C987" t="s">
        <v>3369</v>
      </c>
      <c r="D987" t="s">
        <v>643</v>
      </c>
      <c r="E987" t="s">
        <v>2970</v>
      </c>
      <c r="F987" t="s">
        <v>2971</v>
      </c>
      <c r="G987" t="s">
        <v>1506</v>
      </c>
      <c r="H987" s="30">
        <v>17.100000000000001</v>
      </c>
      <c r="I987" s="38">
        <f>H987*(1-IFERROR(VLOOKUP(G987,Rabat!$D$10:$E$41,2,FALSE),0))</f>
        <v>17.100000000000001</v>
      </c>
      <c r="J987" t="s">
        <v>1905</v>
      </c>
      <c r="K987" t="s">
        <v>2986</v>
      </c>
      <c r="L987" t="s">
        <v>1901</v>
      </c>
      <c r="M987">
        <v>100</v>
      </c>
      <c r="N987"/>
      <c r="O987" t="s">
        <v>3434</v>
      </c>
      <c r="P987" s="31" t="str">
        <f>HYPERLINK("https://b2b.kobi.pl/pl/product/12901,wklad-led-insert-5w-3cct-dim-kobi?currency=PLN")</f>
        <v>https://b2b.kobi.pl/pl/product/12901,wklad-led-insert-5w-3cct-dim-kobi?currency=PLN</v>
      </c>
      <c r="Q987" s="31" t="str">
        <f>HYPERLINK("https://eprel.ec.europa.eu/qr/2407141")</f>
        <v>https://eprel.ec.europa.eu/qr/2407141</v>
      </c>
      <c r="R987"/>
      <c r="S987" t="s">
        <v>2673</v>
      </c>
      <c r="T987"/>
      <c r="U987">
        <v>0.03</v>
      </c>
      <c r="V987">
        <v>3.6999999999999998E-2</v>
      </c>
      <c r="W987">
        <v>5.0999999999999996</v>
      </c>
      <c r="X987">
        <v>5.0999999999999996</v>
      </c>
      <c r="Y987">
        <v>6.5</v>
      </c>
    </row>
    <row r="988" spans="1:25" ht="60" customHeight="1" x14ac:dyDescent="0.25">
      <c r="A988"/>
      <c r="B988" t="s">
        <v>3367</v>
      </c>
      <c r="C988" t="s">
        <v>3369</v>
      </c>
      <c r="D988" t="s">
        <v>643</v>
      </c>
      <c r="E988" t="s">
        <v>1511</v>
      </c>
      <c r="F988" t="s">
        <v>1512</v>
      </c>
      <c r="G988" t="s">
        <v>1506</v>
      </c>
      <c r="H988" s="30">
        <v>19.760000000000002</v>
      </c>
      <c r="I988" s="38">
        <f>H988*(1-IFERROR(VLOOKUP(G988,Rabat!$D$10:$E$41,2,FALSE),0))</f>
        <v>19.760000000000002</v>
      </c>
      <c r="J988" t="s">
        <v>1903</v>
      </c>
      <c r="K988" t="s">
        <v>151</v>
      </c>
      <c r="L988" t="s">
        <v>1901</v>
      </c>
      <c r="M988">
        <v>100</v>
      </c>
      <c r="N988">
        <v>7200</v>
      </c>
      <c r="O988" t="s">
        <v>3434</v>
      </c>
      <c r="P988" s="31" t="str">
        <f>HYPERLINK("https://b2b.kobi.pl/pl/product/9579,wklad-led-insert-6-5w-3000k-mleczny-kobi?currency=PLN")</f>
        <v>https://b2b.kobi.pl/pl/product/9579,wklad-led-insert-6-5w-3000k-mleczny-kobi?currency=PLN</v>
      </c>
      <c r="Q988" s="31" t="str">
        <f>HYPERLINK("https://eprel.ec.europa.eu/qr/660163")</f>
        <v>https://eprel.ec.europa.eu/qr/660163</v>
      </c>
      <c r="R988"/>
      <c r="S988" t="s">
        <v>2673</v>
      </c>
      <c r="T988"/>
      <c r="U988">
        <v>5.1999999999999998E-2</v>
      </c>
      <c r="V988">
        <v>5.8999999999999997E-2</v>
      </c>
      <c r="W988">
        <v>5</v>
      </c>
      <c r="X988">
        <v>6.5</v>
      </c>
      <c r="Y988">
        <v>5</v>
      </c>
    </row>
    <row r="989" spans="1:25" ht="60" customHeight="1" x14ac:dyDescent="0.25">
      <c r="A989"/>
      <c r="B989" t="s">
        <v>3367</v>
      </c>
      <c r="C989" t="s">
        <v>3369</v>
      </c>
      <c r="D989" t="s">
        <v>643</v>
      </c>
      <c r="E989" t="s">
        <v>1513</v>
      </c>
      <c r="F989" t="s">
        <v>1514</v>
      </c>
      <c r="G989" t="s">
        <v>1506</v>
      </c>
      <c r="H989" s="30">
        <v>19.760000000000002</v>
      </c>
      <c r="I989" s="38">
        <f>H989*(1-IFERROR(VLOOKUP(G989,Rabat!$D$10:$E$41,2,FALSE),0))</f>
        <v>19.760000000000002</v>
      </c>
      <c r="J989" t="s">
        <v>1903</v>
      </c>
      <c r="K989" t="s">
        <v>152</v>
      </c>
      <c r="L989" t="s">
        <v>1901</v>
      </c>
      <c r="M989">
        <v>100</v>
      </c>
      <c r="N989">
        <v>7200</v>
      </c>
      <c r="O989" t="s">
        <v>3434</v>
      </c>
      <c r="P989" s="31" t="str">
        <f>HYPERLINK("https://b2b.kobi.pl/pl/product/9580,wklad-led-insert-6-5w-4000k-mleczny-kobi?currency=PLN")</f>
        <v>https://b2b.kobi.pl/pl/product/9580,wklad-led-insert-6-5w-4000k-mleczny-kobi?currency=PLN</v>
      </c>
      <c r="Q989" s="31" t="str">
        <f>HYPERLINK("https://eprel.ec.europa.eu/qr/660165")</f>
        <v>https://eprel.ec.europa.eu/qr/660165</v>
      </c>
      <c r="R989"/>
      <c r="S989" t="s">
        <v>2673</v>
      </c>
      <c r="T989"/>
      <c r="U989">
        <v>5.1999999999999998E-2</v>
      </c>
      <c r="V989">
        <v>5.8999999999999997E-2</v>
      </c>
      <c r="W989">
        <v>5</v>
      </c>
      <c r="X989">
        <v>6.5</v>
      </c>
      <c r="Y989">
        <v>5</v>
      </c>
    </row>
    <row r="990" spans="1:25" ht="60" customHeight="1" x14ac:dyDescent="0.25">
      <c r="A990"/>
      <c r="B990" t="s">
        <v>3367</v>
      </c>
      <c r="C990" t="s">
        <v>3369</v>
      </c>
      <c r="D990" t="s">
        <v>643</v>
      </c>
      <c r="E990" t="s">
        <v>2457</v>
      </c>
      <c r="F990" t="s">
        <v>2458</v>
      </c>
      <c r="G990" t="s">
        <v>1506</v>
      </c>
      <c r="H990" s="30">
        <v>19.760000000000002</v>
      </c>
      <c r="I990" s="38">
        <f>H990*(1-IFERROR(VLOOKUP(G990,Rabat!$D$10:$E$41,2,FALSE),0))</f>
        <v>19.760000000000002</v>
      </c>
      <c r="J990" t="s">
        <v>1903</v>
      </c>
      <c r="K990" t="s">
        <v>2536</v>
      </c>
      <c r="L990" t="s">
        <v>1901</v>
      </c>
      <c r="M990">
        <v>100</v>
      </c>
      <c r="N990">
        <v>6000</v>
      </c>
      <c r="O990" t="s">
        <v>3434</v>
      </c>
      <c r="P990" s="31" t="str">
        <f>HYPERLINK("https://b2b.kobi.pl/pl/product/9581,wklad-led-insert-6-5w-6000k-mleczny-kobi?currency=PLN")</f>
        <v>https://b2b.kobi.pl/pl/product/9581,wklad-led-insert-6-5w-6000k-mleczny-kobi?currency=PLN</v>
      </c>
      <c r="Q990" s="31" t="str">
        <f>HYPERLINK("https://eprel.ec.europa.eu/qr/660168")</f>
        <v>https://eprel.ec.europa.eu/qr/660168</v>
      </c>
      <c r="R990"/>
      <c r="S990" t="s">
        <v>2673</v>
      </c>
      <c r="T990"/>
      <c r="U990">
        <v>5.1999999999999998E-2</v>
      </c>
      <c r="V990">
        <v>5.8999999999999997E-2</v>
      </c>
      <c r="W990">
        <v>5</v>
      </c>
      <c r="X990">
        <v>6.5</v>
      </c>
      <c r="Y990">
        <v>5</v>
      </c>
    </row>
    <row r="991" spans="1:25" ht="60" customHeight="1" x14ac:dyDescent="0.25">
      <c r="A991"/>
      <c r="B991" t="s">
        <v>5</v>
      </c>
      <c r="C991" t="s">
        <v>3377</v>
      </c>
      <c r="D991" t="s">
        <v>671</v>
      </c>
      <c r="E991" t="s">
        <v>2459</v>
      </c>
      <c r="F991" t="s">
        <v>2460</v>
      </c>
      <c r="G991" t="s">
        <v>713</v>
      </c>
      <c r="H991" s="30">
        <v>88.38</v>
      </c>
      <c r="I991" s="38">
        <f>H991*(1-IFERROR(VLOOKUP(G991,Rabat!$D$10:$E$41,2,FALSE),0))</f>
        <v>88.38</v>
      </c>
      <c r="J991" t="s">
        <v>1902</v>
      </c>
      <c r="K991" t="s">
        <v>2537</v>
      </c>
      <c r="L991" t="s">
        <v>1901</v>
      </c>
      <c r="M991">
        <v>1</v>
      </c>
      <c r="N991"/>
      <c r="O991" t="s">
        <v>3434</v>
      </c>
      <c r="P991" s="31" t="str">
        <f>HYPERLINK("https://b2b.kobi.pl/pl/product/9860,kinkiet-globe-elegance-amber-k-1xe14-kobi-design?currency=PLN")</f>
        <v>https://b2b.kobi.pl/pl/product/9860,kinkiet-globe-elegance-amber-k-1xe14-kobi-design?currency=PLN</v>
      </c>
      <c r="Q991" t="s">
        <v>15</v>
      </c>
      <c r="R991" t="s">
        <v>2035</v>
      </c>
      <c r="S991" t="s">
        <v>2714</v>
      </c>
      <c r="T991"/>
      <c r="U991">
        <v>0.5</v>
      </c>
      <c r="V991">
        <v>0.8</v>
      </c>
      <c r="W991">
        <v>40</v>
      </c>
      <c r="X991">
        <v>20</v>
      </c>
      <c r="Y991">
        <v>18</v>
      </c>
    </row>
    <row r="992" spans="1:25" ht="60" customHeight="1" x14ac:dyDescent="0.25">
      <c r="A992"/>
      <c r="B992" t="s">
        <v>5</v>
      </c>
      <c r="C992" t="s">
        <v>3377</v>
      </c>
      <c r="D992" t="s">
        <v>671</v>
      </c>
      <c r="E992" t="s">
        <v>2461</v>
      </c>
      <c r="F992" t="s">
        <v>2462</v>
      </c>
      <c r="G992" t="s">
        <v>713</v>
      </c>
      <c r="H992" s="30">
        <v>88.38</v>
      </c>
      <c r="I992" s="38">
        <f>H992*(1-IFERROR(VLOOKUP(G992,Rabat!$D$10:$E$41,2,FALSE),0))</f>
        <v>88.38</v>
      </c>
      <c r="J992" t="s">
        <v>1902</v>
      </c>
      <c r="K992" t="s">
        <v>2538</v>
      </c>
      <c r="L992" t="s">
        <v>1901</v>
      </c>
      <c r="M992">
        <v>1</v>
      </c>
      <c r="N992"/>
      <c r="O992" t="s">
        <v>3434</v>
      </c>
      <c r="P992" s="31" t="str">
        <f>HYPERLINK("https://b2b.kobi.pl/pl/product/9861,kinkiet-globe-elegance-smoke-k-1xe14-kobi-design?currency=PLN")</f>
        <v>https://b2b.kobi.pl/pl/product/9861,kinkiet-globe-elegance-smoke-k-1xe14-kobi-design?currency=PLN</v>
      </c>
      <c r="Q992" t="s">
        <v>15</v>
      </c>
      <c r="R992" t="s">
        <v>2035</v>
      </c>
      <c r="S992" t="s">
        <v>2714</v>
      </c>
      <c r="T992"/>
      <c r="U992">
        <v>0.5</v>
      </c>
      <c r="V992">
        <v>0.8</v>
      </c>
      <c r="W992">
        <v>40</v>
      </c>
      <c r="X992">
        <v>20</v>
      </c>
      <c r="Y992">
        <v>18</v>
      </c>
    </row>
    <row r="993" spans="1:25" ht="60" customHeight="1" x14ac:dyDescent="0.25">
      <c r="A993"/>
      <c r="B993" t="s">
        <v>5</v>
      </c>
      <c r="C993" t="s">
        <v>3377</v>
      </c>
      <c r="D993" t="s">
        <v>671</v>
      </c>
      <c r="E993" t="s">
        <v>2463</v>
      </c>
      <c r="F993" t="s">
        <v>2464</v>
      </c>
      <c r="G993" t="s">
        <v>713</v>
      </c>
      <c r="H993" s="30">
        <v>291.68</v>
      </c>
      <c r="I993" s="38">
        <f>H993*(1-IFERROR(VLOOKUP(G993,Rabat!$D$10:$E$41,2,FALSE),0))</f>
        <v>291.68</v>
      </c>
      <c r="J993" t="s">
        <v>1902</v>
      </c>
      <c r="K993" t="s">
        <v>2539</v>
      </c>
      <c r="L993" t="s">
        <v>1901</v>
      </c>
      <c r="M993">
        <v>1</v>
      </c>
      <c r="N993"/>
      <c r="O993" t="s">
        <v>3434</v>
      </c>
      <c r="P993" s="31" t="str">
        <f>HYPERLINK("https://b2b.kobi.pl/pl/product/9863,lampa-sufitowa-globe-elegance-smoke-s4-4xe14-kobi-design?currency=PLN")</f>
        <v>https://b2b.kobi.pl/pl/product/9863,lampa-sufitowa-globe-elegance-smoke-s4-4xe14-kobi-design?currency=PLN</v>
      </c>
      <c r="Q993" t="s">
        <v>15</v>
      </c>
      <c r="R993" t="s">
        <v>2035</v>
      </c>
      <c r="S993" t="s">
        <v>2714</v>
      </c>
      <c r="T993"/>
      <c r="U993">
        <v>2</v>
      </c>
      <c r="V993">
        <v>2.2999999999999998</v>
      </c>
      <c r="W993">
        <v>74</v>
      </c>
      <c r="X993">
        <v>20</v>
      </c>
      <c r="Y993">
        <v>36</v>
      </c>
    </row>
    <row r="994" spans="1:25" ht="60" customHeight="1" x14ac:dyDescent="0.25">
      <c r="A994"/>
      <c r="B994" t="s">
        <v>5</v>
      </c>
      <c r="C994" t="s">
        <v>3377</v>
      </c>
      <c r="D994" t="s">
        <v>671</v>
      </c>
      <c r="E994" t="s">
        <v>844</v>
      </c>
      <c r="F994" t="s">
        <v>845</v>
      </c>
      <c r="G994" t="s">
        <v>713</v>
      </c>
      <c r="H994" s="30">
        <v>441.38</v>
      </c>
      <c r="I994" s="38">
        <f>H994*(1-IFERROR(VLOOKUP(G994,Rabat!$D$10:$E$41,2,FALSE),0))</f>
        <v>441.38</v>
      </c>
      <c r="J994" t="s">
        <v>1902</v>
      </c>
      <c r="K994" t="s">
        <v>584</v>
      </c>
      <c r="L994" t="s">
        <v>1901</v>
      </c>
      <c r="M994">
        <v>1</v>
      </c>
      <c r="N994"/>
      <c r="O994" t="s">
        <v>3434</v>
      </c>
      <c r="P994" s="31" t="str">
        <f>HYPERLINK("https://b2b.kobi.pl/pl/product/9864,lampa-sufitowa-globe-elegance-smoke-s6-6xe14-kobi-design?currency=PLN")</f>
        <v>https://b2b.kobi.pl/pl/product/9864,lampa-sufitowa-globe-elegance-smoke-s6-6xe14-kobi-design?currency=PLN</v>
      </c>
      <c r="Q994" t="s">
        <v>15</v>
      </c>
      <c r="R994" t="s">
        <v>2035</v>
      </c>
      <c r="S994" t="s">
        <v>2714</v>
      </c>
      <c r="T994"/>
      <c r="U994">
        <v>2.5</v>
      </c>
      <c r="V994">
        <v>2.8</v>
      </c>
      <c r="W994">
        <v>81</v>
      </c>
      <c r="X994">
        <v>49</v>
      </c>
      <c r="Y994">
        <v>21</v>
      </c>
    </row>
    <row r="995" spans="1:25" ht="60" customHeight="1" x14ac:dyDescent="0.25">
      <c r="A995"/>
      <c r="B995" t="s">
        <v>5</v>
      </c>
      <c r="C995" t="s">
        <v>3377</v>
      </c>
      <c r="D995" t="s">
        <v>671</v>
      </c>
      <c r="E995" t="s">
        <v>916</v>
      </c>
      <c r="F995" t="s">
        <v>917</v>
      </c>
      <c r="G995" t="s">
        <v>713</v>
      </c>
      <c r="H995" s="30">
        <v>93.06</v>
      </c>
      <c r="I995" s="38">
        <f>H995*(1-IFERROR(VLOOKUP(G995,Rabat!$D$10:$E$41,2,FALSE),0))</f>
        <v>93.06</v>
      </c>
      <c r="J995" t="s">
        <v>1902</v>
      </c>
      <c r="K995" t="s">
        <v>579</v>
      </c>
      <c r="L995" t="s">
        <v>1901</v>
      </c>
      <c r="M995">
        <v>1</v>
      </c>
      <c r="N995"/>
      <c r="O995" t="s">
        <v>3434</v>
      </c>
      <c r="P995" s="31" t="str">
        <f>HYPERLINK("https://b2b.kobi.pl/pl/product/9865,lampa-wiszaca-globe-elegance-ash-s-1xg9-kobi-design?currency=PLN")</f>
        <v>https://b2b.kobi.pl/pl/product/9865,lampa-wiszaca-globe-elegance-ash-s-1xg9-kobi-design?currency=PLN</v>
      </c>
      <c r="Q995" t="s">
        <v>15</v>
      </c>
      <c r="R995" t="s">
        <v>2035</v>
      </c>
      <c r="S995" t="s">
        <v>2714</v>
      </c>
      <c r="T995"/>
      <c r="U995">
        <v>0.6</v>
      </c>
      <c r="V995">
        <v>0.9</v>
      </c>
      <c r="W995">
        <v>29</v>
      </c>
      <c r="X995">
        <v>20</v>
      </c>
      <c r="Y995">
        <v>20</v>
      </c>
    </row>
    <row r="996" spans="1:25" ht="60" customHeight="1" x14ac:dyDescent="0.25">
      <c r="A996"/>
      <c r="B996" t="s">
        <v>5</v>
      </c>
      <c r="C996" t="s">
        <v>3377</v>
      </c>
      <c r="D996" t="s">
        <v>671</v>
      </c>
      <c r="E996" t="s">
        <v>3056</v>
      </c>
      <c r="F996" t="s">
        <v>718</v>
      </c>
      <c r="G996" t="s">
        <v>713</v>
      </c>
      <c r="H996" s="30">
        <v>90.26</v>
      </c>
      <c r="I996" s="38">
        <f>H996*(1-IFERROR(VLOOKUP(G996,Rabat!$D$10:$E$41,2,FALSE),0))</f>
        <v>90.26</v>
      </c>
      <c r="J996" t="s">
        <v>1902</v>
      </c>
      <c r="K996" t="s">
        <v>576</v>
      </c>
      <c r="L996" t="s">
        <v>1901</v>
      </c>
      <c r="M996">
        <v>1</v>
      </c>
      <c r="N996"/>
      <c r="O996" t="s">
        <v>3434</v>
      </c>
      <c r="P996" s="31" t="str">
        <f>HYPERLINK("https://b2b.kobi.pl/pl/product/9866,kinkiet-globe-elgance-ash-k-1xg9-kobi-design?currency=PLN")</f>
        <v>https://b2b.kobi.pl/pl/product/9866,kinkiet-globe-elgance-ash-k-1xg9-kobi-design?currency=PLN</v>
      </c>
      <c r="Q996" t="s">
        <v>15</v>
      </c>
      <c r="R996"/>
      <c r="S996" t="s">
        <v>2714</v>
      </c>
      <c r="T996"/>
      <c r="U996">
        <v>0.6</v>
      </c>
      <c r="V996">
        <v>0.86</v>
      </c>
      <c r="W996">
        <v>30</v>
      </c>
      <c r="X996">
        <v>22</v>
      </c>
      <c r="Y996">
        <v>20</v>
      </c>
    </row>
    <row r="997" spans="1:25" ht="60" customHeight="1" x14ac:dyDescent="0.25">
      <c r="A997"/>
      <c r="B997" t="s">
        <v>5</v>
      </c>
      <c r="C997" t="s">
        <v>3377</v>
      </c>
      <c r="D997" t="s">
        <v>671</v>
      </c>
      <c r="E997" t="s">
        <v>840</v>
      </c>
      <c r="F997" t="s">
        <v>841</v>
      </c>
      <c r="G997" t="s">
        <v>713</v>
      </c>
      <c r="H997" s="30">
        <v>223.47</v>
      </c>
      <c r="I997" s="38">
        <f>H997*(1-IFERROR(VLOOKUP(G997,Rabat!$D$10:$E$41,2,FALSE),0))</f>
        <v>223.47</v>
      </c>
      <c r="J997" t="s">
        <v>1902</v>
      </c>
      <c r="K997" t="s">
        <v>577</v>
      </c>
      <c r="L997" t="s">
        <v>1901</v>
      </c>
      <c r="M997">
        <v>1</v>
      </c>
      <c r="N997"/>
      <c r="O997" t="s">
        <v>3434</v>
      </c>
      <c r="P997" s="31" t="str">
        <f>HYPERLINK("https://b2b.kobi.pl/pl/product/9867,lampa-sufitowa-globe-elegance-ash-s3-3xg9-kobi-design?currency=PLN")</f>
        <v>https://b2b.kobi.pl/pl/product/9867,lampa-sufitowa-globe-elegance-ash-s3-3xg9-kobi-design?currency=PLN</v>
      </c>
      <c r="Q997" t="s">
        <v>15</v>
      </c>
      <c r="R997" t="s">
        <v>2035</v>
      </c>
      <c r="S997" t="s">
        <v>2714</v>
      </c>
      <c r="T997"/>
      <c r="U997">
        <v>1.8</v>
      </c>
      <c r="V997">
        <v>2.1</v>
      </c>
      <c r="W997">
        <v>74</v>
      </c>
      <c r="X997">
        <v>20</v>
      </c>
      <c r="Y997">
        <v>20</v>
      </c>
    </row>
    <row r="998" spans="1:25" ht="60" customHeight="1" x14ac:dyDescent="0.25">
      <c r="A998"/>
      <c r="B998" t="s">
        <v>5</v>
      </c>
      <c r="C998" t="s">
        <v>3377</v>
      </c>
      <c r="D998" t="s">
        <v>671</v>
      </c>
      <c r="E998" t="s">
        <v>842</v>
      </c>
      <c r="F998" t="s">
        <v>843</v>
      </c>
      <c r="G998" t="s">
        <v>713</v>
      </c>
      <c r="H998" s="30">
        <v>307.22000000000003</v>
      </c>
      <c r="I998" s="38">
        <f>H998*(1-IFERROR(VLOOKUP(G998,Rabat!$D$10:$E$41,2,FALSE),0))</f>
        <v>307.22000000000003</v>
      </c>
      <c r="J998" t="s">
        <v>1902</v>
      </c>
      <c r="K998" t="s">
        <v>578</v>
      </c>
      <c r="L998" t="s">
        <v>1901</v>
      </c>
      <c r="M998">
        <v>1</v>
      </c>
      <c r="N998"/>
      <c r="O998" t="s">
        <v>3434</v>
      </c>
      <c r="P998" s="31" t="str">
        <f>HYPERLINK("https://b2b.kobi.pl/pl/product/9868,lampa-sufitowa-globe-elegance-ash-s4-4xg9-kobi-design?currency=PLN")</f>
        <v>https://b2b.kobi.pl/pl/product/9868,lampa-sufitowa-globe-elegance-ash-s4-4xg9-kobi-design?currency=PLN</v>
      </c>
      <c r="Q998" t="s">
        <v>15</v>
      </c>
      <c r="R998" t="s">
        <v>2035</v>
      </c>
      <c r="S998" t="s">
        <v>2714</v>
      </c>
      <c r="T998"/>
      <c r="U998">
        <v>2</v>
      </c>
      <c r="V998">
        <v>2.2999999999999998</v>
      </c>
      <c r="W998">
        <v>54</v>
      </c>
      <c r="X998">
        <v>37</v>
      </c>
      <c r="Y998">
        <v>20</v>
      </c>
    </row>
    <row r="999" spans="1:25" ht="60" customHeight="1" x14ac:dyDescent="0.25">
      <c r="A999"/>
      <c r="B999" t="s">
        <v>5</v>
      </c>
      <c r="C999" t="s">
        <v>3377</v>
      </c>
      <c r="D999" t="s">
        <v>671</v>
      </c>
      <c r="E999" t="s">
        <v>920</v>
      </c>
      <c r="F999" t="s">
        <v>921</v>
      </c>
      <c r="G999" t="s">
        <v>713</v>
      </c>
      <c r="H999" s="30">
        <v>419.43</v>
      </c>
      <c r="I999" s="38">
        <f>H999*(1-IFERROR(VLOOKUP(G999,Rabat!$D$10:$E$41,2,FALSE),0))</f>
        <v>419.43</v>
      </c>
      <c r="J999" t="s">
        <v>1902</v>
      </c>
      <c r="K999" t="s">
        <v>582</v>
      </c>
      <c r="L999" t="s">
        <v>1901</v>
      </c>
      <c r="M999">
        <v>1</v>
      </c>
      <c r="N999"/>
      <c r="O999" t="s">
        <v>3434</v>
      </c>
      <c r="P999" s="31" t="str">
        <f>HYPERLINK("https://b2b.kobi.pl/pl/product/9870,lampa-wiszaca-globe-elegance-gold-s5-5xg9-kobi-design?currency=PLN")</f>
        <v>https://b2b.kobi.pl/pl/product/9870,lampa-wiszaca-globe-elegance-gold-s5-5xg9-kobi-design?currency=PLN</v>
      </c>
      <c r="Q999" t="s">
        <v>15</v>
      </c>
      <c r="R999" t="s">
        <v>2035</v>
      </c>
      <c r="S999" t="s">
        <v>2714</v>
      </c>
      <c r="T999"/>
      <c r="U999">
        <v>2</v>
      </c>
      <c r="V999">
        <v>2.2999999999999998</v>
      </c>
      <c r="W999">
        <v>80</v>
      </c>
      <c r="X999">
        <v>28</v>
      </c>
      <c r="Y999">
        <v>17</v>
      </c>
    </row>
    <row r="1000" spans="1:25" ht="60" customHeight="1" x14ac:dyDescent="0.25">
      <c r="A1000"/>
      <c r="B1000" t="s">
        <v>5</v>
      </c>
      <c r="C1000" t="s">
        <v>3377</v>
      </c>
      <c r="D1000" t="s">
        <v>671</v>
      </c>
      <c r="E1000" t="s">
        <v>716</v>
      </c>
      <c r="F1000" t="s">
        <v>717</v>
      </c>
      <c r="G1000" t="s">
        <v>713</v>
      </c>
      <c r="H1000" s="30">
        <v>89.3</v>
      </c>
      <c r="I1000" s="38">
        <f>H1000*(1-IFERROR(VLOOKUP(G1000,Rabat!$D$10:$E$41,2,FALSE),0))</f>
        <v>89.3</v>
      </c>
      <c r="J1000" t="s">
        <v>1902</v>
      </c>
      <c r="K1000" t="s">
        <v>580</v>
      </c>
      <c r="L1000" t="s">
        <v>1901</v>
      </c>
      <c r="M1000">
        <v>1</v>
      </c>
      <c r="N1000"/>
      <c r="O1000" t="s">
        <v>3434</v>
      </c>
      <c r="P1000" s="31" t="str">
        <f>HYPERLINK("https://b2b.kobi.pl/pl/product/9872,kinkiet-globe-elegance-gold-k-1xg9-kobi-design?currency=PLN")</f>
        <v>https://b2b.kobi.pl/pl/product/9872,kinkiet-globe-elegance-gold-k-1xg9-kobi-design?currency=PLN</v>
      </c>
      <c r="Q1000" t="s">
        <v>15</v>
      </c>
      <c r="R1000" t="s">
        <v>2035</v>
      </c>
      <c r="S1000" t="s">
        <v>2714</v>
      </c>
      <c r="T1000"/>
      <c r="U1000">
        <v>0.6</v>
      </c>
      <c r="V1000">
        <v>0.73</v>
      </c>
      <c r="W1000">
        <v>34</v>
      </c>
      <c r="X1000">
        <v>17</v>
      </c>
      <c r="Y1000">
        <v>17</v>
      </c>
    </row>
    <row r="1001" spans="1:25" ht="60" customHeight="1" x14ac:dyDescent="0.25">
      <c r="A1001"/>
      <c r="B1001" t="s">
        <v>5</v>
      </c>
      <c r="C1001" t="s">
        <v>3377</v>
      </c>
      <c r="D1001" t="s">
        <v>671</v>
      </c>
      <c r="E1001" t="s">
        <v>714</v>
      </c>
      <c r="F1001" t="s">
        <v>715</v>
      </c>
      <c r="G1001" t="s">
        <v>713</v>
      </c>
      <c r="H1001" s="30">
        <v>94.59</v>
      </c>
      <c r="I1001" s="38">
        <f>H1001*(1-IFERROR(VLOOKUP(G1001,Rabat!$D$10:$E$41,2,FALSE),0))</f>
        <v>94.59</v>
      </c>
      <c r="J1001" t="s">
        <v>1902</v>
      </c>
      <c r="K1001" t="s">
        <v>583</v>
      </c>
      <c r="L1001" t="s">
        <v>1901</v>
      </c>
      <c r="M1001">
        <v>1</v>
      </c>
      <c r="N1001"/>
      <c r="O1001" t="s">
        <v>3434</v>
      </c>
      <c r="P1001" s="31" t="str">
        <f>HYPERLINK("https://b2b.kobi.pl/pl/product/9873,kinkiet-globe-elegance-bl-gold-k-1xg9-kobi-design?currency=PLN")</f>
        <v>https://b2b.kobi.pl/pl/product/9873,kinkiet-globe-elegance-bl-gold-k-1xg9-kobi-design?currency=PLN</v>
      </c>
      <c r="Q1001" t="s">
        <v>15</v>
      </c>
      <c r="R1001" t="s">
        <v>2035</v>
      </c>
      <c r="S1001" t="s">
        <v>2714</v>
      </c>
      <c r="T1001"/>
      <c r="U1001">
        <v>0.5</v>
      </c>
      <c r="V1001">
        <v>0.84</v>
      </c>
      <c r="W1001">
        <v>30</v>
      </c>
      <c r="X1001">
        <v>22</v>
      </c>
      <c r="Y1001">
        <v>20</v>
      </c>
    </row>
    <row r="1002" spans="1:25" ht="60" customHeight="1" x14ac:dyDescent="0.25">
      <c r="A1002"/>
      <c r="B1002" t="s">
        <v>5</v>
      </c>
      <c r="C1002" t="s">
        <v>3377</v>
      </c>
      <c r="D1002" t="s">
        <v>671</v>
      </c>
      <c r="E1002" t="s">
        <v>918</v>
      </c>
      <c r="F1002" t="s">
        <v>919</v>
      </c>
      <c r="G1002" t="s">
        <v>713</v>
      </c>
      <c r="H1002" s="30">
        <v>198.72</v>
      </c>
      <c r="I1002" s="38">
        <f>H1002*(1-IFERROR(VLOOKUP(G1002,Rabat!$D$10:$E$41,2,FALSE),0))</f>
        <v>198.72</v>
      </c>
      <c r="J1002" t="s">
        <v>1902</v>
      </c>
      <c r="K1002" t="s">
        <v>581</v>
      </c>
      <c r="L1002" t="s">
        <v>1901</v>
      </c>
      <c r="M1002">
        <v>1</v>
      </c>
      <c r="N1002"/>
      <c r="O1002" t="s">
        <v>3434</v>
      </c>
      <c r="P1002" s="31" t="str">
        <f>HYPERLINK("https://b2b.kobi.pl/pl/product/9875,lampa-wiszaca-globe-elegance-gold-s2-2xg9-kobi-design?currency=PLN")</f>
        <v>https://b2b.kobi.pl/pl/product/9875,lampa-wiszaca-globe-elegance-gold-s2-2xg9-kobi-design?currency=PLN</v>
      </c>
      <c r="Q1002" t="s">
        <v>15</v>
      </c>
      <c r="R1002" t="s">
        <v>2035</v>
      </c>
      <c r="S1002" t="s">
        <v>2714</v>
      </c>
      <c r="T1002"/>
      <c r="U1002">
        <v>1.2</v>
      </c>
      <c r="V1002">
        <v>1.5</v>
      </c>
      <c r="W1002">
        <v>37</v>
      </c>
      <c r="X1002">
        <v>23</v>
      </c>
      <c r="Y1002">
        <v>17</v>
      </c>
    </row>
    <row r="1003" spans="1:25" ht="60" customHeight="1" x14ac:dyDescent="0.25">
      <c r="A1003"/>
      <c r="B1003" t="s">
        <v>5</v>
      </c>
      <c r="C1003" t="s">
        <v>3377</v>
      </c>
      <c r="D1003" t="s">
        <v>671</v>
      </c>
      <c r="E1003" t="s">
        <v>914</v>
      </c>
      <c r="F1003" t="s">
        <v>915</v>
      </c>
      <c r="G1003" t="s">
        <v>713</v>
      </c>
      <c r="H1003" s="30">
        <v>102.18</v>
      </c>
      <c r="I1003" s="38">
        <f>H1003*(1-IFERROR(VLOOKUP(G1003,Rabat!$D$10:$E$41,2,FALSE),0))</f>
        <v>102.18</v>
      </c>
      <c r="J1003" t="s">
        <v>1902</v>
      </c>
      <c r="K1003" t="s">
        <v>574</v>
      </c>
      <c r="L1003" t="s">
        <v>1901</v>
      </c>
      <c r="M1003">
        <v>1</v>
      </c>
      <c r="N1003"/>
      <c r="O1003" t="s">
        <v>3434</v>
      </c>
      <c r="P1003" s="31" t="str">
        <f>HYPERLINK("https://b2b.kobi.pl/pl/product/9877,lampa-wiszaca-elipse-elegance-s-1xg9-kobi-design?currency=PLN")</f>
        <v>https://b2b.kobi.pl/pl/product/9877,lampa-wiszaca-elipse-elegance-s-1xg9-kobi-design?currency=PLN</v>
      </c>
      <c r="Q1003" t="s">
        <v>15</v>
      </c>
      <c r="R1003" t="s">
        <v>2035</v>
      </c>
      <c r="S1003" t="s">
        <v>2714</v>
      </c>
      <c r="T1003"/>
      <c r="U1003">
        <v>0.7</v>
      </c>
      <c r="V1003">
        <v>1</v>
      </c>
      <c r="W1003">
        <v>26</v>
      </c>
      <c r="X1003">
        <v>19</v>
      </c>
      <c r="Y1003">
        <v>15</v>
      </c>
    </row>
    <row r="1004" spans="1:25" ht="60" customHeight="1" x14ac:dyDescent="0.25">
      <c r="A1004"/>
      <c r="B1004" t="s">
        <v>5</v>
      </c>
      <c r="C1004" t="s">
        <v>3377</v>
      </c>
      <c r="D1004" t="s">
        <v>671</v>
      </c>
      <c r="E1004" t="s">
        <v>711</v>
      </c>
      <c r="F1004" t="s">
        <v>712</v>
      </c>
      <c r="G1004" t="s">
        <v>713</v>
      </c>
      <c r="H1004" s="30">
        <v>138.07</v>
      </c>
      <c r="I1004" s="38">
        <f>H1004*(1-IFERROR(VLOOKUP(G1004,Rabat!$D$10:$E$41,2,FALSE),0))</f>
        <v>138.07</v>
      </c>
      <c r="J1004" t="s">
        <v>1902</v>
      </c>
      <c r="K1004" t="s">
        <v>573</v>
      </c>
      <c r="L1004" t="s">
        <v>1901</v>
      </c>
      <c r="M1004">
        <v>1</v>
      </c>
      <c r="N1004"/>
      <c r="O1004" t="s">
        <v>3434</v>
      </c>
      <c r="P1004" s="31" t="str">
        <f>HYPERLINK("https://b2b.kobi.pl/pl/product/9878,kinkiet-elipse-elegance-k-2xg9-kobi-design?currency=PLN")</f>
        <v>https://b2b.kobi.pl/pl/product/9878,kinkiet-elipse-elegance-k-2xg9-kobi-design?currency=PLN</v>
      </c>
      <c r="Q1004" t="s">
        <v>15</v>
      </c>
      <c r="R1004" t="s">
        <v>2035</v>
      </c>
      <c r="S1004" t="s">
        <v>2714</v>
      </c>
      <c r="T1004"/>
      <c r="U1004">
        <v>1</v>
      </c>
      <c r="V1004">
        <v>1.98</v>
      </c>
      <c r="W1004">
        <v>32</v>
      </c>
      <c r="X1004">
        <v>28</v>
      </c>
      <c r="Y1004">
        <v>15</v>
      </c>
    </row>
    <row r="1005" spans="1:25" ht="60" customHeight="1" x14ac:dyDescent="0.25">
      <c r="A1005"/>
      <c r="B1005" t="s">
        <v>5</v>
      </c>
      <c r="C1005" t="s">
        <v>3377</v>
      </c>
      <c r="D1005" t="s">
        <v>671</v>
      </c>
      <c r="E1005" t="s">
        <v>838</v>
      </c>
      <c r="F1005" t="s">
        <v>839</v>
      </c>
      <c r="G1005" t="s">
        <v>713</v>
      </c>
      <c r="H1005" s="30">
        <v>246</v>
      </c>
      <c r="I1005" s="38">
        <f>H1005*(1-IFERROR(VLOOKUP(G1005,Rabat!$D$10:$E$41,2,FALSE),0))</f>
        <v>246</v>
      </c>
      <c r="J1005" t="s">
        <v>1902</v>
      </c>
      <c r="K1005" t="s">
        <v>575</v>
      </c>
      <c r="L1005" t="s">
        <v>1901</v>
      </c>
      <c r="M1005">
        <v>1</v>
      </c>
      <c r="N1005"/>
      <c r="O1005" t="s">
        <v>3434</v>
      </c>
      <c r="P1005" s="31" t="str">
        <f>HYPERLINK("https://b2b.kobi.pl/pl/product/9879,lampa-sufitowa-elipse-elegance-s3-3xg9-kobi-design?currency=PLN")</f>
        <v>https://b2b.kobi.pl/pl/product/9879,lampa-sufitowa-elipse-elegance-s3-3xg9-kobi-design?currency=PLN</v>
      </c>
      <c r="Q1005" t="s">
        <v>15</v>
      </c>
      <c r="R1005" t="s">
        <v>2035</v>
      </c>
      <c r="S1005" t="s">
        <v>2714</v>
      </c>
      <c r="T1005"/>
      <c r="U1005">
        <v>1.9</v>
      </c>
      <c r="V1005">
        <v>2.2999999999999998</v>
      </c>
      <c r="W1005">
        <v>61</v>
      </c>
      <c r="X1005">
        <v>30</v>
      </c>
      <c r="Y1005">
        <v>15</v>
      </c>
    </row>
    <row r="1006" spans="1:25" ht="60" customHeight="1" x14ac:dyDescent="0.25">
      <c r="A1006"/>
      <c r="B1006" t="s">
        <v>4</v>
      </c>
      <c r="C1006" t="s">
        <v>19</v>
      </c>
      <c r="D1006" t="s">
        <v>643</v>
      </c>
      <c r="E1006" t="s">
        <v>1358</v>
      </c>
      <c r="F1006" t="s">
        <v>1359</v>
      </c>
      <c r="G1006" t="s">
        <v>645</v>
      </c>
      <c r="H1006" s="30">
        <v>89</v>
      </c>
      <c r="I1006" s="38">
        <f>H1006*(1-IFERROR(VLOOKUP(G1006,Rabat!$D$10:$E$41,2,FALSE),0))</f>
        <v>89</v>
      </c>
      <c r="J1006" t="s">
        <v>1902</v>
      </c>
      <c r="K1006" t="s">
        <v>1954</v>
      </c>
      <c r="L1006" t="s">
        <v>1901</v>
      </c>
      <c r="M1006">
        <v>20</v>
      </c>
      <c r="N1006">
        <v>620</v>
      </c>
      <c r="O1006" t="s">
        <v>3434</v>
      </c>
      <c r="P1006" s="31" t="str">
        <f>HYPERLINK("https://b2b.kobi.pl/pl/product/12117,oslona-do-led-anica-100w-kobi?currency=PLN")</f>
        <v>https://b2b.kobi.pl/pl/product/12117,oslona-do-led-anica-100w-kobi?currency=PLN</v>
      </c>
      <c r="Q1006" t="s">
        <v>15</v>
      </c>
      <c r="R1006"/>
      <c r="S1006" t="s">
        <v>2678</v>
      </c>
      <c r="T1006"/>
      <c r="U1006">
        <v>0.19</v>
      </c>
      <c r="V1006">
        <v>0.2</v>
      </c>
      <c r="W1006">
        <v>0</v>
      </c>
      <c r="X1006">
        <v>0</v>
      </c>
      <c r="Y1006">
        <v>0</v>
      </c>
    </row>
    <row r="1007" spans="1:25" ht="60" customHeight="1" x14ac:dyDescent="0.25">
      <c r="A1007"/>
      <c r="B1007" t="s">
        <v>4</v>
      </c>
      <c r="C1007" t="s">
        <v>19</v>
      </c>
      <c r="D1007" t="s">
        <v>643</v>
      </c>
      <c r="E1007" t="s">
        <v>1362</v>
      </c>
      <c r="F1007" t="s">
        <v>1363</v>
      </c>
      <c r="G1007" t="s">
        <v>645</v>
      </c>
      <c r="H1007" s="30">
        <v>93</v>
      </c>
      <c r="I1007" s="38">
        <f>H1007*(1-IFERROR(VLOOKUP(G1007,Rabat!$D$10:$E$41,2,FALSE),0))</f>
        <v>93</v>
      </c>
      <c r="J1007" t="s">
        <v>1902</v>
      </c>
      <c r="K1007" t="s">
        <v>1956</v>
      </c>
      <c r="L1007" t="s">
        <v>1901</v>
      </c>
      <c r="M1007">
        <v>20</v>
      </c>
      <c r="N1007">
        <v>560</v>
      </c>
      <c r="O1007" t="s">
        <v>3434</v>
      </c>
      <c r="P1007" s="31" t="str">
        <f>HYPERLINK("https://b2b.kobi.pl/pl/product/12118,oslona-do-led-anica-150w-kobi?currency=PLN")</f>
        <v>https://b2b.kobi.pl/pl/product/12118,oslona-do-led-anica-150w-kobi?currency=PLN</v>
      </c>
      <c r="Q1007" t="s">
        <v>15</v>
      </c>
      <c r="R1007"/>
      <c r="S1007" t="s">
        <v>2678</v>
      </c>
      <c r="T1007"/>
      <c r="U1007">
        <v>0.255</v>
      </c>
      <c r="V1007">
        <v>0.26500000000000001</v>
      </c>
      <c r="W1007">
        <v>0</v>
      </c>
      <c r="X1007">
        <v>0</v>
      </c>
      <c r="Y1007">
        <v>0</v>
      </c>
    </row>
    <row r="1008" spans="1:25" ht="60" customHeight="1" x14ac:dyDescent="0.25">
      <c r="A1008"/>
      <c r="B1008" t="s">
        <v>4</v>
      </c>
      <c r="C1008" t="s">
        <v>19</v>
      </c>
      <c r="D1008" t="s">
        <v>643</v>
      </c>
      <c r="E1008" t="s">
        <v>1366</v>
      </c>
      <c r="F1008" t="s">
        <v>1367</v>
      </c>
      <c r="G1008" t="s">
        <v>645</v>
      </c>
      <c r="H1008" s="30">
        <v>105</v>
      </c>
      <c r="I1008" s="38">
        <f>H1008*(1-IFERROR(VLOOKUP(G1008,Rabat!$D$10:$E$41,2,FALSE),0))</f>
        <v>105</v>
      </c>
      <c r="J1008" t="s">
        <v>1902</v>
      </c>
      <c r="K1008" t="s">
        <v>1957</v>
      </c>
      <c r="L1008" t="s">
        <v>1901</v>
      </c>
      <c r="M1008">
        <v>20</v>
      </c>
      <c r="N1008">
        <v>400</v>
      </c>
      <c r="O1008" t="s">
        <v>3434</v>
      </c>
      <c r="P1008" s="31" t="str">
        <f>HYPERLINK("https://b2b.kobi.pl/pl/product/12119,oslona-do-led-anica-200w-kobi?currency=PLN")</f>
        <v>https://b2b.kobi.pl/pl/product/12119,oslona-do-led-anica-200w-kobi?currency=PLN</v>
      </c>
      <c r="Q1008" t="s">
        <v>15</v>
      </c>
      <c r="R1008"/>
      <c r="S1008" t="s">
        <v>2678</v>
      </c>
      <c r="T1008"/>
      <c r="U1008">
        <v>0.3</v>
      </c>
      <c r="V1008">
        <v>0.31</v>
      </c>
      <c r="W1008">
        <v>0</v>
      </c>
      <c r="X1008">
        <v>0</v>
      </c>
      <c r="Y1008">
        <v>0</v>
      </c>
    </row>
    <row r="1009" spans="1:25" ht="60" customHeight="1" x14ac:dyDescent="0.25">
      <c r="A1009"/>
      <c r="B1009" t="s">
        <v>646</v>
      </c>
      <c r="C1009" t="s">
        <v>6</v>
      </c>
      <c r="D1009" t="s">
        <v>643</v>
      </c>
      <c r="E1009" t="s">
        <v>1376</v>
      </c>
      <c r="F1009" t="s">
        <v>1377</v>
      </c>
      <c r="G1009" t="s">
        <v>645</v>
      </c>
      <c r="H1009" s="30">
        <v>24.75</v>
      </c>
      <c r="I1009" s="38">
        <f>H1009*(1-IFERROR(VLOOKUP(G1009,Rabat!$D$10:$E$41,2,FALSE),0))</f>
        <v>24.75</v>
      </c>
      <c r="J1009" t="s">
        <v>1902</v>
      </c>
      <c r="K1009" t="s">
        <v>437</v>
      </c>
      <c r="L1009" t="s">
        <v>1901</v>
      </c>
      <c r="M1009">
        <v>48</v>
      </c>
      <c r="N1009">
        <v>960</v>
      </c>
      <c r="O1009" t="s">
        <v>3434</v>
      </c>
      <c r="P1009" s="31" t="str">
        <f>HYPERLINK("https://b2b.kobi.pl/pl/product/10687,programator-pc24-kobi?currency=PLN")</f>
        <v>https://b2b.kobi.pl/pl/product/10687,programator-pc24-kobi?currency=PLN</v>
      </c>
      <c r="Q1009" t="s">
        <v>15</v>
      </c>
      <c r="R1009"/>
      <c r="S1009" t="s">
        <v>2729</v>
      </c>
      <c r="T1009"/>
      <c r="U1009">
        <v>0.13500000000000001</v>
      </c>
      <c r="V1009">
        <v>0.16</v>
      </c>
      <c r="W1009">
        <v>11</v>
      </c>
      <c r="X1009">
        <v>23</v>
      </c>
      <c r="Y1009">
        <v>8</v>
      </c>
    </row>
    <row r="1010" spans="1:25" ht="60" customHeight="1" x14ac:dyDescent="0.25">
      <c r="A1010"/>
      <c r="B1010" t="s">
        <v>2223</v>
      </c>
      <c r="C1010" t="s">
        <v>3384</v>
      </c>
      <c r="D1010" t="s">
        <v>2225</v>
      </c>
      <c r="E1010" t="s">
        <v>2240</v>
      </c>
      <c r="F1010" t="s">
        <v>2241</v>
      </c>
      <c r="G1010" t="s">
        <v>2228</v>
      </c>
      <c r="H1010" s="30">
        <v>72.5</v>
      </c>
      <c r="I1010" s="38">
        <f>H1010*(1-IFERROR(VLOOKUP(G1010,Rabat!$D$10:$E$41,2,FALSE),0))</f>
        <v>72.5</v>
      </c>
      <c r="J1010" t="s">
        <v>1902</v>
      </c>
      <c r="K1010" t="s">
        <v>2267</v>
      </c>
      <c r="L1010" t="s">
        <v>1901</v>
      </c>
      <c r="M1010">
        <v>6</v>
      </c>
      <c r="N1010">
        <v>120</v>
      </c>
      <c r="O1010" t="s">
        <v>3434</v>
      </c>
      <c r="P1010" s="31" t="str">
        <f>HYPERLINK("https://b2b.kobi.pl/pl/product/10265,termowentylator-mistral-2000w-bialy-kobi-windstar?currency=PLN")</f>
        <v>https://b2b.kobi.pl/pl/product/10265,termowentylator-mistral-2000w-bialy-kobi-windstar?currency=PLN</v>
      </c>
      <c r="Q1010" t="s">
        <v>15</v>
      </c>
      <c r="R1010"/>
      <c r="S1010" t="s">
        <v>2733</v>
      </c>
      <c r="T1010"/>
      <c r="U1010">
        <v>0.8</v>
      </c>
      <c r="V1010">
        <v>0.91249999999999998</v>
      </c>
      <c r="W1010">
        <v>29.25</v>
      </c>
      <c r="X1010">
        <v>6</v>
      </c>
      <c r="Y1010">
        <v>56</v>
      </c>
    </row>
    <row r="1011" spans="1:25" ht="60" customHeight="1" x14ac:dyDescent="0.25">
      <c r="A1011"/>
      <c r="B1011" t="s">
        <v>2223</v>
      </c>
      <c r="C1011" t="s">
        <v>3384</v>
      </c>
      <c r="D1011" t="s">
        <v>2225</v>
      </c>
      <c r="E1011" t="s">
        <v>2242</v>
      </c>
      <c r="F1011" t="s">
        <v>2243</v>
      </c>
      <c r="G1011" t="s">
        <v>2228</v>
      </c>
      <c r="H1011" s="30">
        <v>172.5</v>
      </c>
      <c r="I1011" s="38">
        <f>H1011*(1-IFERROR(VLOOKUP(G1011,Rabat!$D$10:$E$41,2,FALSE),0))</f>
        <v>172.5</v>
      </c>
      <c r="J1011" t="s">
        <v>1902</v>
      </c>
      <c r="K1011" t="s">
        <v>2268</v>
      </c>
      <c r="L1011" t="s">
        <v>1901</v>
      </c>
      <c r="M1011">
        <v>1</v>
      </c>
      <c r="N1011">
        <v>40</v>
      </c>
      <c r="O1011" t="s">
        <v>3434</v>
      </c>
      <c r="P1011" s="31" t="str">
        <f>HYPERLINK("https://b2b.kobi.pl/pl/product/10266,grzejnik-konwektorowy-sondo-2000w-turbo-bialy-kobi-windstar?currency=PLN")</f>
        <v>https://b2b.kobi.pl/pl/product/10266,grzejnik-konwektorowy-sondo-2000w-turbo-bialy-kobi-windstar?currency=PLN</v>
      </c>
      <c r="Q1011" t="s">
        <v>15</v>
      </c>
      <c r="R1011"/>
      <c r="S1011" t="s">
        <v>2734</v>
      </c>
      <c r="T1011"/>
      <c r="U1011">
        <v>2.2000000000000002</v>
      </c>
      <c r="V1011">
        <v>2.86</v>
      </c>
      <c r="W1011">
        <v>57</v>
      </c>
      <c r="X1011">
        <v>13.5</v>
      </c>
      <c r="Y1011">
        <v>39.5</v>
      </c>
    </row>
    <row r="1012" spans="1:25" ht="60" customHeight="1" x14ac:dyDescent="0.25">
      <c r="A1012"/>
      <c r="B1012" t="s">
        <v>2223</v>
      </c>
      <c r="C1012" t="s">
        <v>3384</v>
      </c>
      <c r="D1012" t="s">
        <v>2225</v>
      </c>
      <c r="E1012" t="s">
        <v>2244</v>
      </c>
      <c r="F1012" t="s">
        <v>2245</v>
      </c>
      <c r="G1012" t="s">
        <v>2228</v>
      </c>
      <c r="H1012" s="30">
        <v>76.25</v>
      </c>
      <c r="I1012" s="38">
        <f>H1012*(1-IFERROR(VLOOKUP(G1012,Rabat!$D$10:$E$41,2,FALSE),0))</f>
        <v>76.25</v>
      </c>
      <c r="J1012" t="s">
        <v>1902</v>
      </c>
      <c r="K1012" t="s">
        <v>2269</v>
      </c>
      <c r="L1012" t="s">
        <v>1901</v>
      </c>
      <c r="M1012">
        <v>6</v>
      </c>
      <c r="N1012">
        <v>200</v>
      </c>
      <c r="O1012" t="s">
        <v>3434</v>
      </c>
      <c r="P1012" s="31" t="str">
        <f>HYPERLINK("https://b2b.kobi.pl/pl/product/10268,termowentylator-zefir-2000w-bialy-kobi-windstar?currency=PLN")</f>
        <v>https://b2b.kobi.pl/pl/product/10268,termowentylator-zefir-2000w-bialy-kobi-windstar?currency=PLN</v>
      </c>
      <c r="Q1012" t="s">
        <v>15</v>
      </c>
      <c r="R1012"/>
      <c r="S1012" t="s">
        <v>2733</v>
      </c>
      <c r="T1012"/>
      <c r="U1012">
        <v>0.83</v>
      </c>
      <c r="V1012">
        <v>0.83</v>
      </c>
      <c r="W1012">
        <v>11.3</v>
      </c>
      <c r="X1012">
        <v>11.75</v>
      </c>
      <c r="Y1012">
        <v>48</v>
      </c>
    </row>
    <row r="1013" spans="1:25" ht="60" customHeight="1" x14ac:dyDescent="0.25">
      <c r="A1013"/>
      <c r="B1013" t="s">
        <v>2223</v>
      </c>
      <c r="C1013" t="s">
        <v>3384</v>
      </c>
      <c r="D1013" t="s">
        <v>2225</v>
      </c>
      <c r="E1013" t="s">
        <v>2246</v>
      </c>
      <c r="F1013" t="s">
        <v>2247</v>
      </c>
      <c r="G1013" t="s">
        <v>2228</v>
      </c>
      <c r="H1013" s="30">
        <v>134.75</v>
      </c>
      <c r="I1013" s="38">
        <f>H1013*(1-IFERROR(VLOOKUP(G1013,Rabat!$D$10:$E$41,2,FALSE),0))</f>
        <v>134.75</v>
      </c>
      <c r="J1013" t="s">
        <v>1902</v>
      </c>
      <c r="K1013" t="s">
        <v>2270</v>
      </c>
      <c r="L1013" t="s">
        <v>1901</v>
      </c>
      <c r="M1013">
        <v>6</v>
      </c>
      <c r="N1013">
        <v>126</v>
      </c>
      <c r="O1013" t="s">
        <v>3434</v>
      </c>
      <c r="P1013" s="31" t="str">
        <f>HYPERLINK("https://b2b.kobi.pl/pl/product/12454,termowentylator-ceramiczny-rin-1500w-czarny-kobi-windstar?currency=PLN")</f>
        <v>https://b2b.kobi.pl/pl/product/12454,termowentylator-ceramiczny-rin-1500w-czarny-kobi-windstar?currency=PLN</v>
      </c>
      <c r="Q1013" t="s">
        <v>15</v>
      </c>
      <c r="R1013"/>
      <c r="S1013" t="s">
        <v>2733</v>
      </c>
      <c r="T1013"/>
      <c r="U1013">
        <v>1.2230000000000001</v>
      </c>
      <c r="V1013">
        <v>1.48</v>
      </c>
      <c r="W1013">
        <v>19.5</v>
      </c>
      <c r="X1013">
        <v>15</v>
      </c>
      <c r="Y1013">
        <v>26</v>
      </c>
    </row>
    <row r="1014" spans="1:25" ht="60" customHeight="1" x14ac:dyDescent="0.25">
      <c r="A1014"/>
      <c r="B1014" t="s">
        <v>2223</v>
      </c>
      <c r="C1014" t="s">
        <v>3384</v>
      </c>
      <c r="D1014" t="s">
        <v>2225</v>
      </c>
      <c r="E1014" t="s">
        <v>2248</v>
      </c>
      <c r="F1014" t="s">
        <v>2249</v>
      </c>
      <c r="G1014" t="s">
        <v>2228</v>
      </c>
      <c r="H1014" s="30">
        <v>172.5</v>
      </c>
      <c r="I1014" s="38">
        <f>H1014*(1-IFERROR(VLOOKUP(G1014,Rabat!$D$10:$E$41,2,FALSE),0))</f>
        <v>172.5</v>
      </c>
      <c r="J1014" t="s">
        <v>1902</v>
      </c>
      <c r="K1014" t="s">
        <v>2271</v>
      </c>
      <c r="L1014" t="s">
        <v>1901</v>
      </c>
      <c r="M1014">
        <v>1</v>
      </c>
      <c r="N1014">
        <v>40</v>
      </c>
      <c r="O1014" t="s">
        <v>3434</v>
      </c>
      <c r="P1014" s="31" t="str">
        <f>HYPERLINK("https://b2b.kobi.pl/pl/product/12476,grzejnik-konwektorowy-sondo-2000w-turbo-czarny-kobi-windstar?currency=PLN")</f>
        <v>https://b2b.kobi.pl/pl/product/12476,grzejnik-konwektorowy-sondo-2000w-turbo-czarny-kobi-windstar?currency=PLN</v>
      </c>
      <c r="Q1014" t="s">
        <v>15</v>
      </c>
      <c r="R1014"/>
      <c r="S1014" t="s">
        <v>2734</v>
      </c>
      <c r="T1014"/>
      <c r="U1014">
        <v>2.2000000000000002</v>
      </c>
      <c r="V1014">
        <v>2.75</v>
      </c>
      <c r="W1014">
        <v>57.5</v>
      </c>
      <c r="X1014">
        <v>13.3</v>
      </c>
      <c r="Y1014">
        <v>40</v>
      </c>
    </row>
    <row r="1015" spans="1:25" ht="60" customHeight="1" x14ac:dyDescent="0.25">
      <c r="A1015"/>
      <c r="B1015" t="s">
        <v>4</v>
      </c>
      <c r="C1015" t="s">
        <v>18</v>
      </c>
      <c r="D1015" t="s">
        <v>631</v>
      </c>
      <c r="E1015" t="s">
        <v>2813</v>
      </c>
      <c r="F1015" t="s">
        <v>1153</v>
      </c>
      <c r="G1015" t="s">
        <v>602</v>
      </c>
      <c r="H1015" s="30">
        <v>422.22</v>
      </c>
      <c r="I1015" s="38">
        <f>H1015*(1-IFERROR(VLOOKUP(G1015,Rabat!$D$10:$E$41,2,FALSE),0))</f>
        <v>422.22</v>
      </c>
      <c r="J1015" t="s">
        <v>1902</v>
      </c>
      <c r="K1015" t="s">
        <v>566</v>
      </c>
      <c r="L1015" t="s">
        <v>1901</v>
      </c>
      <c r="M1015">
        <v>8</v>
      </c>
      <c r="N1015">
        <v>192</v>
      </c>
      <c r="O1015" t="s">
        <v>3435</v>
      </c>
      <c r="P1015" s="31" t="str">
        <f>HYPERLINK("https://b2b.kobi.pl/pl/product/12107,naswietlacz-z-czujnikiem-ruchu-solar-led-mhcs-30w-2cct-ip65-kobi-premium?currency=PLN")</f>
        <v>https://b2b.kobi.pl/pl/product/12107,naswietlacz-z-czujnikiem-ruchu-solar-led-mhcs-30w-2cct-ip65-kobi-premium?currency=PLN</v>
      </c>
      <c r="Q1015" t="s">
        <v>15</v>
      </c>
      <c r="R1015"/>
      <c r="S1015" t="s">
        <v>2713</v>
      </c>
      <c r="T1015"/>
      <c r="U1015">
        <v>1.5449999999999999</v>
      </c>
      <c r="V1015">
        <v>2.2200000000000002</v>
      </c>
      <c r="W1015">
        <v>26</v>
      </c>
      <c r="X1015">
        <v>7</v>
      </c>
      <c r="Y1015">
        <v>38.200000000000003</v>
      </c>
    </row>
    <row r="1016" spans="1:25" ht="60" customHeight="1" x14ac:dyDescent="0.25">
      <c r="A1016"/>
      <c r="B1016" t="s">
        <v>4</v>
      </c>
      <c r="C1016" t="s">
        <v>18</v>
      </c>
      <c r="D1016" t="s">
        <v>631</v>
      </c>
      <c r="E1016" t="s">
        <v>2278</v>
      </c>
      <c r="F1016" t="s">
        <v>2279</v>
      </c>
      <c r="G1016" t="s">
        <v>602</v>
      </c>
      <c r="H1016" s="30">
        <v>197.78</v>
      </c>
      <c r="I1016" s="38">
        <f>H1016*(1-IFERROR(VLOOKUP(G1016,Rabat!$D$10:$E$41,2,FALSE),0))</f>
        <v>197.78</v>
      </c>
      <c r="J1016" t="s">
        <v>1902</v>
      </c>
      <c r="K1016" t="s">
        <v>2290</v>
      </c>
      <c r="L1016" t="s">
        <v>1901</v>
      </c>
      <c r="M1016">
        <v>12</v>
      </c>
      <c r="N1016">
        <v>360</v>
      </c>
      <c r="O1016" t="s">
        <v>3435</v>
      </c>
      <c r="P1016" s="31" t="str">
        <f>HYPERLINK("https://b2b.kobi.pl/pl/product/12446,naswietlacz-solar-led-mhcs-10w-2cct-ip65-kobi-premium?currency=PLN")</f>
        <v>https://b2b.kobi.pl/pl/product/12446,naswietlacz-solar-led-mhcs-10w-2cct-ip65-kobi-premium?currency=PLN</v>
      </c>
      <c r="Q1016" t="s">
        <v>15</v>
      </c>
      <c r="R1016"/>
      <c r="S1016" t="s">
        <v>2713</v>
      </c>
      <c r="T1016"/>
      <c r="U1016">
        <v>0.95</v>
      </c>
      <c r="V1016">
        <v>2.1</v>
      </c>
      <c r="W1016">
        <v>7</v>
      </c>
      <c r="X1016">
        <v>27</v>
      </c>
      <c r="Y1016">
        <v>38</v>
      </c>
    </row>
    <row r="1017" spans="1:25" ht="60" customHeight="1" x14ac:dyDescent="0.25">
      <c r="A1017"/>
      <c r="B1017" t="s">
        <v>4</v>
      </c>
      <c r="C1017" t="s">
        <v>3376</v>
      </c>
      <c r="D1017" t="s">
        <v>643</v>
      </c>
      <c r="E1017" t="s">
        <v>1256</v>
      </c>
      <c r="F1017" t="s">
        <v>1257</v>
      </c>
      <c r="G1017" t="s">
        <v>1249</v>
      </c>
      <c r="H1017" s="30">
        <v>33.5</v>
      </c>
      <c r="I1017" s="38">
        <f>H1017*(1-IFERROR(VLOOKUP(G1017,Rabat!$D$10:$E$41,2,FALSE),0))</f>
        <v>33.5</v>
      </c>
      <c r="J1017" t="s">
        <v>1902</v>
      </c>
      <c r="K1017" t="s">
        <v>261</v>
      </c>
      <c r="L1017" t="s">
        <v>1901</v>
      </c>
      <c r="M1017">
        <v>10</v>
      </c>
      <c r="N1017"/>
      <c r="O1017" t="s">
        <v>3434</v>
      </c>
      <c r="P1017" s="31" t="str">
        <f>HYPERLINK("https://b2b.kobi.pl/pl/product/10283,oprawa-kanalowa-soma-pc-1xe27-100-siatka-plastik-kobi?currency=PLN")</f>
        <v>https://b2b.kobi.pl/pl/product/10283,oprawa-kanalowa-soma-pc-1xe27-100-siatka-plastik-kobi?currency=PLN</v>
      </c>
      <c r="Q1017" t="s">
        <v>15</v>
      </c>
      <c r="R1017"/>
      <c r="S1017" t="s">
        <v>2708</v>
      </c>
      <c r="T1017"/>
      <c r="U1017">
        <v>0.21</v>
      </c>
      <c r="V1017">
        <v>0.23100000000000001</v>
      </c>
      <c r="W1017">
        <v>0</v>
      </c>
      <c r="X1017">
        <v>0</v>
      </c>
      <c r="Y1017">
        <v>0</v>
      </c>
    </row>
    <row r="1018" spans="1:25" ht="60" customHeight="1" x14ac:dyDescent="0.25">
      <c r="A1018"/>
      <c r="B1018" t="s">
        <v>4</v>
      </c>
      <c r="C1018" t="s">
        <v>3376</v>
      </c>
      <c r="D1018" t="s">
        <v>643</v>
      </c>
      <c r="E1018" t="s">
        <v>1247</v>
      </c>
      <c r="F1018" t="s">
        <v>1248</v>
      </c>
      <c r="G1018" t="s">
        <v>1249</v>
      </c>
      <c r="H1018" s="30">
        <v>32</v>
      </c>
      <c r="I1018" s="38">
        <f>H1018*(1-IFERROR(VLOOKUP(G1018,Rabat!$D$10:$E$41,2,FALSE),0))</f>
        <v>32</v>
      </c>
      <c r="J1018" t="s">
        <v>1902</v>
      </c>
      <c r="K1018" t="s">
        <v>263</v>
      </c>
      <c r="L1018" t="s">
        <v>1901</v>
      </c>
      <c r="M1018">
        <v>12</v>
      </c>
      <c r="N1018"/>
      <c r="O1018" t="s">
        <v>3434</v>
      </c>
      <c r="P1018" s="31" t="str">
        <f>HYPERLINK("https://b2b.kobi.pl/pl/product/10284,oprawa-kanalowa-soma-pc-1xe27-60-siatka-metal-kobi?currency=PLN")</f>
        <v>https://b2b.kobi.pl/pl/product/10284,oprawa-kanalowa-soma-pc-1xe27-60-siatka-metal-kobi?currency=PLN</v>
      </c>
      <c r="Q1018" t="s">
        <v>15</v>
      </c>
      <c r="R1018"/>
      <c r="S1018" t="s">
        <v>2708</v>
      </c>
      <c r="T1018"/>
      <c r="U1018">
        <v>0.2</v>
      </c>
      <c r="V1018">
        <v>0.22</v>
      </c>
      <c r="W1018">
        <v>0</v>
      </c>
      <c r="X1018">
        <v>0</v>
      </c>
      <c r="Y1018">
        <v>0</v>
      </c>
    </row>
    <row r="1019" spans="1:25" ht="60" customHeight="1" x14ac:dyDescent="0.25">
      <c r="A1019"/>
      <c r="B1019" t="s">
        <v>4</v>
      </c>
      <c r="C1019" t="s">
        <v>3376</v>
      </c>
      <c r="D1019" t="s">
        <v>643</v>
      </c>
      <c r="E1019" t="s">
        <v>1252</v>
      </c>
      <c r="F1019" t="s">
        <v>1253</v>
      </c>
      <c r="G1019" t="s">
        <v>1249</v>
      </c>
      <c r="H1019" s="30">
        <v>39.5</v>
      </c>
      <c r="I1019" s="38">
        <f>H1019*(1-IFERROR(VLOOKUP(G1019,Rabat!$D$10:$E$41,2,FALSE),0))</f>
        <v>39.5</v>
      </c>
      <c r="J1019" t="s">
        <v>1902</v>
      </c>
      <c r="K1019" t="s">
        <v>262</v>
      </c>
      <c r="L1019" t="s">
        <v>1901</v>
      </c>
      <c r="M1019">
        <v>10</v>
      </c>
      <c r="N1019"/>
      <c r="O1019" t="s">
        <v>3434</v>
      </c>
      <c r="P1019" s="31" t="str">
        <f>HYPERLINK("https://b2b.kobi.pl/pl/product/10282,oprawa-kanalowa-soma-pc-1xe27-100-siatka-metal-kobi?currency=PLN")</f>
        <v>https://b2b.kobi.pl/pl/product/10282,oprawa-kanalowa-soma-pc-1xe27-100-siatka-metal-kobi?currency=PLN</v>
      </c>
      <c r="Q1019" t="s">
        <v>15</v>
      </c>
      <c r="R1019"/>
      <c r="S1019" t="s">
        <v>2708</v>
      </c>
      <c r="T1019"/>
      <c r="U1019">
        <v>0.22</v>
      </c>
      <c r="V1019">
        <v>0.24199999999999999</v>
      </c>
      <c r="W1019">
        <v>0</v>
      </c>
      <c r="X1019">
        <v>0</v>
      </c>
      <c r="Y1019">
        <v>0</v>
      </c>
    </row>
    <row r="1020" spans="1:25" ht="60" customHeight="1" x14ac:dyDescent="0.25">
      <c r="A1020"/>
      <c r="B1020" t="s">
        <v>4</v>
      </c>
      <c r="C1020" t="s">
        <v>3376</v>
      </c>
      <c r="D1020" t="s">
        <v>643</v>
      </c>
      <c r="E1020" t="s">
        <v>1250</v>
      </c>
      <c r="F1020" t="s">
        <v>1251</v>
      </c>
      <c r="G1020" t="s">
        <v>1249</v>
      </c>
      <c r="H1020" s="30">
        <v>28.5</v>
      </c>
      <c r="I1020" s="38">
        <f>H1020*(1-IFERROR(VLOOKUP(G1020,Rabat!$D$10:$E$41,2,FALSE),0))</f>
        <v>28.5</v>
      </c>
      <c r="J1020" t="s">
        <v>1902</v>
      </c>
      <c r="K1020" t="s">
        <v>264</v>
      </c>
      <c r="L1020" t="s">
        <v>1901</v>
      </c>
      <c r="M1020">
        <v>12</v>
      </c>
      <c r="N1020"/>
      <c r="O1020" t="s">
        <v>3434</v>
      </c>
      <c r="P1020" s="31" t="str">
        <f>HYPERLINK("https://b2b.kobi.pl/pl/product/10285,oprawa-kanalowa-soma-pc-1xe27-60-siatka-plastik-kobi?currency=PLN")</f>
        <v>https://b2b.kobi.pl/pl/product/10285,oprawa-kanalowa-soma-pc-1xe27-60-siatka-plastik-kobi?currency=PLN</v>
      </c>
      <c r="Q1020" t="s">
        <v>15</v>
      </c>
      <c r="R1020"/>
      <c r="S1020" t="s">
        <v>2708</v>
      </c>
      <c r="T1020"/>
      <c r="U1020">
        <v>0.19</v>
      </c>
      <c r="V1020">
        <v>0.20899999999999999</v>
      </c>
      <c r="W1020">
        <v>0</v>
      </c>
      <c r="X1020">
        <v>0</v>
      </c>
      <c r="Y1020">
        <v>0</v>
      </c>
    </row>
    <row r="1021" spans="1:25" ht="60" customHeight="1" x14ac:dyDescent="0.25">
      <c r="A1021"/>
      <c r="B1021" t="s">
        <v>4</v>
      </c>
      <c r="C1021" t="s">
        <v>3376</v>
      </c>
      <c r="D1021" t="s">
        <v>643</v>
      </c>
      <c r="E1021" t="s">
        <v>3385</v>
      </c>
      <c r="F1021" t="s">
        <v>1258</v>
      </c>
      <c r="G1021" t="s">
        <v>1249</v>
      </c>
      <c r="H1021" s="30">
        <v>64</v>
      </c>
      <c r="I1021" s="38">
        <f>H1021*(1-IFERROR(VLOOKUP(G1021,Rabat!$D$10:$E$41,2,FALSE),0))</f>
        <v>64</v>
      </c>
      <c r="J1021" t="s">
        <v>1902</v>
      </c>
      <c r="K1021" t="s">
        <v>177</v>
      </c>
      <c r="L1021" t="s">
        <v>1901</v>
      </c>
      <c r="M1021">
        <v>5</v>
      </c>
      <c r="N1021">
        <v>180</v>
      </c>
      <c r="O1021" t="s">
        <v>3434</v>
      </c>
      <c r="P1021" s="31" t="str">
        <f>HYPERLINK("https://b2b.kobi.pl/pl/product/10280,plafon-ruto-1xe27-bialy-kobi?currency=PLN")</f>
        <v>https://b2b.kobi.pl/pl/product/10280,plafon-ruto-1xe27-bialy-kobi?currency=PLN</v>
      </c>
      <c r="Q1021" t="s">
        <v>15</v>
      </c>
      <c r="R1021"/>
      <c r="S1021" t="s">
        <v>2715</v>
      </c>
      <c r="T1021"/>
      <c r="U1021">
        <v>1.26</v>
      </c>
      <c r="V1021">
        <v>1.3</v>
      </c>
      <c r="W1021">
        <v>10</v>
      </c>
      <c r="X1021">
        <v>24</v>
      </c>
      <c r="Y1021">
        <v>24</v>
      </c>
    </row>
    <row r="1022" spans="1:25" ht="60" customHeight="1" x14ac:dyDescent="0.25">
      <c r="A1022"/>
      <c r="B1022" t="s">
        <v>4</v>
      </c>
      <c r="C1022" t="s">
        <v>3376</v>
      </c>
      <c r="D1022" t="s">
        <v>643</v>
      </c>
      <c r="E1022" t="s">
        <v>1267</v>
      </c>
      <c r="F1022" t="s">
        <v>1268</v>
      </c>
      <c r="G1022" t="s">
        <v>1249</v>
      </c>
      <c r="H1022" s="30">
        <v>42</v>
      </c>
      <c r="I1022" s="38">
        <f>H1022*(1-IFERROR(VLOOKUP(G1022,Rabat!$D$10:$E$41,2,FALSE),0))</f>
        <v>42</v>
      </c>
      <c r="J1022" t="s">
        <v>1902</v>
      </c>
      <c r="K1022" t="s">
        <v>165</v>
      </c>
      <c r="L1022" t="s">
        <v>1901</v>
      </c>
      <c r="M1022">
        <v>5</v>
      </c>
      <c r="N1022">
        <v>200</v>
      </c>
      <c r="O1022" t="s">
        <v>3434</v>
      </c>
      <c r="P1022" s="31" t="str">
        <f>HYPERLINK("https://b2b.kobi.pl/pl/product/10290,plafon-wega-pc-1xe27-biala-kobi?currency=PLN")</f>
        <v>https://b2b.kobi.pl/pl/product/10290,plafon-wega-pc-1xe27-biala-kobi?currency=PLN</v>
      </c>
      <c r="Q1022" t="s">
        <v>15</v>
      </c>
      <c r="R1022"/>
      <c r="S1022" t="s">
        <v>2708</v>
      </c>
      <c r="T1022"/>
      <c r="U1022">
        <v>0.32</v>
      </c>
      <c r="V1022">
        <v>0.32800000000000001</v>
      </c>
      <c r="W1022">
        <v>25</v>
      </c>
      <c r="X1022">
        <v>25</v>
      </c>
      <c r="Y1022">
        <v>10</v>
      </c>
    </row>
    <row r="1023" spans="1:25" ht="60" customHeight="1" x14ac:dyDescent="0.25">
      <c r="A1023"/>
      <c r="B1023" t="s">
        <v>646</v>
      </c>
      <c r="C1023" t="s">
        <v>6</v>
      </c>
      <c r="D1023" t="s">
        <v>643</v>
      </c>
      <c r="E1023" t="s">
        <v>2765</v>
      </c>
      <c r="F1023" t="s">
        <v>1517</v>
      </c>
      <c r="G1023" t="s">
        <v>645</v>
      </c>
      <c r="H1023" s="30">
        <v>52</v>
      </c>
      <c r="I1023" s="38">
        <f>H1023*(1-IFERROR(VLOOKUP(G1023,Rabat!$D$10:$E$41,2,FALSE),0))</f>
        <v>52</v>
      </c>
      <c r="J1023" t="s">
        <v>1902</v>
      </c>
      <c r="K1023" t="s">
        <v>452</v>
      </c>
      <c r="L1023" t="s">
        <v>1901</v>
      </c>
      <c r="M1023">
        <v>1</v>
      </c>
      <c r="N1023"/>
      <c r="O1023" t="s">
        <v>3434</v>
      </c>
      <c r="P1023" s="31" t="str">
        <f>HYPERLINK("https://b2b.kobi.pl/pl/product/10742,zasilacz-desktop-12v-24w-2-0a?currency=PLN")</f>
        <v>https://b2b.kobi.pl/pl/product/10742,zasilacz-desktop-12v-24w-2-0a?currency=PLN</v>
      </c>
      <c r="Q1023" t="s">
        <v>15</v>
      </c>
      <c r="R1023"/>
      <c r="S1023" t="s">
        <v>2676</v>
      </c>
      <c r="T1023"/>
      <c r="U1023">
        <v>0.18</v>
      </c>
      <c r="V1023">
        <v>0.25</v>
      </c>
      <c r="W1023">
        <v>0</v>
      </c>
      <c r="X1023">
        <v>0</v>
      </c>
      <c r="Y1023">
        <v>0</v>
      </c>
    </row>
    <row r="1024" spans="1:25" ht="60" customHeight="1" x14ac:dyDescent="0.25">
      <c r="A1024"/>
      <c r="B1024" t="s">
        <v>4</v>
      </c>
      <c r="C1024" t="s">
        <v>3386</v>
      </c>
      <c r="D1024" t="s">
        <v>643</v>
      </c>
      <c r="E1024" t="s">
        <v>2893</v>
      </c>
      <c r="F1024" t="s">
        <v>2894</v>
      </c>
      <c r="G1024" t="s">
        <v>1209</v>
      </c>
      <c r="H1024" s="30">
        <v>54.42</v>
      </c>
      <c r="I1024" s="38">
        <f>H1024*(1-IFERROR(VLOOKUP(G1024,Rabat!$D$10:$E$41,2,FALSE),0))</f>
        <v>54.42</v>
      </c>
      <c r="J1024" t="s">
        <v>1902</v>
      </c>
      <c r="K1024" t="s">
        <v>2898</v>
      </c>
      <c r="L1024" t="s">
        <v>1901</v>
      </c>
      <c r="M1024">
        <v>10</v>
      </c>
      <c r="N1024">
        <v>150</v>
      </c>
      <c r="O1024" t="s">
        <v>3434</v>
      </c>
      <c r="P1024" s="31" t="str">
        <f>HYPERLINK("https://b2b.kobi.pl/pl/product/12930,oprawa-liniowa-delfia-g2-2x120-kobi?currency=PLN")</f>
        <v>https://b2b.kobi.pl/pl/product/12930,oprawa-liniowa-delfia-g2-2x120-kobi?currency=PLN</v>
      </c>
      <c r="Q1024" t="s">
        <v>15</v>
      </c>
      <c r="R1024"/>
      <c r="S1024" t="s">
        <v>2711</v>
      </c>
      <c r="T1024"/>
      <c r="U1024">
        <v>0.78</v>
      </c>
      <c r="V1024">
        <v>0.95399999999999996</v>
      </c>
      <c r="W1024">
        <v>125</v>
      </c>
      <c r="X1024">
        <v>12</v>
      </c>
      <c r="Y1024">
        <v>5.5</v>
      </c>
    </row>
    <row r="1025" spans="1:25" ht="60" customHeight="1" x14ac:dyDescent="0.25">
      <c r="A1025"/>
      <c r="B1025" t="s">
        <v>646</v>
      </c>
      <c r="C1025" t="s">
        <v>6</v>
      </c>
      <c r="D1025" t="s">
        <v>643</v>
      </c>
      <c r="E1025" t="s">
        <v>2766</v>
      </c>
      <c r="F1025" t="s">
        <v>1518</v>
      </c>
      <c r="G1025" t="s">
        <v>645</v>
      </c>
      <c r="H1025" s="30">
        <v>59.5</v>
      </c>
      <c r="I1025" s="38">
        <f>H1025*(1-IFERROR(VLOOKUP(G1025,Rabat!$D$10:$E$41,2,FALSE),0))</f>
        <v>59.5</v>
      </c>
      <c r="J1025" t="s">
        <v>1902</v>
      </c>
      <c r="K1025" t="s">
        <v>453</v>
      </c>
      <c r="L1025" t="s">
        <v>1901</v>
      </c>
      <c r="M1025">
        <v>1</v>
      </c>
      <c r="N1025"/>
      <c r="O1025" t="s">
        <v>3434</v>
      </c>
      <c r="P1025" s="31" t="str">
        <f>HYPERLINK("https://b2b.kobi.pl/pl/product/10747,zasilacz-desktop-12v-36w-3-0a?currency=PLN")</f>
        <v>https://b2b.kobi.pl/pl/product/10747,zasilacz-desktop-12v-36w-3-0a?currency=PLN</v>
      </c>
      <c r="Q1025" t="s">
        <v>15</v>
      </c>
      <c r="R1025"/>
      <c r="S1025" t="s">
        <v>2676</v>
      </c>
      <c r="T1025"/>
      <c r="U1025">
        <v>0.25</v>
      </c>
      <c r="V1025">
        <v>0.27600000000000002</v>
      </c>
      <c r="W1025">
        <v>16</v>
      </c>
      <c r="X1025">
        <v>10</v>
      </c>
      <c r="Y1025">
        <v>4</v>
      </c>
    </row>
    <row r="1026" spans="1:25" ht="60" customHeight="1" x14ac:dyDescent="0.25">
      <c r="A1026"/>
      <c r="B1026" t="s">
        <v>646</v>
      </c>
      <c r="C1026" t="s">
        <v>6</v>
      </c>
      <c r="D1026" t="s">
        <v>643</v>
      </c>
      <c r="E1026" t="s">
        <v>2767</v>
      </c>
      <c r="F1026" t="s">
        <v>1519</v>
      </c>
      <c r="G1026" t="s">
        <v>645</v>
      </c>
      <c r="H1026" s="30">
        <v>62.5</v>
      </c>
      <c r="I1026" s="38">
        <f>H1026*(1-IFERROR(VLOOKUP(G1026,Rabat!$D$10:$E$41,2,FALSE),0))</f>
        <v>62.5</v>
      </c>
      <c r="J1026" t="s">
        <v>1902</v>
      </c>
      <c r="K1026" t="s">
        <v>454</v>
      </c>
      <c r="L1026" t="s">
        <v>1901</v>
      </c>
      <c r="M1026">
        <v>1</v>
      </c>
      <c r="N1026"/>
      <c r="O1026" t="s">
        <v>3434</v>
      </c>
      <c r="P1026" s="31" t="str">
        <f>HYPERLINK("https://b2b.kobi.pl/pl/product/10748,zasilacz-desktop-12v-42w-3-5a?currency=PLN")</f>
        <v>https://b2b.kobi.pl/pl/product/10748,zasilacz-desktop-12v-42w-3-5a?currency=PLN</v>
      </c>
      <c r="Q1026" t="s">
        <v>15</v>
      </c>
      <c r="R1026"/>
      <c r="S1026" t="s">
        <v>2676</v>
      </c>
      <c r="T1026"/>
      <c r="U1026">
        <v>0.25</v>
      </c>
      <c r="V1026">
        <v>0.3</v>
      </c>
      <c r="W1026">
        <v>0</v>
      </c>
      <c r="X1026">
        <v>0</v>
      </c>
      <c r="Y1026">
        <v>0</v>
      </c>
    </row>
    <row r="1027" spans="1:25" ht="60" customHeight="1" x14ac:dyDescent="0.25">
      <c r="A1027"/>
      <c r="B1027" t="s">
        <v>646</v>
      </c>
      <c r="C1027" t="s">
        <v>6</v>
      </c>
      <c r="D1027" t="s">
        <v>643</v>
      </c>
      <c r="E1027" t="s">
        <v>2657</v>
      </c>
      <c r="F1027" t="s">
        <v>2465</v>
      </c>
      <c r="G1027" t="s">
        <v>645</v>
      </c>
      <c r="H1027" s="30">
        <v>77.5</v>
      </c>
      <c r="I1027" s="38">
        <f>H1027*(1-IFERROR(VLOOKUP(G1027,Rabat!$D$10:$E$41,2,FALSE),0))</f>
        <v>77.5</v>
      </c>
      <c r="J1027" t="s">
        <v>1902</v>
      </c>
      <c r="K1027" t="s">
        <v>2540</v>
      </c>
      <c r="L1027" t="s">
        <v>1901</v>
      </c>
      <c r="M1027">
        <v>1</v>
      </c>
      <c r="N1027"/>
      <c r="O1027" t="s">
        <v>3434</v>
      </c>
      <c r="P1027" s="31" t="str">
        <f>HYPERLINK("https://b2b.kobi.pl/pl/product/10750,zasilacz-desktop-12v-60w-5-0a?currency=PLN")</f>
        <v>https://b2b.kobi.pl/pl/product/10750,zasilacz-desktop-12v-60w-5-0a?currency=PLN</v>
      </c>
      <c r="Q1027" t="s">
        <v>15</v>
      </c>
      <c r="R1027"/>
      <c r="S1027" t="s">
        <v>2676</v>
      </c>
      <c r="T1027"/>
      <c r="U1027">
        <v>0.3</v>
      </c>
      <c r="V1027">
        <v>0.32900000000000001</v>
      </c>
      <c r="W1027">
        <v>16</v>
      </c>
      <c r="X1027">
        <v>10</v>
      </c>
      <c r="Y1027">
        <v>4</v>
      </c>
    </row>
    <row r="1028" spans="1:25" ht="60" customHeight="1" x14ac:dyDescent="0.25">
      <c r="A1028"/>
      <c r="B1028" t="s">
        <v>646</v>
      </c>
      <c r="C1028" t="s">
        <v>6</v>
      </c>
      <c r="D1028" t="s">
        <v>643</v>
      </c>
      <c r="E1028" t="s">
        <v>2768</v>
      </c>
      <c r="F1028" t="s">
        <v>2466</v>
      </c>
      <c r="G1028" t="s">
        <v>645</v>
      </c>
      <c r="H1028" s="30">
        <v>97</v>
      </c>
      <c r="I1028" s="38">
        <f>H1028*(1-IFERROR(VLOOKUP(G1028,Rabat!$D$10:$E$41,2,FALSE),0))</f>
        <v>97</v>
      </c>
      <c r="J1028" t="s">
        <v>1902</v>
      </c>
      <c r="K1028" t="s">
        <v>2541</v>
      </c>
      <c r="L1028" t="s">
        <v>1901</v>
      </c>
      <c r="M1028">
        <v>1</v>
      </c>
      <c r="N1028"/>
      <c r="O1028" t="s">
        <v>3434</v>
      </c>
      <c r="P1028" s="31" t="str">
        <f>HYPERLINK("https://b2b.kobi.pl/pl/product/10735,zasilacz-desktop-12v-72w-6-0a?currency=PLN")</f>
        <v>https://b2b.kobi.pl/pl/product/10735,zasilacz-desktop-12v-72w-6-0a?currency=PLN</v>
      </c>
      <c r="Q1028" t="s">
        <v>15</v>
      </c>
      <c r="R1028"/>
      <c r="S1028" t="s">
        <v>2676</v>
      </c>
      <c r="T1028"/>
      <c r="U1028">
        <v>0.44</v>
      </c>
      <c r="V1028">
        <v>0.55000000000000004</v>
      </c>
      <c r="W1028">
        <v>4</v>
      </c>
      <c r="X1028">
        <v>12</v>
      </c>
      <c r="Y1028">
        <v>20</v>
      </c>
    </row>
    <row r="1029" spans="1:25" ht="60" customHeight="1" x14ac:dyDescent="0.25">
      <c r="A1029"/>
      <c r="B1029" t="s">
        <v>646</v>
      </c>
      <c r="C1029" t="s">
        <v>6</v>
      </c>
      <c r="D1029" t="s">
        <v>643</v>
      </c>
      <c r="E1029" t="s">
        <v>2769</v>
      </c>
      <c r="F1029" t="s">
        <v>2467</v>
      </c>
      <c r="G1029" t="s">
        <v>645</v>
      </c>
      <c r="H1029" s="30">
        <v>179</v>
      </c>
      <c r="I1029" s="38">
        <f>H1029*(1-IFERROR(VLOOKUP(G1029,Rabat!$D$10:$E$41,2,FALSE),0))</f>
        <v>179</v>
      </c>
      <c r="J1029" t="s">
        <v>1902</v>
      </c>
      <c r="K1029" t="s">
        <v>2542</v>
      </c>
      <c r="L1029" t="s">
        <v>1901</v>
      </c>
      <c r="M1029">
        <v>1</v>
      </c>
      <c r="N1029"/>
      <c r="O1029" t="s">
        <v>3434</v>
      </c>
      <c r="P1029" s="31" t="str">
        <f>HYPERLINK("https://b2b.kobi.pl/pl/product/10736,zasilacz-desktop-12v-90w-7-5a?currency=PLN")</f>
        <v>https://b2b.kobi.pl/pl/product/10736,zasilacz-desktop-12v-90w-7-5a?currency=PLN</v>
      </c>
      <c r="Q1029" t="s">
        <v>15</v>
      </c>
      <c r="R1029"/>
      <c r="S1029" t="s">
        <v>2676</v>
      </c>
      <c r="T1029"/>
      <c r="U1029">
        <v>0.44</v>
      </c>
      <c r="V1029">
        <v>0.55000000000000004</v>
      </c>
      <c r="W1029">
        <v>12</v>
      </c>
      <c r="X1029">
        <v>20</v>
      </c>
      <c r="Y1029">
        <v>4</v>
      </c>
    </row>
    <row r="1030" spans="1:25" ht="60" customHeight="1" x14ac:dyDescent="0.25">
      <c r="A1030"/>
      <c r="B1030" t="s">
        <v>646</v>
      </c>
      <c r="C1030" t="s">
        <v>6</v>
      </c>
      <c r="D1030" t="s">
        <v>643</v>
      </c>
      <c r="E1030" t="s">
        <v>2659</v>
      </c>
      <c r="F1030" t="s">
        <v>2469</v>
      </c>
      <c r="G1030" t="s">
        <v>645</v>
      </c>
      <c r="H1030" s="30">
        <v>212</v>
      </c>
      <c r="I1030" s="38">
        <f>H1030*(1-IFERROR(VLOOKUP(G1030,Rabat!$D$10:$E$41,2,FALSE),0))</f>
        <v>212</v>
      </c>
      <c r="J1030" t="s">
        <v>1902</v>
      </c>
      <c r="K1030" t="s">
        <v>2544</v>
      </c>
      <c r="L1030" t="s">
        <v>1901</v>
      </c>
      <c r="M1030">
        <v>1</v>
      </c>
      <c r="N1030"/>
      <c r="O1030" t="s">
        <v>3434</v>
      </c>
      <c r="P1030" s="31" t="str">
        <f>HYPERLINK("https://b2b.kobi.pl/pl/product/10727,zasilacz-desktop-12v-120w-10-0a?currency=PLN")</f>
        <v>https://b2b.kobi.pl/pl/product/10727,zasilacz-desktop-12v-120w-10-0a?currency=PLN</v>
      </c>
      <c r="Q1030" t="s">
        <v>15</v>
      </c>
      <c r="R1030"/>
      <c r="S1030" t="s">
        <v>2676</v>
      </c>
      <c r="T1030"/>
      <c r="U1030">
        <v>0.52</v>
      </c>
      <c r="V1030">
        <v>0.55000000000000004</v>
      </c>
      <c r="W1030">
        <v>11.5</v>
      </c>
      <c r="X1030">
        <v>20.5</v>
      </c>
      <c r="Y1030">
        <v>5.5</v>
      </c>
    </row>
    <row r="1031" spans="1:25" ht="60" customHeight="1" x14ac:dyDescent="0.25">
      <c r="A1031"/>
      <c r="B1031" t="s">
        <v>646</v>
      </c>
      <c r="C1031" t="s">
        <v>6</v>
      </c>
      <c r="D1031" t="s">
        <v>643</v>
      </c>
      <c r="E1031" t="s">
        <v>2658</v>
      </c>
      <c r="F1031" t="s">
        <v>2468</v>
      </c>
      <c r="G1031" t="s">
        <v>645</v>
      </c>
      <c r="H1031" s="30">
        <v>57</v>
      </c>
      <c r="I1031" s="38">
        <f>H1031*(1-IFERROR(VLOOKUP(G1031,Rabat!$D$10:$E$41,2,FALSE),0))</f>
        <v>57</v>
      </c>
      <c r="J1031" t="s">
        <v>1902</v>
      </c>
      <c r="K1031" t="s">
        <v>2543</v>
      </c>
      <c r="L1031" t="s">
        <v>1901</v>
      </c>
      <c r="M1031">
        <v>1</v>
      </c>
      <c r="N1031"/>
      <c r="O1031" t="s">
        <v>3434</v>
      </c>
      <c r="P1031" s="31" t="str">
        <f>HYPERLINK("https://b2b.kobi.pl/pl/product/10746,zasilacz-desktop-12v-30w-2-5a?currency=PLN")</f>
        <v>https://b2b.kobi.pl/pl/product/10746,zasilacz-desktop-12v-30w-2-5a?currency=PLN</v>
      </c>
      <c r="Q1031" t="s">
        <v>15</v>
      </c>
      <c r="R1031"/>
      <c r="S1031" t="s">
        <v>2676</v>
      </c>
      <c r="T1031"/>
      <c r="U1031">
        <v>0.18</v>
      </c>
      <c r="V1031">
        <v>0.19600000000000001</v>
      </c>
      <c r="W1031">
        <v>11</v>
      </c>
      <c r="X1031">
        <v>6</v>
      </c>
      <c r="Y1031">
        <v>6</v>
      </c>
    </row>
    <row r="1032" spans="1:25" ht="60" customHeight="1" x14ac:dyDescent="0.25">
      <c r="A1032"/>
      <c r="B1032" t="s">
        <v>646</v>
      </c>
      <c r="C1032" t="s">
        <v>6</v>
      </c>
      <c r="D1032" t="s">
        <v>643</v>
      </c>
      <c r="E1032" t="s">
        <v>2595</v>
      </c>
      <c r="F1032" t="s">
        <v>2470</v>
      </c>
      <c r="G1032" t="s">
        <v>645</v>
      </c>
      <c r="H1032" s="30">
        <v>58.5</v>
      </c>
      <c r="I1032" s="38">
        <f>H1032*(1-IFERROR(VLOOKUP(G1032,Rabat!$D$10:$E$41,2,FALSE),0))</f>
        <v>58.5</v>
      </c>
      <c r="J1032" t="s">
        <v>1902</v>
      </c>
      <c r="K1032" t="s">
        <v>2545</v>
      </c>
      <c r="L1032" t="s">
        <v>1901</v>
      </c>
      <c r="M1032">
        <v>1</v>
      </c>
      <c r="N1032"/>
      <c r="O1032" t="s">
        <v>3434</v>
      </c>
      <c r="P1032" s="31" t="str">
        <f>HYPERLINK("https://b2b.kobi.pl/pl/product/10751,zasilacz-hermetyczny-ip67-12v-10w-0-83a?currency=PLN")</f>
        <v>https://b2b.kobi.pl/pl/product/10751,zasilacz-hermetyczny-ip67-12v-10w-0-83a?currency=PLN</v>
      </c>
      <c r="Q1032" t="s">
        <v>15</v>
      </c>
      <c r="R1032"/>
      <c r="S1032" t="s">
        <v>2676</v>
      </c>
      <c r="T1032"/>
      <c r="U1032">
        <v>0.11</v>
      </c>
      <c r="V1032">
        <v>0.12</v>
      </c>
      <c r="W1032">
        <v>7.7</v>
      </c>
      <c r="X1032">
        <v>7.7</v>
      </c>
      <c r="Y1032">
        <v>2.7</v>
      </c>
    </row>
    <row r="1033" spans="1:25" ht="60" customHeight="1" x14ac:dyDescent="0.25">
      <c r="A1033"/>
      <c r="B1033" t="s">
        <v>646</v>
      </c>
      <c r="C1033" t="s">
        <v>6</v>
      </c>
      <c r="D1033" t="s">
        <v>643</v>
      </c>
      <c r="E1033" t="s">
        <v>2760</v>
      </c>
      <c r="F1033" t="s">
        <v>2471</v>
      </c>
      <c r="G1033" t="s">
        <v>645</v>
      </c>
      <c r="H1033" s="30">
        <v>63</v>
      </c>
      <c r="I1033" s="38">
        <f>H1033*(1-IFERROR(VLOOKUP(G1033,Rabat!$D$10:$E$41,2,FALSE),0))</f>
        <v>63</v>
      </c>
      <c r="J1033" t="s">
        <v>1902</v>
      </c>
      <c r="K1033" t="s">
        <v>2546</v>
      </c>
      <c r="L1033" t="s">
        <v>1901</v>
      </c>
      <c r="M1033">
        <v>1</v>
      </c>
      <c r="N1033"/>
      <c r="O1033" t="s">
        <v>3434</v>
      </c>
      <c r="P1033" s="31" t="str">
        <f>HYPERLINK("https://b2b.kobi.pl/pl/product/10721,zasilacz-instalacyjn-12v-20w-1-67a-ip67?currency=PLN")</f>
        <v>https://b2b.kobi.pl/pl/product/10721,zasilacz-instalacyjn-12v-20w-1-67a-ip67?currency=PLN</v>
      </c>
      <c r="Q1033" t="s">
        <v>15</v>
      </c>
      <c r="R1033"/>
      <c r="S1033" t="s">
        <v>2676</v>
      </c>
      <c r="T1033"/>
      <c r="U1033">
        <v>0.12</v>
      </c>
      <c r="V1033">
        <v>0.20499999999999999</v>
      </c>
      <c r="W1033">
        <v>3.5</v>
      </c>
      <c r="X1033">
        <v>24</v>
      </c>
      <c r="Y1033">
        <v>3.5</v>
      </c>
    </row>
    <row r="1034" spans="1:25" ht="60" customHeight="1" x14ac:dyDescent="0.25">
      <c r="A1034"/>
      <c r="B1034" t="s">
        <v>646</v>
      </c>
      <c r="C1034" t="s">
        <v>6</v>
      </c>
      <c r="D1034" t="s">
        <v>643</v>
      </c>
      <c r="E1034" t="s">
        <v>2759</v>
      </c>
      <c r="F1034" t="s">
        <v>2472</v>
      </c>
      <c r="G1034" t="s">
        <v>645</v>
      </c>
      <c r="H1034" s="30">
        <v>77</v>
      </c>
      <c r="I1034" s="38">
        <f>H1034*(1-IFERROR(VLOOKUP(G1034,Rabat!$D$10:$E$41,2,FALSE),0))</f>
        <v>77</v>
      </c>
      <c r="J1034" t="s">
        <v>1902</v>
      </c>
      <c r="K1034" t="s">
        <v>2547</v>
      </c>
      <c r="L1034" t="s">
        <v>1901</v>
      </c>
      <c r="M1034">
        <v>1</v>
      </c>
      <c r="N1034"/>
      <c r="O1034" t="s">
        <v>3434</v>
      </c>
      <c r="P1034" s="31" t="str">
        <f>HYPERLINK("https://b2b.kobi.pl/pl/product/10719,zasilacz-instalacyjn-12v-30w-2-5a-ip67?currency=PLN")</f>
        <v>https://b2b.kobi.pl/pl/product/10719,zasilacz-instalacyjn-12v-30w-2-5a-ip67?currency=PLN</v>
      </c>
      <c r="Q1034" t="s">
        <v>15</v>
      </c>
      <c r="R1034"/>
      <c r="S1034" t="s">
        <v>2676</v>
      </c>
      <c r="T1034"/>
      <c r="U1034">
        <v>0.14000000000000001</v>
      </c>
      <c r="V1034">
        <v>0.14699999999999999</v>
      </c>
      <c r="W1034">
        <v>4</v>
      </c>
      <c r="X1034">
        <v>3.5</v>
      </c>
      <c r="Y1034">
        <v>24</v>
      </c>
    </row>
    <row r="1035" spans="1:25" ht="60" customHeight="1" x14ac:dyDescent="0.25">
      <c r="A1035"/>
      <c r="B1035" t="s">
        <v>646</v>
      </c>
      <c r="C1035" t="s">
        <v>6</v>
      </c>
      <c r="D1035" t="s">
        <v>643</v>
      </c>
      <c r="E1035" t="s">
        <v>2758</v>
      </c>
      <c r="F1035" t="s">
        <v>2473</v>
      </c>
      <c r="G1035" t="s">
        <v>645</v>
      </c>
      <c r="H1035" s="30">
        <v>110.5</v>
      </c>
      <c r="I1035" s="38">
        <f>H1035*(1-IFERROR(VLOOKUP(G1035,Rabat!$D$10:$E$41,2,FALSE),0))</f>
        <v>110.5</v>
      </c>
      <c r="J1035" t="s">
        <v>1902</v>
      </c>
      <c r="K1035" t="s">
        <v>2548</v>
      </c>
      <c r="L1035" t="s">
        <v>1901</v>
      </c>
      <c r="M1035">
        <v>1</v>
      </c>
      <c r="N1035"/>
      <c r="O1035" t="s">
        <v>3434</v>
      </c>
      <c r="P1035" s="31" t="str">
        <f>HYPERLINK("https://b2b.kobi.pl/pl/product/10714,zasilacz-instalacyjn-12v-50w-4-16a-ip67?currency=PLN")</f>
        <v>https://b2b.kobi.pl/pl/product/10714,zasilacz-instalacyjn-12v-50w-4-16a-ip67?currency=PLN</v>
      </c>
      <c r="Q1035" t="s">
        <v>15</v>
      </c>
      <c r="R1035"/>
      <c r="S1035" t="s">
        <v>2676</v>
      </c>
      <c r="T1035"/>
      <c r="U1035">
        <v>0.26</v>
      </c>
      <c r="V1035">
        <v>0.27700000000000002</v>
      </c>
      <c r="W1035">
        <v>4</v>
      </c>
      <c r="X1035">
        <v>24</v>
      </c>
      <c r="Y1035">
        <v>3</v>
      </c>
    </row>
    <row r="1036" spans="1:25" ht="60" customHeight="1" x14ac:dyDescent="0.25">
      <c r="A1036"/>
      <c r="B1036" t="s">
        <v>646</v>
      </c>
      <c r="C1036" t="s">
        <v>6</v>
      </c>
      <c r="D1036" t="s">
        <v>643</v>
      </c>
      <c r="E1036" t="s">
        <v>2660</v>
      </c>
      <c r="F1036" t="s">
        <v>2474</v>
      </c>
      <c r="G1036" t="s">
        <v>645</v>
      </c>
      <c r="H1036" s="30">
        <v>184.5</v>
      </c>
      <c r="I1036" s="38">
        <f>H1036*(1-IFERROR(VLOOKUP(G1036,Rabat!$D$10:$E$41,2,FALSE),0))</f>
        <v>184.5</v>
      </c>
      <c r="J1036" t="s">
        <v>1902</v>
      </c>
      <c r="K1036" t="s">
        <v>2549</v>
      </c>
      <c r="L1036" t="s">
        <v>1901</v>
      </c>
      <c r="M1036">
        <v>1</v>
      </c>
      <c r="N1036"/>
      <c r="O1036" t="s">
        <v>3434</v>
      </c>
      <c r="P1036" s="31" t="str">
        <f>HYPERLINK("https://b2b.kobi.pl/pl/product/10715,zasilacz-instalacyjn-12v-80w-6-67a-ip67?currency=PLN")</f>
        <v>https://b2b.kobi.pl/pl/product/10715,zasilacz-instalacyjn-12v-80w-6-67a-ip67?currency=PLN</v>
      </c>
      <c r="Q1036" t="s">
        <v>15</v>
      </c>
      <c r="R1036"/>
      <c r="S1036" t="s">
        <v>2676</v>
      </c>
      <c r="T1036"/>
      <c r="U1036">
        <v>0.81</v>
      </c>
      <c r="V1036">
        <v>0.85</v>
      </c>
      <c r="W1036">
        <v>4.5</v>
      </c>
      <c r="X1036">
        <v>20</v>
      </c>
      <c r="Y1036">
        <v>7.5</v>
      </c>
    </row>
    <row r="1037" spans="1:25" ht="60" customHeight="1" x14ac:dyDescent="0.25">
      <c r="A1037"/>
      <c r="B1037" t="s">
        <v>646</v>
      </c>
      <c r="C1037" t="s">
        <v>6</v>
      </c>
      <c r="D1037" t="s">
        <v>643</v>
      </c>
      <c r="E1037" t="s">
        <v>2668</v>
      </c>
      <c r="F1037" t="s">
        <v>2490</v>
      </c>
      <c r="G1037" t="s">
        <v>645</v>
      </c>
      <c r="H1037" s="30">
        <v>211</v>
      </c>
      <c r="I1037" s="38">
        <f>H1037*(1-IFERROR(VLOOKUP(G1037,Rabat!$D$10:$E$41,2,FALSE),0))</f>
        <v>211</v>
      </c>
      <c r="J1037" t="s">
        <v>1902</v>
      </c>
      <c r="K1037" t="s">
        <v>2563</v>
      </c>
      <c r="L1037" t="s">
        <v>1901</v>
      </c>
      <c r="M1037">
        <v>1</v>
      </c>
      <c r="N1037"/>
      <c r="O1037" t="s">
        <v>3434</v>
      </c>
      <c r="P1037" s="31" t="str">
        <f>HYPERLINK("https://b2b.kobi.pl/pl/product/10737,modul-zasilacza-wodoodporny-12v-100w-8-3a-ip67?currency=PLN")</f>
        <v>https://b2b.kobi.pl/pl/product/10737,modul-zasilacza-wodoodporny-12v-100w-8-3a-ip67?currency=PLN</v>
      </c>
      <c r="Q1037" t="s">
        <v>15</v>
      </c>
      <c r="R1037"/>
      <c r="S1037" t="s">
        <v>2676</v>
      </c>
      <c r="T1037"/>
      <c r="U1037">
        <v>0.36199999999999999</v>
      </c>
      <c r="V1037">
        <v>0.89</v>
      </c>
      <c r="W1037">
        <v>20.5</v>
      </c>
      <c r="X1037">
        <v>7.9</v>
      </c>
      <c r="Y1037">
        <v>2.6</v>
      </c>
    </row>
    <row r="1038" spans="1:25" ht="60" customHeight="1" x14ac:dyDescent="0.25">
      <c r="A1038"/>
      <c r="B1038" t="s">
        <v>646</v>
      </c>
      <c r="C1038" t="s">
        <v>6</v>
      </c>
      <c r="D1038" t="s">
        <v>643</v>
      </c>
      <c r="E1038" t="s">
        <v>2475</v>
      </c>
      <c r="F1038" t="s">
        <v>2476</v>
      </c>
      <c r="G1038" t="s">
        <v>645</v>
      </c>
      <c r="H1038" s="30">
        <v>270</v>
      </c>
      <c r="I1038" s="38">
        <f>H1038*(1-IFERROR(VLOOKUP(G1038,Rabat!$D$10:$E$41,2,FALSE),0))</f>
        <v>270</v>
      </c>
      <c r="J1038" t="s">
        <v>1902</v>
      </c>
      <c r="K1038" t="s">
        <v>2550</v>
      </c>
      <c r="L1038" t="s">
        <v>1901</v>
      </c>
      <c r="M1038"/>
      <c r="N1038"/>
      <c r="O1038" t="s">
        <v>3434</v>
      </c>
      <c r="P1038" s="31" t="str">
        <f>HYPERLINK("https://b2b.kobi.pl/pl/product/10716,zasilacz-instalacyjn-12v-120w-10-0a-ip67?currency=PLN")</f>
        <v>https://b2b.kobi.pl/pl/product/10716,zasilacz-instalacyjn-12v-120w-10-0a-ip67?currency=PLN</v>
      </c>
      <c r="Q1038" t="s">
        <v>15</v>
      </c>
      <c r="R1038"/>
      <c r="S1038" t="s">
        <v>2676</v>
      </c>
      <c r="T1038"/>
      <c r="U1038">
        <v>0.83399999999999996</v>
      </c>
      <c r="V1038">
        <v>1.2170000000000001</v>
      </c>
      <c r="W1038">
        <v>6</v>
      </c>
      <c r="X1038">
        <v>25</v>
      </c>
      <c r="Y1038">
        <v>8</v>
      </c>
    </row>
    <row r="1039" spans="1:25" ht="60" customHeight="1" x14ac:dyDescent="0.25">
      <c r="A1039"/>
      <c r="B1039" t="s">
        <v>646</v>
      </c>
      <c r="C1039" t="s">
        <v>6</v>
      </c>
      <c r="D1039" t="s">
        <v>643</v>
      </c>
      <c r="E1039" t="s">
        <v>2661</v>
      </c>
      <c r="F1039" t="s">
        <v>2477</v>
      </c>
      <c r="G1039" t="s">
        <v>645</v>
      </c>
      <c r="H1039" s="30">
        <v>338</v>
      </c>
      <c r="I1039" s="38">
        <f>H1039*(1-IFERROR(VLOOKUP(G1039,Rabat!$D$10:$E$41,2,FALSE),0))</f>
        <v>338</v>
      </c>
      <c r="J1039" t="s">
        <v>1902</v>
      </c>
      <c r="K1039" t="s">
        <v>2551</v>
      </c>
      <c r="L1039" t="s">
        <v>1901</v>
      </c>
      <c r="M1039">
        <v>1</v>
      </c>
      <c r="N1039"/>
      <c r="O1039" t="s">
        <v>3434</v>
      </c>
      <c r="P1039" s="31" t="str">
        <f>HYPERLINK("https://b2b.kobi.pl/pl/product/10718,zasilacz-instalacyjn-12v-150w-12-5a-ip67?currency=PLN")</f>
        <v>https://b2b.kobi.pl/pl/product/10718,zasilacz-instalacyjn-12v-150w-12-5a-ip67?currency=PLN</v>
      </c>
      <c r="Q1039" t="s">
        <v>15</v>
      </c>
      <c r="R1039"/>
      <c r="S1039" t="s">
        <v>2676</v>
      </c>
      <c r="T1039"/>
      <c r="U1039">
        <v>0.63</v>
      </c>
      <c r="V1039">
        <v>0.751</v>
      </c>
      <c r="W1039">
        <v>4</v>
      </c>
      <c r="X1039">
        <v>3.5</v>
      </c>
      <c r="Y1039">
        <v>27</v>
      </c>
    </row>
    <row r="1040" spans="1:25" ht="60" customHeight="1" x14ac:dyDescent="0.25">
      <c r="A1040"/>
      <c r="B1040" t="s">
        <v>646</v>
      </c>
      <c r="C1040" t="s">
        <v>6</v>
      </c>
      <c r="D1040" t="s">
        <v>643</v>
      </c>
      <c r="E1040" t="s">
        <v>2662</v>
      </c>
      <c r="F1040" t="s">
        <v>2478</v>
      </c>
      <c r="G1040" t="s">
        <v>645</v>
      </c>
      <c r="H1040" s="30">
        <v>399</v>
      </c>
      <c r="I1040" s="38">
        <f>H1040*(1-IFERROR(VLOOKUP(G1040,Rabat!$D$10:$E$41,2,FALSE),0))</f>
        <v>399</v>
      </c>
      <c r="J1040" t="s">
        <v>1902</v>
      </c>
      <c r="K1040" t="s">
        <v>2552</v>
      </c>
      <c r="L1040" t="s">
        <v>1901</v>
      </c>
      <c r="M1040">
        <v>1</v>
      </c>
      <c r="N1040"/>
      <c r="O1040" t="s">
        <v>3434</v>
      </c>
      <c r="P1040" s="31" t="str">
        <f>HYPERLINK("https://b2b.kobi.pl/pl/product/9756,zasilacz-instalacyjn-12v-200w-16-7a-ip67?currency=PLN")</f>
        <v>https://b2b.kobi.pl/pl/product/9756,zasilacz-instalacyjn-12v-200w-16-7a-ip67?currency=PLN</v>
      </c>
      <c r="Q1040" t="s">
        <v>15</v>
      </c>
      <c r="R1040"/>
      <c r="S1040" t="s">
        <v>2676</v>
      </c>
      <c r="T1040"/>
      <c r="U1040">
        <v>0.69</v>
      </c>
      <c r="V1040">
        <v>0.73299999999999998</v>
      </c>
      <c r="W1040">
        <v>27</v>
      </c>
      <c r="X1040">
        <v>8</v>
      </c>
      <c r="Y1040">
        <v>3</v>
      </c>
    </row>
    <row r="1041" spans="1:25" ht="60" customHeight="1" x14ac:dyDescent="0.25">
      <c r="A1041"/>
      <c r="B1041" t="s">
        <v>646</v>
      </c>
      <c r="C1041" t="s">
        <v>6</v>
      </c>
      <c r="D1041" t="s">
        <v>643</v>
      </c>
      <c r="E1041" t="s">
        <v>2663</v>
      </c>
      <c r="F1041" t="s">
        <v>2479</v>
      </c>
      <c r="G1041" t="s">
        <v>645</v>
      </c>
      <c r="H1041" s="30">
        <v>137</v>
      </c>
      <c r="I1041" s="38">
        <f>H1041*(1-IFERROR(VLOOKUP(G1041,Rabat!$D$10:$E$41,2,FALSE),0))</f>
        <v>137</v>
      </c>
      <c r="J1041" t="s">
        <v>1902</v>
      </c>
      <c r="K1041" t="s">
        <v>2553</v>
      </c>
      <c r="L1041" t="s">
        <v>1901</v>
      </c>
      <c r="M1041">
        <v>1</v>
      </c>
      <c r="N1041"/>
      <c r="O1041" t="s">
        <v>3434</v>
      </c>
      <c r="P1041" s="31" t="str">
        <f>HYPERLINK("https://b2b.kobi.pl/pl/product/10752,zasilacz-instalacyjny-12v-60w-5-0a-ip67?currency=PLN")</f>
        <v>https://b2b.kobi.pl/pl/product/10752,zasilacz-instalacyjny-12v-60w-5-0a-ip67?currency=PLN</v>
      </c>
      <c r="Q1041" t="s">
        <v>15</v>
      </c>
      <c r="R1041"/>
      <c r="S1041" t="s">
        <v>2676</v>
      </c>
      <c r="T1041"/>
      <c r="U1041">
        <v>0.25</v>
      </c>
      <c r="V1041">
        <v>0.27</v>
      </c>
      <c r="W1041">
        <v>7</v>
      </c>
      <c r="X1041">
        <v>20</v>
      </c>
      <c r="Y1041">
        <v>5</v>
      </c>
    </row>
    <row r="1042" spans="1:25" ht="60" customHeight="1" x14ac:dyDescent="0.25">
      <c r="A1042"/>
      <c r="B1042" t="s">
        <v>646</v>
      </c>
      <c r="C1042" t="s">
        <v>6</v>
      </c>
      <c r="D1042" t="s">
        <v>643</v>
      </c>
      <c r="E1042" t="s">
        <v>2764</v>
      </c>
      <c r="F1042" t="s">
        <v>2480</v>
      </c>
      <c r="G1042" t="s">
        <v>645</v>
      </c>
      <c r="H1042" s="30">
        <v>44.5</v>
      </c>
      <c r="I1042" s="38">
        <f>H1042*(1-IFERROR(VLOOKUP(G1042,Rabat!$D$10:$E$41,2,FALSE),0))</f>
        <v>44.5</v>
      </c>
      <c r="J1042" t="s">
        <v>1902</v>
      </c>
      <c r="K1042" t="s">
        <v>2554</v>
      </c>
      <c r="L1042" t="s">
        <v>1901</v>
      </c>
      <c r="M1042">
        <v>1</v>
      </c>
      <c r="N1042"/>
      <c r="O1042" t="s">
        <v>3434</v>
      </c>
      <c r="P1042" s="31" t="str">
        <f>HYPERLINK("https://b2b.kobi.pl/pl/product/10734,zasilacz-montazowy-12v-6w-0-5a?currency=PLN")</f>
        <v>https://b2b.kobi.pl/pl/product/10734,zasilacz-montazowy-12v-6w-0-5a?currency=PLN</v>
      </c>
      <c r="Q1042" t="s">
        <v>15</v>
      </c>
      <c r="R1042"/>
      <c r="S1042" t="s">
        <v>2676</v>
      </c>
      <c r="T1042"/>
      <c r="U1042">
        <v>0.03</v>
      </c>
      <c r="V1042">
        <v>3.4000000000000002E-2</v>
      </c>
      <c r="W1042">
        <v>2.2999999999999998</v>
      </c>
      <c r="X1042">
        <v>4.5</v>
      </c>
      <c r="Y1042">
        <v>4.5</v>
      </c>
    </row>
    <row r="1043" spans="1:25" ht="60" customHeight="1" x14ac:dyDescent="0.25">
      <c r="A1043"/>
      <c r="B1043" t="s">
        <v>646</v>
      </c>
      <c r="C1043" t="s">
        <v>6</v>
      </c>
      <c r="D1043" t="s">
        <v>643</v>
      </c>
      <c r="E1043" t="s">
        <v>2761</v>
      </c>
      <c r="F1043" t="s">
        <v>2481</v>
      </c>
      <c r="G1043" t="s">
        <v>645</v>
      </c>
      <c r="H1043" s="30">
        <v>54</v>
      </c>
      <c r="I1043" s="38">
        <f>H1043*(1-IFERROR(VLOOKUP(G1043,Rabat!$D$10:$E$41,2,FALSE),0))</f>
        <v>54</v>
      </c>
      <c r="J1043" t="s">
        <v>1902</v>
      </c>
      <c r="K1043" t="s">
        <v>2555</v>
      </c>
      <c r="L1043" t="s">
        <v>1901</v>
      </c>
      <c r="M1043">
        <v>1</v>
      </c>
      <c r="N1043"/>
      <c r="O1043" t="s">
        <v>3434</v>
      </c>
      <c r="P1043" s="31" t="str">
        <f>HYPERLINK("https://b2b.kobi.pl/pl/product/10730,zasilacz-montazowy-12v-25w-2-1a?currency=PLN")</f>
        <v>https://b2b.kobi.pl/pl/product/10730,zasilacz-montazowy-12v-25w-2-1a?currency=PLN</v>
      </c>
      <c r="Q1043" t="s">
        <v>15</v>
      </c>
      <c r="R1043"/>
      <c r="S1043" t="s">
        <v>2676</v>
      </c>
      <c r="T1043"/>
      <c r="U1043">
        <v>0.1</v>
      </c>
      <c r="V1043">
        <v>0.12</v>
      </c>
      <c r="W1043">
        <v>9.4</v>
      </c>
      <c r="X1043">
        <v>6.4</v>
      </c>
      <c r="Y1043">
        <v>4</v>
      </c>
    </row>
    <row r="1044" spans="1:25" ht="60" customHeight="1" x14ac:dyDescent="0.25">
      <c r="A1044"/>
      <c r="B1044" t="s">
        <v>646</v>
      </c>
      <c r="C1044" t="s">
        <v>6</v>
      </c>
      <c r="D1044" t="s">
        <v>643</v>
      </c>
      <c r="E1044" t="s">
        <v>2762</v>
      </c>
      <c r="F1044" t="s">
        <v>2482</v>
      </c>
      <c r="G1044" t="s">
        <v>645</v>
      </c>
      <c r="H1044" s="30">
        <v>57</v>
      </c>
      <c r="I1044" s="38">
        <f>H1044*(1-IFERROR(VLOOKUP(G1044,Rabat!$D$10:$E$41,2,FALSE),0))</f>
        <v>57</v>
      </c>
      <c r="J1044" t="s">
        <v>1902</v>
      </c>
      <c r="K1044" t="s">
        <v>2556</v>
      </c>
      <c r="L1044" t="s">
        <v>1901</v>
      </c>
      <c r="M1044">
        <v>1</v>
      </c>
      <c r="N1044"/>
      <c r="O1044" t="s">
        <v>3434</v>
      </c>
      <c r="P1044" s="31" t="str">
        <f>HYPERLINK("https://b2b.kobi.pl/pl/product/10732,zasilacz-montazowy-12v-35w-2-9a?currency=PLN")</f>
        <v>https://b2b.kobi.pl/pl/product/10732,zasilacz-montazowy-12v-35w-2-9a?currency=PLN</v>
      </c>
      <c r="Q1044" t="s">
        <v>15</v>
      </c>
      <c r="R1044"/>
      <c r="S1044" t="s">
        <v>2676</v>
      </c>
      <c r="T1044"/>
      <c r="U1044">
        <v>0.104</v>
      </c>
      <c r="V1044">
        <v>0.11899999999999999</v>
      </c>
      <c r="W1044">
        <v>6.4</v>
      </c>
      <c r="X1044">
        <v>9.4</v>
      </c>
      <c r="Y1044">
        <v>4</v>
      </c>
    </row>
    <row r="1045" spans="1:25" ht="60" customHeight="1" x14ac:dyDescent="0.25">
      <c r="A1045"/>
      <c r="B1045" t="s">
        <v>646</v>
      </c>
      <c r="C1045" t="s">
        <v>6</v>
      </c>
      <c r="D1045" t="s">
        <v>643</v>
      </c>
      <c r="E1045" t="s">
        <v>2763</v>
      </c>
      <c r="F1045" t="s">
        <v>2483</v>
      </c>
      <c r="G1045" t="s">
        <v>645</v>
      </c>
      <c r="H1045" s="30">
        <v>68</v>
      </c>
      <c r="I1045" s="38">
        <f>H1045*(1-IFERROR(VLOOKUP(G1045,Rabat!$D$10:$E$41,2,FALSE),0))</f>
        <v>68</v>
      </c>
      <c r="J1045" t="s">
        <v>1902</v>
      </c>
      <c r="K1045" t="s">
        <v>2557</v>
      </c>
      <c r="L1045" t="s">
        <v>1901</v>
      </c>
      <c r="M1045">
        <v>1</v>
      </c>
      <c r="N1045"/>
      <c r="O1045" t="s">
        <v>3434</v>
      </c>
      <c r="P1045" s="31" t="str">
        <f>HYPERLINK("https://b2b.kobi.pl/pl/product/10733,zasilacz-montazowy-12v-60w-5-0a?currency=PLN")</f>
        <v>https://b2b.kobi.pl/pl/product/10733,zasilacz-montazowy-12v-60w-5-0a?currency=PLN</v>
      </c>
      <c r="Q1045" t="s">
        <v>15</v>
      </c>
      <c r="R1045"/>
      <c r="S1045" t="s">
        <v>2676</v>
      </c>
      <c r="T1045"/>
      <c r="U1045">
        <v>0.12</v>
      </c>
      <c r="V1045">
        <v>0.14299999999999999</v>
      </c>
      <c r="W1045">
        <v>9</v>
      </c>
      <c r="X1045">
        <v>4</v>
      </c>
      <c r="Y1045">
        <v>6</v>
      </c>
    </row>
    <row r="1046" spans="1:25" ht="60" customHeight="1" x14ac:dyDescent="0.25">
      <c r="A1046"/>
      <c r="B1046" t="s">
        <v>646</v>
      </c>
      <c r="C1046" t="s">
        <v>6</v>
      </c>
      <c r="D1046" t="s">
        <v>643</v>
      </c>
      <c r="E1046" t="s">
        <v>2664</v>
      </c>
      <c r="F1046" t="s">
        <v>2484</v>
      </c>
      <c r="G1046" t="s">
        <v>645</v>
      </c>
      <c r="H1046" s="30">
        <v>125</v>
      </c>
      <c r="I1046" s="38">
        <f>H1046*(1-IFERROR(VLOOKUP(G1046,Rabat!$D$10:$E$41,2,FALSE),0))</f>
        <v>125</v>
      </c>
      <c r="J1046" t="s">
        <v>1902</v>
      </c>
      <c r="K1046" t="s">
        <v>2558</v>
      </c>
      <c r="L1046" t="s">
        <v>1901</v>
      </c>
      <c r="M1046">
        <v>1</v>
      </c>
      <c r="N1046"/>
      <c r="O1046" t="s">
        <v>3434</v>
      </c>
      <c r="P1046" s="31" t="str">
        <f>HYPERLINK("https://b2b.kobi.pl/pl/product/10725,zasilacz-montazowy-12v-100w-8-3a?currency=PLN")</f>
        <v>https://b2b.kobi.pl/pl/product/10725,zasilacz-montazowy-12v-100w-8-3a?currency=PLN</v>
      </c>
      <c r="Q1046" t="s">
        <v>15</v>
      </c>
      <c r="R1046"/>
      <c r="S1046" t="s">
        <v>2676</v>
      </c>
      <c r="T1046"/>
      <c r="U1046">
        <v>0.182</v>
      </c>
      <c r="V1046">
        <v>0.20399999999999999</v>
      </c>
      <c r="W1046">
        <v>4.2</v>
      </c>
      <c r="X1046">
        <v>12.1</v>
      </c>
      <c r="Y1046">
        <v>8.1</v>
      </c>
    </row>
    <row r="1047" spans="1:25" ht="60" customHeight="1" x14ac:dyDescent="0.25">
      <c r="A1047"/>
      <c r="B1047" t="s">
        <v>646</v>
      </c>
      <c r="C1047" t="s">
        <v>6</v>
      </c>
      <c r="D1047" t="s">
        <v>643</v>
      </c>
      <c r="E1047" t="s">
        <v>2485</v>
      </c>
      <c r="F1047" t="s">
        <v>2486</v>
      </c>
      <c r="G1047" t="s">
        <v>645</v>
      </c>
      <c r="H1047" s="30">
        <v>155</v>
      </c>
      <c r="I1047" s="38">
        <f>H1047*(1-IFERROR(VLOOKUP(G1047,Rabat!$D$10:$E$41,2,FALSE),0))</f>
        <v>155</v>
      </c>
      <c r="J1047" t="s">
        <v>1902</v>
      </c>
      <c r="K1047" t="s">
        <v>2559</v>
      </c>
      <c r="L1047" t="s">
        <v>1901</v>
      </c>
      <c r="M1047"/>
      <c r="N1047"/>
      <c r="O1047" t="s">
        <v>3434</v>
      </c>
      <c r="P1047" s="31" t="str">
        <f>HYPERLINK("https://b2b.kobi.pl/pl/product/10728,zasilacz-montazowy-12v-150w-12-5a?currency=PLN")</f>
        <v>https://b2b.kobi.pl/pl/product/10728,zasilacz-montazowy-12v-150w-12-5a?currency=PLN</v>
      </c>
      <c r="Q1047" t="s">
        <v>15</v>
      </c>
      <c r="R1047"/>
      <c r="S1047" t="s">
        <v>2676</v>
      </c>
      <c r="T1047"/>
      <c r="U1047">
        <v>0.30199999999999999</v>
      </c>
      <c r="V1047">
        <v>0.33100000000000002</v>
      </c>
      <c r="W1047">
        <v>13.9</v>
      </c>
      <c r="X1047">
        <v>10.4</v>
      </c>
      <c r="Y1047">
        <v>4.4000000000000004</v>
      </c>
    </row>
    <row r="1048" spans="1:25" ht="60" customHeight="1" x14ac:dyDescent="0.25">
      <c r="A1048"/>
      <c r="B1048" t="s">
        <v>646</v>
      </c>
      <c r="C1048" t="s">
        <v>6</v>
      </c>
      <c r="D1048" t="s">
        <v>643</v>
      </c>
      <c r="E1048" t="s">
        <v>2665</v>
      </c>
      <c r="F1048" t="s">
        <v>2487</v>
      </c>
      <c r="G1048" t="s">
        <v>645</v>
      </c>
      <c r="H1048" s="30">
        <v>179</v>
      </c>
      <c r="I1048" s="38">
        <f>H1048*(1-IFERROR(VLOOKUP(G1048,Rabat!$D$10:$E$41,2,FALSE),0))</f>
        <v>179</v>
      </c>
      <c r="J1048" t="s">
        <v>1902</v>
      </c>
      <c r="K1048" t="s">
        <v>2560</v>
      </c>
      <c r="L1048" t="s">
        <v>1901</v>
      </c>
      <c r="M1048">
        <v>1</v>
      </c>
      <c r="N1048"/>
      <c r="O1048" t="s">
        <v>3434</v>
      </c>
      <c r="P1048" s="31" t="str">
        <f>HYPERLINK("https://b2b.kobi.pl/pl/product/10720,zasilacz-montazowy-12v-200w-16-6a?currency=PLN")</f>
        <v>https://b2b.kobi.pl/pl/product/10720,zasilacz-montazowy-12v-200w-16-6a?currency=PLN</v>
      </c>
      <c r="Q1048" t="s">
        <v>15</v>
      </c>
      <c r="R1048"/>
      <c r="S1048" t="s">
        <v>2676</v>
      </c>
      <c r="T1048"/>
      <c r="U1048">
        <v>0.46</v>
      </c>
      <c r="V1048">
        <v>0.5</v>
      </c>
      <c r="W1048">
        <v>5</v>
      </c>
      <c r="X1048">
        <v>8.5</v>
      </c>
      <c r="Y1048">
        <v>15</v>
      </c>
    </row>
    <row r="1049" spans="1:25" ht="60" customHeight="1" x14ac:dyDescent="0.25">
      <c r="A1049"/>
      <c r="B1049" t="s">
        <v>646</v>
      </c>
      <c r="C1049" t="s">
        <v>6</v>
      </c>
      <c r="D1049" t="s">
        <v>643</v>
      </c>
      <c r="E1049" t="s">
        <v>2665</v>
      </c>
      <c r="F1049" t="s">
        <v>3274</v>
      </c>
      <c r="G1049" t="s">
        <v>645</v>
      </c>
      <c r="H1049" s="30">
        <v>179</v>
      </c>
      <c r="I1049" s="38">
        <f>H1049*(1-IFERROR(VLOOKUP(G1049,Rabat!$D$10:$E$41,2,FALSE),0))</f>
        <v>179</v>
      </c>
      <c r="J1049" t="s">
        <v>1902</v>
      </c>
      <c r="K1049" t="s">
        <v>3284</v>
      </c>
      <c r="L1049" t="s">
        <v>1901</v>
      </c>
      <c r="M1049">
        <v>1</v>
      </c>
      <c r="N1049"/>
      <c r="O1049" t="s">
        <v>3434</v>
      </c>
      <c r="P1049" s="31" t="str">
        <f>HYPERLINK("https://b2b.kobi.pl/pl/product/13559,modul-zasilacza-montazowy-12v-200w-16-6a?currency=PLN")</f>
        <v>https://b2b.kobi.pl/pl/product/13559,modul-zasilacza-montazowy-12v-200w-16-6a?currency=PLN</v>
      </c>
      <c r="Q1049" t="s">
        <v>15</v>
      </c>
      <c r="R1049"/>
      <c r="S1049" t="s">
        <v>2676</v>
      </c>
      <c r="T1049"/>
      <c r="U1049">
        <v>0.46</v>
      </c>
      <c r="V1049">
        <v>0.5</v>
      </c>
      <c r="W1049">
        <v>5</v>
      </c>
      <c r="X1049">
        <v>8.5</v>
      </c>
      <c r="Y1049">
        <v>15</v>
      </c>
    </row>
    <row r="1050" spans="1:25" ht="60" customHeight="1" x14ac:dyDescent="0.25">
      <c r="A1050"/>
      <c r="B1050" t="s">
        <v>646</v>
      </c>
      <c r="C1050" t="s">
        <v>6</v>
      </c>
      <c r="D1050" t="s">
        <v>643</v>
      </c>
      <c r="E1050" t="s">
        <v>2666</v>
      </c>
      <c r="F1050" t="s">
        <v>2488</v>
      </c>
      <c r="G1050" t="s">
        <v>645</v>
      </c>
      <c r="H1050" s="30">
        <v>210</v>
      </c>
      <c r="I1050" s="38">
        <f>H1050*(1-IFERROR(VLOOKUP(G1050,Rabat!$D$10:$E$41,2,FALSE),0))</f>
        <v>210</v>
      </c>
      <c r="J1050" t="s">
        <v>1902</v>
      </c>
      <c r="K1050" t="s">
        <v>2561</v>
      </c>
      <c r="L1050" t="s">
        <v>1901</v>
      </c>
      <c r="M1050">
        <v>1</v>
      </c>
      <c r="N1050"/>
      <c r="O1050" t="s">
        <v>3434</v>
      </c>
      <c r="P1050" s="31" t="str">
        <f>HYPERLINK("https://b2b.kobi.pl/pl/product/10729,zasilacz-montazowy-12v-250w-20-8a?currency=PLN")</f>
        <v>https://b2b.kobi.pl/pl/product/10729,zasilacz-montazowy-12v-250w-20-8a?currency=PLN</v>
      </c>
      <c r="Q1050" t="s">
        <v>15</v>
      </c>
      <c r="R1050"/>
      <c r="S1050" t="s">
        <v>2676</v>
      </c>
      <c r="T1050"/>
      <c r="U1050">
        <v>0.46</v>
      </c>
      <c r="V1050">
        <v>0.51</v>
      </c>
      <c r="W1050">
        <v>16.7</v>
      </c>
      <c r="X1050">
        <v>10.4</v>
      </c>
      <c r="Y1050">
        <v>5.4</v>
      </c>
    </row>
    <row r="1051" spans="1:25" ht="60" customHeight="1" x14ac:dyDescent="0.25">
      <c r="A1051"/>
      <c r="B1051" t="s">
        <v>646</v>
      </c>
      <c r="C1051" t="s">
        <v>6</v>
      </c>
      <c r="D1051" t="s">
        <v>643</v>
      </c>
      <c r="E1051" t="s">
        <v>2667</v>
      </c>
      <c r="F1051" t="s">
        <v>2489</v>
      </c>
      <c r="G1051" t="s">
        <v>645</v>
      </c>
      <c r="H1051" s="30">
        <v>224</v>
      </c>
      <c r="I1051" s="38">
        <f>H1051*(1-IFERROR(VLOOKUP(G1051,Rabat!$D$10:$E$41,2,FALSE),0))</f>
        <v>224</v>
      </c>
      <c r="J1051" t="s">
        <v>1902</v>
      </c>
      <c r="K1051" t="s">
        <v>2562</v>
      </c>
      <c r="L1051" t="s">
        <v>1901</v>
      </c>
      <c r="M1051">
        <v>1</v>
      </c>
      <c r="N1051"/>
      <c r="O1051" t="s">
        <v>3434</v>
      </c>
      <c r="P1051" s="31" t="str">
        <f>HYPERLINK("https://b2b.kobi.pl/pl/product/10731,zasilacz-montazowy-12v-350w-29-0a?currency=PLN")</f>
        <v>https://b2b.kobi.pl/pl/product/10731,zasilacz-montazowy-12v-350w-29-0a?currency=PLN</v>
      </c>
      <c r="Q1051" t="s">
        <v>15</v>
      </c>
      <c r="R1051"/>
      <c r="S1051" t="s">
        <v>2676</v>
      </c>
      <c r="T1051"/>
      <c r="U1051">
        <v>0.63</v>
      </c>
      <c r="V1051">
        <v>0.68200000000000005</v>
      </c>
      <c r="W1051">
        <v>15</v>
      </c>
      <c r="X1051">
        <v>20.5</v>
      </c>
      <c r="Y1051">
        <v>6</v>
      </c>
    </row>
    <row r="1052" spans="1:25" ht="60" customHeight="1" x14ac:dyDescent="0.25">
      <c r="A1052"/>
      <c r="B1052" t="s">
        <v>646</v>
      </c>
      <c r="C1052" t="s">
        <v>6</v>
      </c>
      <c r="D1052" t="s">
        <v>643</v>
      </c>
      <c r="E1052" t="s">
        <v>2491</v>
      </c>
      <c r="F1052" t="s">
        <v>2492</v>
      </c>
      <c r="G1052" t="s">
        <v>645</v>
      </c>
      <c r="H1052" s="30">
        <v>71.59</v>
      </c>
      <c r="I1052" s="38">
        <f>H1052*(1-IFERROR(VLOOKUP(G1052,Rabat!$D$10:$E$41,2,FALSE),0))</f>
        <v>71.59</v>
      </c>
      <c r="J1052" t="s">
        <v>1902</v>
      </c>
      <c r="K1052" t="s">
        <v>2564</v>
      </c>
      <c r="L1052" t="s">
        <v>1901</v>
      </c>
      <c r="M1052">
        <v>1</v>
      </c>
      <c r="N1052"/>
      <c r="O1052" t="s">
        <v>3434</v>
      </c>
      <c r="P1052" s="31" t="str">
        <f>HYPERLINK("https://b2b.kobi.pl/pl/product/10743,zasilacz-desktop-24v-48w-2-00a-wtyk-dc-2-1x5-5?currency=PLN")</f>
        <v>https://b2b.kobi.pl/pl/product/10743,zasilacz-desktop-24v-48w-2-00a-wtyk-dc-2-1x5-5?currency=PLN</v>
      </c>
      <c r="Q1052" t="s">
        <v>15</v>
      </c>
      <c r="R1052"/>
      <c r="S1052" t="s">
        <v>2676</v>
      </c>
      <c r="T1052"/>
      <c r="U1052">
        <v>0.22</v>
      </c>
      <c r="V1052">
        <v>0.25</v>
      </c>
      <c r="W1052">
        <v>15.5</v>
      </c>
      <c r="X1052">
        <v>7</v>
      </c>
      <c r="Y1052">
        <v>6.5</v>
      </c>
    </row>
    <row r="1053" spans="1:25" ht="60" customHeight="1" x14ac:dyDescent="0.25">
      <c r="A1053"/>
      <c r="B1053" t="s">
        <v>646</v>
      </c>
      <c r="C1053" t="s">
        <v>6</v>
      </c>
      <c r="D1053" t="s">
        <v>643</v>
      </c>
      <c r="E1053" t="s">
        <v>2493</v>
      </c>
      <c r="F1053" t="s">
        <v>2494</v>
      </c>
      <c r="G1053" t="s">
        <v>645</v>
      </c>
      <c r="H1053" s="30">
        <v>100.7</v>
      </c>
      <c r="I1053" s="38">
        <f>H1053*(1-IFERROR(VLOOKUP(G1053,Rabat!$D$10:$E$41,2,FALSE),0))</f>
        <v>100.7</v>
      </c>
      <c r="J1053" t="s">
        <v>1902</v>
      </c>
      <c r="K1053" t="s">
        <v>2565</v>
      </c>
      <c r="L1053" t="s">
        <v>1901</v>
      </c>
      <c r="M1053">
        <v>1</v>
      </c>
      <c r="N1053"/>
      <c r="O1053" t="s">
        <v>3434</v>
      </c>
      <c r="P1053" s="31" t="str">
        <f>HYPERLINK("https://b2b.kobi.pl/pl/product/10744,zasilacz-desktop-24v-72w-3-00a-wtyk-dc-2-1x5-5?currency=PLN")</f>
        <v>https://b2b.kobi.pl/pl/product/10744,zasilacz-desktop-24v-72w-3-00a-wtyk-dc-2-1x5-5?currency=PLN</v>
      </c>
      <c r="Q1053" t="s">
        <v>15</v>
      </c>
      <c r="R1053"/>
      <c r="S1053" t="s">
        <v>2676</v>
      </c>
      <c r="T1053"/>
      <c r="U1053">
        <v>0.24</v>
      </c>
      <c r="V1053">
        <v>0.26</v>
      </c>
      <c r="W1053">
        <v>15.5</v>
      </c>
      <c r="X1053">
        <v>7</v>
      </c>
      <c r="Y1053">
        <v>6.5</v>
      </c>
    </row>
    <row r="1054" spans="1:25" ht="60" customHeight="1" x14ac:dyDescent="0.25">
      <c r="A1054"/>
      <c r="B1054" t="s">
        <v>646</v>
      </c>
      <c r="C1054" t="s">
        <v>6</v>
      </c>
      <c r="D1054" t="s">
        <v>643</v>
      </c>
      <c r="E1054" t="s">
        <v>2099</v>
      </c>
      <c r="F1054" t="s">
        <v>2137</v>
      </c>
      <c r="G1054" t="s">
        <v>645</v>
      </c>
      <c r="H1054" s="30">
        <v>142.15</v>
      </c>
      <c r="I1054" s="38">
        <f>H1054*(1-IFERROR(VLOOKUP(G1054,Rabat!$D$10:$E$41,2,FALSE),0))</f>
        <v>142.15</v>
      </c>
      <c r="J1054" t="s">
        <v>1902</v>
      </c>
      <c r="K1054" t="s">
        <v>2163</v>
      </c>
      <c r="L1054" t="s">
        <v>1901</v>
      </c>
      <c r="M1054">
        <v>1</v>
      </c>
      <c r="N1054"/>
      <c r="O1054" t="s">
        <v>3434</v>
      </c>
      <c r="P1054" s="31" t="str">
        <f>HYPERLINK("https://b2b.kobi.pl/pl/product/10745,zasilacz-desktop-24v-96w-4-00a-wtyk-dc-2-1x5-5?currency=PLN")</f>
        <v>https://b2b.kobi.pl/pl/product/10745,zasilacz-desktop-24v-96w-4-00a-wtyk-dc-2-1x5-5?currency=PLN</v>
      </c>
      <c r="Q1054" t="s">
        <v>15</v>
      </c>
      <c r="R1054"/>
      <c r="S1054" t="s">
        <v>2676</v>
      </c>
      <c r="T1054"/>
      <c r="U1054">
        <v>0.34</v>
      </c>
      <c r="V1054">
        <v>0.37</v>
      </c>
      <c r="W1054">
        <v>15.5</v>
      </c>
      <c r="X1054">
        <v>7</v>
      </c>
      <c r="Y1054">
        <v>6.5</v>
      </c>
    </row>
    <row r="1055" spans="1:25" ht="60" customHeight="1" x14ac:dyDescent="0.25">
      <c r="A1055"/>
      <c r="B1055" t="s">
        <v>646</v>
      </c>
      <c r="C1055" t="s">
        <v>6</v>
      </c>
      <c r="D1055" t="s">
        <v>643</v>
      </c>
      <c r="E1055" t="s">
        <v>2074</v>
      </c>
      <c r="F1055" t="s">
        <v>2075</v>
      </c>
      <c r="G1055" t="s">
        <v>645</v>
      </c>
      <c r="H1055" s="30">
        <v>47.67</v>
      </c>
      <c r="I1055" s="38">
        <f>H1055*(1-IFERROR(VLOOKUP(G1055,Rabat!$D$10:$E$41,2,FALSE),0))</f>
        <v>47.67</v>
      </c>
      <c r="J1055" t="s">
        <v>1902</v>
      </c>
      <c r="K1055" t="s">
        <v>2175</v>
      </c>
      <c r="L1055" t="s">
        <v>1901</v>
      </c>
      <c r="M1055">
        <v>1</v>
      </c>
      <c r="N1055"/>
      <c r="O1055" t="s">
        <v>3434</v>
      </c>
      <c r="P1055" s="31" t="str">
        <f>HYPERLINK("https://b2b.kobi.pl/pl/product/12803,modul-zasilacza-montazowy-24v-24w-1-00a?currency=PLN")</f>
        <v>https://b2b.kobi.pl/pl/product/12803,modul-zasilacza-montazowy-24v-24w-1-00a?currency=PLN</v>
      </c>
      <c r="Q1055" t="s">
        <v>15</v>
      </c>
      <c r="R1055"/>
      <c r="S1055" t="s">
        <v>2676</v>
      </c>
      <c r="T1055"/>
      <c r="U1055">
        <v>0.04</v>
      </c>
      <c r="V1055">
        <v>0.05</v>
      </c>
      <c r="W1055">
        <v>19.5</v>
      </c>
      <c r="X1055">
        <v>2.5</v>
      </c>
      <c r="Y1055">
        <v>2</v>
      </c>
    </row>
    <row r="1056" spans="1:25" ht="60" customHeight="1" x14ac:dyDescent="0.25">
      <c r="A1056"/>
      <c r="B1056" t="s">
        <v>646</v>
      </c>
      <c r="C1056" t="s">
        <v>6</v>
      </c>
      <c r="D1056" t="s">
        <v>643</v>
      </c>
      <c r="E1056" t="s">
        <v>2076</v>
      </c>
      <c r="F1056" t="s">
        <v>2077</v>
      </c>
      <c r="G1056" t="s">
        <v>645</v>
      </c>
      <c r="H1056" s="30">
        <v>50.15</v>
      </c>
      <c r="I1056" s="38">
        <f>H1056*(1-IFERROR(VLOOKUP(G1056,Rabat!$D$10:$E$41,2,FALSE),0))</f>
        <v>50.15</v>
      </c>
      <c r="J1056" t="s">
        <v>1902</v>
      </c>
      <c r="K1056" t="s">
        <v>2176</v>
      </c>
      <c r="L1056" t="s">
        <v>1901</v>
      </c>
      <c r="M1056">
        <v>1</v>
      </c>
      <c r="N1056"/>
      <c r="O1056" t="s">
        <v>3434</v>
      </c>
      <c r="P1056" s="31" t="str">
        <f>HYPERLINK("https://b2b.kobi.pl/pl/product/12804,modul-zasilacza-montazowy-24v-36w-1-50a?currency=PLN")</f>
        <v>https://b2b.kobi.pl/pl/product/12804,modul-zasilacza-montazowy-24v-36w-1-50a?currency=PLN</v>
      </c>
      <c r="Q1056" t="s">
        <v>15</v>
      </c>
      <c r="R1056"/>
      <c r="S1056" t="s">
        <v>2676</v>
      </c>
      <c r="T1056"/>
      <c r="U1056">
        <v>0.06</v>
      </c>
      <c r="V1056">
        <v>7.0000000000000007E-2</v>
      </c>
      <c r="W1056">
        <v>28.5</v>
      </c>
      <c r="X1056">
        <v>2.2000000000000002</v>
      </c>
      <c r="Y1056">
        <v>1.5</v>
      </c>
    </row>
    <row r="1057" spans="1:25" ht="60" customHeight="1" x14ac:dyDescent="0.25">
      <c r="A1057"/>
      <c r="B1057" t="s">
        <v>646</v>
      </c>
      <c r="C1057" t="s">
        <v>6</v>
      </c>
      <c r="D1057" t="s">
        <v>643</v>
      </c>
      <c r="E1057" t="s">
        <v>2078</v>
      </c>
      <c r="F1057" t="s">
        <v>2079</v>
      </c>
      <c r="G1057" t="s">
        <v>645</v>
      </c>
      <c r="H1057" s="30">
        <v>59.9</v>
      </c>
      <c r="I1057" s="38">
        <f>H1057*(1-IFERROR(VLOOKUP(G1057,Rabat!$D$10:$E$41,2,FALSE),0))</f>
        <v>59.9</v>
      </c>
      <c r="J1057" t="s">
        <v>1902</v>
      </c>
      <c r="K1057" t="s">
        <v>2177</v>
      </c>
      <c r="L1057" t="s">
        <v>1901</v>
      </c>
      <c r="M1057">
        <v>1</v>
      </c>
      <c r="N1057"/>
      <c r="O1057" t="s">
        <v>3434</v>
      </c>
      <c r="P1057" s="31" t="str">
        <f>HYPERLINK("https://b2b.kobi.pl/pl/product/12805,modul-zasilacza-montazowy-24v-60w-2-50a?currency=PLN")</f>
        <v>https://b2b.kobi.pl/pl/product/12805,modul-zasilacza-montazowy-24v-60w-2-50a?currency=PLN</v>
      </c>
      <c r="Q1057" t="s">
        <v>15</v>
      </c>
      <c r="R1057"/>
      <c r="S1057" t="s">
        <v>2676</v>
      </c>
      <c r="T1057"/>
      <c r="U1057">
        <v>0.18</v>
      </c>
      <c r="V1057">
        <v>0.2</v>
      </c>
      <c r="W1057">
        <v>11.5</v>
      </c>
      <c r="X1057">
        <v>8.5</v>
      </c>
      <c r="Y1057">
        <v>3.2</v>
      </c>
    </row>
    <row r="1058" spans="1:25" ht="60" customHeight="1" x14ac:dyDescent="0.25">
      <c r="A1058"/>
      <c r="B1058" t="s">
        <v>646</v>
      </c>
      <c r="C1058" t="s">
        <v>6</v>
      </c>
      <c r="D1058" t="s">
        <v>643</v>
      </c>
      <c r="E1058" t="s">
        <v>2080</v>
      </c>
      <c r="F1058" t="s">
        <v>2081</v>
      </c>
      <c r="G1058" t="s">
        <v>645</v>
      </c>
      <c r="H1058" s="30">
        <v>96.12</v>
      </c>
      <c r="I1058" s="38">
        <f>H1058*(1-IFERROR(VLOOKUP(G1058,Rabat!$D$10:$E$41,2,FALSE),0))</f>
        <v>96.12</v>
      </c>
      <c r="J1058" t="s">
        <v>1902</v>
      </c>
      <c r="K1058" t="s">
        <v>2178</v>
      </c>
      <c r="L1058" t="s">
        <v>1901</v>
      </c>
      <c r="M1058">
        <v>1</v>
      </c>
      <c r="N1058"/>
      <c r="O1058" t="s">
        <v>3434</v>
      </c>
      <c r="P1058" s="31" t="str">
        <f>HYPERLINK("https://b2b.kobi.pl/pl/product/12806,modul-zasilacza-montazowy-24v-100w-4-16a?currency=PLN")</f>
        <v>https://b2b.kobi.pl/pl/product/12806,modul-zasilacza-montazowy-24v-100w-4-16a?currency=PLN</v>
      </c>
      <c r="Q1058" t="s">
        <v>15</v>
      </c>
      <c r="R1058"/>
      <c r="S1058" t="s">
        <v>2676</v>
      </c>
      <c r="T1058"/>
      <c r="U1058">
        <v>0.19</v>
      </c>
      <c r="V1058">
        <v>0.21</v>
      </c>
      <c r="W1058">
        <v>11.5</v>
      </c>
      <c r="X1058">
        <v>8.5</v>
      </c>
      <c r="Y1058">
        <v>3.5</v>
      </c>
    </row>
    <row r="1059" spans="1:25" ht="60" customHeight="1" x14ac:dyDescent="0.25">
      <c r="A1059"/>
      <c r="B1059" t="s">
        <v>646</v>
      </c>
      <c r="C1059" t="s">
        <v>6</v>
      </c>
      <c r="D1059" t="s">
        <v>643</v>
      </c>
      <c r="E1059" t="s">
        <v>2082</v>
      </c>
      <c r="F1059" t="s">
        <v>2083</v>
      </c>
      <c r="G1059" t="s">
        <v>645</v>
      </c>
      <c r="H1059" s="30">
        <v>120.01</v>
      </c>
      <c r="I1059" s="38">
        <f>H1059*(1-IFERROR(VLOOKUP(G1059,Rabat!$D$10:$E$41,2,FALSE),0))</f>
        <v>120.01</v>
      </c>
      <c r="J1059" t="s">
        <v>1902</v>
      </c>
      <c r="K1059" t="s">
        <v>2179</v>
      </c>
      <c r="L1059" t="s">
        <v>1901</v>
      </c>
      <c r="M1059">
        <v>1</v>
      </c>
      <c r="N1059"/>
      <c r="O1059" t="s">
        <v>3434</v>
      </c>
      <c r="P1059" s="31" t="str">
        <f>HYPERLINK("https://b2b.kobi.pl/pl/product/12807,modul-zasilacza-montazowy-24v-150w-6-25a?currency=PLN")</f>
        <v>https://b2b.kobi.pl/pl/product/12807,modul-zasilacza-montazowy-24v-150w-6-25a?currency=PLN</v>
      </c>
      <c r="Q1059" t="s">
        <v>15</v>
      </c>
      <c r="R1059"/>
      <c r="S1059" t="s">
        <v>2676</v>
      </c>
      <c r="T1059"/>
      <c r="U1059">
        <v>0.3</v>
      </c>
      <c r="V1059">
        <v>0.32</v>
      </c>
      <c r="W1059">
        <v>13.5</v>
      </c>
      <c r="X1059">
        <v>10</v>
      </c>
      <c r="Y1059">
        <v>4</v>
      </c>
    </row>
    <row r="1060" spans="1:25" ht="60" customHeight="1" x14ac:dyDescent="0.25">
      <c r="A1060"/>
      <c r="B1060" t="s">
        <v>646</v>
      </c>
      <c r="C1060" t="s">
        <v>6</v>
      </c>
      <c r="D1060" t="s">
        <v>643</v>
      </c>
      <c r="E1060" t="s">
        <v>2084</v>
      </c>
      <c r="F1060" t="s">
        <v>2085</v>
      </c>
      <c r="G1060" t="s">
        <v>645</v>
      </c>
      <c r="H1060" s="30">
        <v>157.66</v>
      </c>
      <c r="I1060" s="38">
        <f>H1060*(1-IFERROR(VLOOKUP(G1060,Rabat!$D$10:$E$41,2,FALSE),0))</f>
        <v>157.66</v>
      </c>
      <c r="J1060" t="s">
        <v>1902</v>
      </c>
      <c r="K1060" t="s">
        <v>2180</v>
      </c>
      <c r="L1060" t="s">
        <v>1901</v>
      </c>
      <c r="M1060">
        <v>1</v>
      </c>
      <c r="N1060"/>
      <c r="O1060" t="s">
        <v>3434</v>
      </c>
      <c r="P1060" s="31" t="str">
        <f>HYPERLINK("https://b2b.kobi.pl/pl/product/12808,modul-zasilacza-montazowy-24v-200w-8-30a?currency=PLN")</f>
        <v>https://b2b.kobi.pl/pl/product/12808,modul-zasilacza-montazowy-24v-200w-8-30a?currency=PLN</v>
      </c>
      <c r="Q1060" t="s">
        <v>15</v>
      </c>
      <c r="R1060"/>
      <c r="S1060" t="s">
        <v>2676</v>
      </c>
      <c r="T1060"/>
      <c r="U1060">
        <v>0.45</v>
      </c>
      <c r="V1060">
        <v>0.48</v>
      </c>
      <c r="W1060">
        <v>16.5</v>
      </c>
      <c r="X1060">
        <v>10.5</v>
      </c>
      <c r="Y1060">
        <v>4.7</v>
      </c>
    </row>
    <row r="1061" spans="1:25" ht="60" customHeight="1" x14ac:dyDescent="0.25">
      <c r="A1061"/>
      <c r="B1061" t="s">
        <v>646</v>
      </c>
      <c r="C1061" t="s">
        <v>6</v>
      </c>
      <c r="D1061" t="s">
        <v>643</v>
      </c>
      <c r="E1061" t="s">
        <v>2086</v>
      </c>
      <c r="F1061" t="s">
        <v>2087</v>
      </c>
      <c r="G1061" t="s">
        <v>645</v>
      </c>
      <c r="H1061" s="30">
        <v>178.12</v>
      </c>
      <c r="I1061" s="38">
        <f>H1061*(1-IFERROR(VLOOKUP(G1061,Rabat!$D$10:$E$41,2,FALSE),0))</f>
        <v>178.12</v>
      </c>
      <c r="J1061" t="s">
        <v>1902</v>
      </c>
      <c r="K1061" t="s">
        <v>2181</v>
      </c>
      <c r="L1061" t="s">
        <v>1901</v>
      </c>
      <c r="M1061">
        <v>1</v>
      </c>
      <c r="N1061"/>
      <c r="O1061" t="s">
        <v>3434</v>
      </c>
      <c r="P1061" s="31" t="str">
        <f>HYPERLINK("https://b2b.kobi.pl/pl/product/12809,modul-zasilacza-montazowy-24v-250w-10-40a?currency=PLN")</f>
        <v>https://b2b.kobi.pl/pl/product/12809,modul-zasilacza-montazowy-24v-250w-10-40a?currency=PLN</v>
      </c>
      <c r="Q1061" t="s">
        <v>15</v>
      </c>
      <c r="R1061"/>
      <c r="S1061" t="s">
        <v>2676</v>
      </c>
      <c r="T1061"/>
      <c r="U1061">
        <v>0.45</v>
      </c>
      <c r="V1061">
        <v>0.48</v>
      </c>
      <c r="W1061">
        <v>16.5</v>
      </c>
      <c r="X1061">
        <v>10.5</v>
      </c>
      <c r="Y1061">
        <v>4.7</v>
      </c>
    </row>
    <row r="1062" spans="1:25" ht="60" customHeight="1" x14ac:dyDescent="0.25">
      <c r="A1062"/>
      <c r="B1062" t="s">
        <v>646</v>
      </c>
      <c r="C1062" t="s">
        <v>6</v>
      </c>
      <c r="D1062" t="s">
        <v>643</v>
      </c>
      <c r="E1062" t="s">
        <v>2088</v>
      </c>
      <c r="F1062" t="s">
        <v>2089</v>
      </c>
      <c r="G1062" t="s">
        <v>645</v>
      </c>
      <c r="H1062" s="30">
        <v>191.27</v>
      </c>
      <c r="I1062" s="38">
        <f>H1062*(1-IFERROR(VLOOKUP(G1062,Rabat!$D$10:$E$41,2,FALSE),0))</f>
        <v>191.27</v>
      </c>
      <c r="J1062" t="s">
        <v>1902</v>
      </c>
      <c r="K1062" t="s">
        <v>15</v>
      </c>
      <c r="L1062" t="s">
        <v>1901</v>
      </c>
      <c r="M1062">
        <v>1</v>
      </c>
      <c r="N1062"/>
      <c r="O1062" t="s">
        <v>3434</v>
      </c>
      <c r="P1062"/>
      <c r="Q1062" t="s">
        <v>15</v>
      </c>
      <c r="R1062"/>
      <c r="S1062" t="s">
        <v>2676</v>
      </c>
      <c r="T1062"/>
      <c r="U1062">
        <v>0</v>
      </c>
      <c r="V1062">
        <v>0</v>
      </c>
      <c r="W1062">
        <v>0</v>
      </c>
      <c r="X1062">
        <v>0</v>
      </c>
      <c r="Y1062">
        <v>0</v>
      </c>
    </row>
    <row r="1063" spans="1:25" ht="60" customHeight="1" x14ac:dyDescent="0.25">
      <c r="A1063"/>
      <c r="B1063" t="s">
        <v>646</v>
      </c>
      <c r="C1063" t="s">
        <v>6</v>
      </c>
      <c r="D1063" t="s">
        <v>643</v>
      </c>
      <c r="E1063" t="s">
        <v>2600</v>
      </c>
      <c r="F1063" t="s">
        <v>2090</v>
      </c>
      <c r="G1063" t="s">
        <v>645</v>
      </c>
      <c r="H1063" s="30">
        <v>68.16</v>
      </c>
      <c r="I1063" s="38">
        <f>H1063*(1-IFERROR(VLOOKUP(G1063,Rabat!$D$10:$E$41,2,FALSE),0))</f>
        <v>68.16</v>
      </c>
      <c r="J1063" t="s">
        <v>1902</v>
      </c>
      <c r="K1063" t="s">
        <v>2182</v>
      </c>
      <c r="L1063" t="s">
        <v>1901</v>
      </c>
      <c r="M1063">
        <v>1</v>
      </c>
      <c r="N1063"/>
      <c r="O1063" t="s">
        <v>3434</v>
      </c>
      <c r="P1063" s="31" t="str">
        <f>HYPERLINK("https://b2b.kobi.pl/pl/product/12811,modul-zasilacza-wodoodporny-24v-30w-1-25a?currency=PLN")</f>
        <v>https://b2b.kobi.pl/pl/product/12811,modul-zasilacza-wodoodporny-24v-30w-1-25a?currency=PLN</v>
      </c>
      <c r="Q1063" t="s">
        <v>15</v>
      </c>
      <c r="R1063"/>
      <c r="S1063" t="s">
        <v>2676</v>
      </c>
      <c r="T1063"/>
      <c r="U1063">
        <v>0.14000000000000001</v>
      </c>
      <c r="V1063">
        <v>0.15</v>
      </c>
      <c r="W1063">
        <v>15.5</v>
      </c>
      <c r="X1063">
        <v>4.0999999999999996</v>
      </c>
      <c r="Y1063">
        <v>2.7</v>
      </c>
    </row>
    <row r="1064" spans="1:25" ht="60" customHeight="1" x14ac:dyDescent="0.25">
      <c r="A1064"/>
      <c r="B1064" t="s">
        <v>646</v>
      </c>
      <c r="C1064" t="s">
        <v>6</v>
      </c>
      <c r="D1064" t="s">
        <v>643</v>
      </c>
      <c r="E1064" t="s">
        <v>2601</v>
      </c>
      <c r="F1064" t="s">
        <v>2091</v>
      </c>
      <c r="G1064" t="s">
        <v>645</v>
      </c>
      <c r="H1064" s="30">
        <v>120.77</v>
      </c>
      <c r="I1064" s="38">
        <f>H1064*(1-IFERROR(VLOOKUP(G1064,Rabat!$D$10:$E$41,2,FALSE),0))</f>
        <v>120.77</v>
      </c>
      <c r="J1064" t="s">
        <v>1902</v>
      </c>
      <c r="K1064" t="s">
        <v>2183</v>
      </c>
      <c r="L1064" t="s">
        <v>1901</v>
      </c>
      <c r="M1064">
        <v>1</v>
      </c>
      <c r="N1064"/>
      <c r="O1064" t="s">
        <v>3434</v>
      </c>
      <c r="P1064" s="31" t="str">
        <f>HYPERLINK("https://b2b.kobi.pl/pl/product/12812,modul-zasilacza-wodoodporny-24v-60w-2-50a?currency=PLN")</f>
        <v>https://b2b.kobi.pl/pl/product/12812,modul-zasilacza-wodoodporny-24v-60w-2-50a?currency=PLN</v>
      </c>
      <c r="Q1064" t="s">
        <v>15</v>
      </c>
      <c r="R1064"/>
      <c r="S1064" t="s">
        <v>2676</v>
      </c>
      <c r="T1064"/>
      <c r="U1064">
        <v>0.25</v>
      </c>
      <c r="V1064">
        <v>0.26</v>
      </c>
      <c r="W1064">
        <v>16.5</v>
      </c>
      <c r="X1064">
        <v>6.8</v>
      </c>
      <c r="Y1064">
        <v>2.2000000000000002</v>
      </c>
    </row>
    <row r="1065" spans="1:25" ht="60" customHeight="1" x14ac:dyDescent="0.25">
      <c r="A1065"/>
      <c r="B1065" t="s">
        <v>646</v>
      </c>
      <c r="C1065" t="s">
        <v>6</v>
      </c>
      <c r="D1065" t="s">
        <v>643</v>
      </c>
      <c r="E1065" t="s">
        <v>2601</v>
      </c>
      <c r="F1065" t="s">
        <v>3275</v>
      </c>
      <c r="G1065" t="s">
        <v>645</v>
      </c>
      <c r="H1065" s="30">
        <v>120.77</v>
      </c>
      <c r="I1065" s="38">
        <f>H1065*(1-IFERROR(VLOOKUP(G1065,Rabat!$D$10:$E$41,2,FALSE),0))</f>
        <v>120.77</v>
      </c>
      <c r="J1065" t="s">
        <v>1902</v>
      </c>
      <c r="K1065" t="s">
        <v>3285</v>
      </c>
      <c r="L1065" t="s">
        <v>1901</v>
      </c>
      <c r="M1065">
        <v>1</v>
      </c>
      <c r="N1065"/>
      <c r="O1065" t="s">
        <v>3434</v>
      </c>
      <c r="P1065" s="31" t="str">
        <f>HYPERLINK("https://b2b.kobi.pl/pl/product/13561,modul-zasilacza-wodoodporny-24v-60w-2-50a-ip67?currency=PLN")</f>
        <v>https://b2b.kobi.pl/pl/product/13561,modul-zasilacza-wodoodporny-24v-60w-2-50a-ip67?currency=PLN</v>
      </c>
      <c r="Q1065" t="s">
        <v>15</v>
      </c>
      <c r="R1065"/>
      <c r="S1065" t="s">
        <v>2676</v>
      </c>
      <c r="T1065"/>
      <c r="U1065">
        <v>0.25</v>
      </c>
      <c r="V1065">
        <v>0.26</v>
      </c>
      <c r="W1065">
        <v>16.5</v>
      </c>
      <c r="X1065">
        <v>6.8</v>
      </c>
      <c r="Y1065">
        <v>2.2000000000000002</v>
      </c>
    </row>
    <row r="1066" spans="1:25" ht="60" customHeight="1" x14ac:dyDescent="0.25">
      <c r="A1066"/>
      <c r="B1066" t="s">
        <v>646</v>
      </c>
      <c r="C1066" t="s">
        <v>6</v>
      </c>
      <c r="D1066" t="s">
        <v>643</v>
      </c>
      <c r="E1066" t="s">
        <v>2602</v>
      </c>
      <c r="F1066" t="s">
        <v>2092</v>
      </c>
      <c r="G1066" t="s">
        <v>645</v>
      </c>
      <c r="H1066" s="30">
        <v>186.5</v>
      </c>
      <c r="I1066" s="38">
        <f>H1066*(1-IFERROR(VLOOKUP(G1066,Rabat!$D$10:$E$41,2,FALSE),0))</f>
        <v>186.5</v>
      </c>
      <c r="J1066" t="s">
        <v>1902</v>
      </c>
      <c r="K1066" t="s">
        <v>2184</v>
      </c>
      <c r="L1066" t="s">
        <v>1901</v>
      </c>
      <c r="M1066">
        <v>1</v>
      </c>
      <c r="N1066"/>
      <c r="O1066" t="s">
        <v>3434</v>
      </c>
      <c r="P1066" s="31" t="str">
        <f>HYPERLINK("https://b2b.kobi.pl/pl/product/12813,modul-zasilacza-wodoodporny-24v-100w-4-17a?currency=PLN")</f>
        <v>https://b2b.kobi.pl/pl/product/12813,modul-zasilacza-wodoodporny-24v-100w-4-17a?currency=PLN</v>
      </c>
      <c r="Q1066" t="s">
        <v>15</v>
      </c>
      <c r="R1066"/>
      <c r="S1066" t="s">
        <v>2676</v>
      </c>
      <c r="T1066"/>
      <c r="U1066">
        <v>0.35</v>
      </c>
      <c r="V1066">
        <v>0.37</v>
      </c>
      <c r="W1066">
        <v>24</v>
      </c>
      <c r="X1066">
        <v>7</v>
      </c>
      <c r="Y1066">
        <v>2.1</v>
      </c>
    </row>
    <row r="1067" spans="1:25" ht="60" customHeight="1" x14ac:dyDescent="0.25">
      <c r="A1067"/>
      <c r="B1067" t="s">
        <v>646</v>
      </c>
      <c r="C1067" t="s">
        <v>6</v>
      </c>
      <c r="D1067" t="s">
        <v>643</v>
      </c>
      <c r="E1067" t="s">
        <v>2080</v>
      </c>
      <c r="F1067" t="s">
        <v>3276</v>
      </c>
      <c r="G1067" t="s">
        <v>645</v>
      </c>
      <c r="H1067" s="30">
        <v>96.12</v>
      </c>
      <c r="I1067" s="38">
        <f>H1067*(1-IFERROR(VLOOKUP(G1067,Rabat!$D$10:$E$41,2,FALSE),0))</f>
        <v>96.12</v>
      </c>
      <c r="J1067" t="s">
        <v>1902</v>
      </c>
      <c r="K1067" t="s">
        <v>3286</v>
      </c>
      <c r="L1067" t="s">
        <v>1901</v>
      </c>
      <c r="M1067">
        <v>1</v>
      </c>
      <c r="N1067"/>
      <c r="O1067" t="s">
        <v>3434</v>
      </c>
      <c r="P1067" s="31" t="str">
        <f>HYPERLINK("https://b2b.kobi.pl/pl/product/13560,modul-zasilacza-montazowy-24v-100w-4-16a?currency=PLN")</f>
        <v>https://b2b.kobi.pl/pl/product/13560,modul-zasilacza-montazowy-24v-100w-4-16a?currency=PLN</v>
      </c>
      <c r="Q1067" t="s">
        <v>15</v>
      </c>
      <c r="R1067"/>
      <c r="S1067" t="s">
        <v>2676</v>
      </c>
      <c r="T1067"/>
      <c r="U1067">
        <v>0.19</v>
      </c>
      <c r="V1067">
        <v>0.21</v>
      </c>
      <c r="W1067">
        <v>11.5</v>
      </c>
      <c r="X1067">
        <v>8.5</v>
      </c>
      <c r="Y1067">
        <v>3.5</v>
      </c>
    </row>
    <row r="1068" spans="1:25" ht="60" customHeight="1" x14ac:dyDescent="0.25">
      <c r="A1068"/>
      <c r="B1068" t="s">
        <v>646</v>
      </c>
      <c r="C1068" t="s">
        <v>6</v>
      </c>
      <c r="D1068" t="s">
        <v>643</v>
      </c>
      <c r="E1068" t="s">
        <v>2603</v>
      </c>
      <c r="F1068" t="s">
        <v>2093</v>
      </c>
      <c r="G1068" t="s">
        <v>645</v>
      </c>
      <c r="H1068" s="30">
        <v>298.83</v>
      </c>
      <c r="I1068" s="38">
        <f>H1068*(1-IFERROR(VLOOKUP(G1068,Rabat!$D$10:$E$41,2,FALSE),0))</f>
        <v>298.83</v>
      </c>
      <c r="J1068" t="s">
        <v>1902</v>
      </c>
      <c r="K1068" t="s">
        <v>2185</v>
      </c>
      <c r="L1068" t="s">
        <v>1901</v>
      </c>
      <c r="M1068">
        <v>1</v>
      </c>
      <c r="N1068"/>
      <c r="O1068" t="s">
        <v>3434</v>
      </c>
      <c r="P1068" s="31" t="str">
        <f>HYPERLINK("https://b2b.kobi.pl/pl/product/12814,modul-zasilacza-wodoodporny-24v-150w-6-25a?currency=PLN")</f>
        <v>https://b2b.kobi.pl/pl/product/12814,modul-zasilacza-wodoodporny-24v-150w-6-25a?currency=PLN</v>
      </c>
      <c r="Q1068" t="s">
        <v>15</v>
      </c>
      <c r="R1068"/>
      <c r="S1068" t="s">
        <v>2676</v>
      </c>
      <c r="T1068"/>
      <c r="U1068">
        <v>0.61</v>
      </c>
      <c r="V1068">
        <v>0.64</v>
      </c>
      <c r="W1068">
        <v>26</v>
      </c>
      <c r="X1068">
        <v>8.6999999999999993</v>
      </c>
      <c r="Y1068">
        <v>3</v>
      </c>
    </row>
    <row r="1069" spans="1:25" ht="60" customHeight="1" x14ac:dyDescent="0.25">
      <c r="A1069"/>
      <c r="B1069" t="s">
        <v>646</v>
      </c>
      <c r="C1069" t="s">
        <v>6</v>
      </c>
      <c r="D1069" t="s">
        <v>643</v>
      </c>
      <c r="E1069" t="s">
        <v>2604</v>
      </c>
      <c r="F1069" t="s">
        <v>2094</v>
      </c>
      <c r="G1069" t="s">
        <v>645</v>
      </c>
      <c r="H1069" s="30">
        <v>352.75</v>
      </c>
      <c r="I1069" s="38">
        <f>H1069*(1-IFERROR(VLOOKUP(G1069,Rabat!$D$10:$E$41,2,FALSE),0))</f>
        <v>352.75</v>
      </c>
      <c r="J1069" t="s">
        <v>1902</v>
      </c>
      <c r="K1069" t="s">
        <v>2186</v>
      </c>
      <c r="L1069" t="s">
        <v>1901</v>
      </c>
      <c r="M1069">
        <v>1</v>
      </c>
      <c r="N1069"/>
      <c r="O1069" t="s">
        <v>3434</v>
      </c>
      <c r="P1069" s="31" t="str">
        <f>HYPERLINK("https://b2b.kobi.pl/pl/product/12815,modul-zasilacza-wodoodporny-24v-200w-8-30a?currency=PLN")</f>
        <v>https://b2b.kobi.pl/pl/product/12815,modul-zasilacza-wodoodporny-24v-200w-8-30a?currency=PLN</v>
      </c>
      <c r="Q1069" t="s">
        <v>15</v>
      </c>
      <c r="R1069"/>
      <c r="S1069" t="s">
        <v>2676</v>
      </c>
      <c r="T1069"/>
      <c r="U1069">
        <v>0.75</v>
      </c>
      <c r="V1069">
        <v>0.78</v>
      </c>
      <c r="W1069">
        <v>26</v>
      </c>
      <c r="X1069">
        <v>9</v>
      </c>
      <c r="Y1069">
        <v>3.1</v>
      </c>
    </row>
    <row r="1070" spans="1:25" ht="60" customHeight="1" x14ac:dyDescent="0.25">
      <c r="A1070"/>
      <c r="B1070" t="s">
        <v>646</v>
      </c>
      <c r="C1070" t="s">
        <v>6</v>
      </c>
      <c r="D1070" t="s">
        <v>643</v>
      </c>
      <c r="E1070" t="s">
        <v>2095</v>
      </c>
      <c r="F1070" t="s">
        <v>2096</v>
      </c>
      <c r="G1070" t="s">
        <v>645</v>
      </c>
      <c r="H1070" s="30">
        <v>48.27</v>
      </c>
      <c r="I1070" s="38">
        <f>H1070*(1-IFERROR(VLOOKUP(G1070,Rabat!$D$10:$E$41,2,FALSE),0))</f>
        <v>48.27</v>
      </c>
      <c r="J1070" t="s">
        <v>1902</v>
      </c>
      <c r="K1070" t="s">
        <v>2187</v>
      </c>
      <c r="L1070" t="s">
        <v>1901</v>
      </c>
      <c r="M1070">
        <v>1</v>
      </c>
      <c r="N1070"/>
      <c r="O1070" t="s">
        <v>3434</v>
      </c>
      <c r="P1070" s="31" t="str">
        <f>HYPERLINK("https://b2b.kobi.pl/pl/product/12816,zasilacz-desktop-24v-24w-1-00a-wtyk-dc-2-1x5-5?currency=PLN")</f>
        <v>https://b2b.kobi.pl/pl/product/12816,zasilacz-desktop-24v-24w-1-00a-wtyk-dc-2-1x5-5?currency=PLN</v>
      </c>
      <c r="Q1070" t="s">
        <v>15</v>
      </c>
      <c r="R1070"/>
      <c r="S1070" t="s">
        <v>2676</v>
      </c>
      <c r="T1070"/>
      <c r="U1070">
        <v>0.17</v>
      </c>
      <c r="V1070">
        <v>0.19</v>
      </c>
      <c r="W1070">
        <v>12</v>
      </c>
      <c r="X1070">
        <v>6</v>
      </c>
      <c r="Y1070">
        <v>7.5</v>
      </c>
    </row>
    <row r="1071" spans="1:25" ht="60" customHeight="1" x14ac:dyDescent="0.25">
      <c r="A1071"/>
      <c r="B1071" t="s">
        <v>646</v>
      </c>
      <c r="C1071" t="s">
        <v>6</v>
      </c>
      <c r="D1071" t="s">
        <v>643</v>
      </c>
      <c r="E1071" t="s">
        <v>2097</v>
      </c>
      <c r="F1071" t="s">
        <v>2098</v>
      </c>
      <c r="G1071" t="s">
        <v>645</v>
      </c>
      <c r="H1071" s="30">
        <v>81.61</v>
      </c>
      <c r="I1071" s="38">
        <f>H1071*(1-IFERROR(VLOOKUP(G1071,Rabat!$D$10:$E$41,2,FALSE),0))</f>
        <v>81.61</v>
      </c>
      <c r="J1071" t="s">
        <v>1902</v>
      </c>
      <c r="K1071" t="s">
        <v>2188</v>
      </c>
      <c r="L1071" t="s">
        <v>1901</v>
      </c>
      <c r="M1071">
        <v>1</v>
      </c>
      <c r="N1071"/>
      <c r="O1071" t="s">
        <v>3434</v>
      </c>
      <c r="P1071" s="31" t="str">
        <f>HYPERLINK("https://b2b.kobi.pl/pl/product/12818,zasilacz-desktop-24v-60w-2-50a-wtyk-dc-2-1x5-5?currency=PLN")</f>
        <v>https://b2b.kobi.pl/pl/product/12818,zasilacz-desktop-24v-60w-2-50a-wtyk-dc-2-1x5-5?currency=PLN</v>
      </c>
      <c r="Q1071" t="s">
        <v>15</v>
      </c>
      <c r="R1071"/>
      <c r="S1071" t="s">
        <v>2676</v>
      </c>
      <c r="T1071"/>
      <c r="U1071">
        <v>0.24</v>
      </c>
      <c r="V1071">
        <v>0.26</v>
      </c>
      <c r="W1071">
        <v>15</v>
      </c>
      <c r="X1071">
        <v>7</v>
      </c>
      <c r="Y1071">
        <v>6.5</v>
      </c>
    </row>
    <row r="1072" spans="1:25" ht="60" customHeight="1" x14ac:dyDescent="0.25">
      <c r="A1072"/>
      <c r="B1072" t="s">
        <v>646</v>
      </c>
      <c r="C1072" t="s">
        <v>6</v>
      </c>
      <c r="D1072" t="s">
        <v>643</v>
      </c>
      <c r="E1072" t="s">
        <v>2100</v>
      </c>
      <c r="F1072" t="s">
        <v>2101</v>
      </c>
      <c r="G1072" t="s">
        <v>645</v>
      </c>
      <c r="H1072" s="30">
        <v>162.12</v>
      </c>
      <c r="I1072" s="38">
        <f>H1072*(1-IFERROR(VLOOKUP(G1072,Rabat!$D$10:$E$41,2,FALSE),0))</f>
        <v>162.12</v>
      </c>
      <c r="J1072" t="s">
        <v>1902</v>
      </c>
      <c r="K1072" t="s">
        <v>2189</v>
      </c>
      <c r="L1072" t="s">
        <v>1901</v>
      </c>
      <c r="M1072">
        <v>1</v>
      </c>
      <c r="N1072"/>
      <c r="O1072" t="s">
        <v>3434</v>
      </c>
      <c r="P1072" s="31" t="str">
        <f>HYPERLINK("https://b2b.kobi.pl/pl/product/12822,zasilacz-desktop-24v-120w-5-00a-wtyk-dc-2-1x5-5?currency=PLN")</f>
        <v>https://b2b.kobi.pl/pl/product/12822,zasilacz-desktop-24v-120w-5-00a-wtyk-dc-2-1x5-5?currency=PLN</v>
      </c>
      <c r="Q1072" t="s">
        <v>15</v>
      </c>
      <c r="R1072"/>
      <c r="S1072" t="s">
        <v>2676</v>
      </c>
      <c r="T1072"/>
      <c r="U1072">
        <v>0.35</v>
      </c>
      <c r="V1072">
        <v>0.37</v>
      </c>
      <c r="W1072">
        <v>15.5</v>
      </c>
      <c r="X1072">
        <v>7</v>
      </c>
      <c r="Y1072">
        <v>6.5</v>
      </c>
    </row>
    <row r="1073" spans="1:25" ht="60" customHeight="1" x14ac:dyDescent="0.25">
      <c r="A1073"/>
      <c r="B1073" t="s">
        <v>646</v>
      </c>
      <c r="C1073" t="s">
        <v>6</v>
      </c>
      <c r="D1073" t="s">
        <v>643</v>
      </c>
      <c r="E1073" t="s">
        <v>2669</v>
      </c>
      <c r="F1073" t="s">
        <v>2670</v>
      </c>
      <c r="G1073" t="s">
        <v>645</v>
      </c>
      <c r="H1073" s="30">
        <v>155</v>
      </c>
      <c r="I1073" s="38">
        <f>H1073*(1-IFERROR(VLOOKUP(G1073,Rabat!$D$10:$E$41,2,FALSE),0))</f>
        <v>155</v>
      </c>
      <c r="J1073" t="s">
        <v>1902</v>
      </c>
      <c r="K1073" t="s">
        <v>2735</v>
      </c>
      <c r="L1073" t="s">
        <v>1901</v>
      </c>
      <c r="M1073">
        <v>1</v>
      </c>
      <c r="N1073"/>
      <c r="O1073" t="s">
        <v>3434</v>
      </c>
      <c r="P1073" s="31" t="str">
        <f>HYPERLINK("https://b2b.kobi.pl/pl/product/13054,modul-zasilacza-montazowy-12v-150w-12-5a?currency=PLN")</f>
        <v>https://b2b.kobi.pl/pl/product/13054,modul-zasilacza-montazowy-12v-150w-12-5a?currency=PLN</v>
      </c>
      <c r="Q1073" t="s">
        <v>15</v>
      </c>
      <c r="R1073"/>
      <c r="S1073" t="s">
        <v>2676</v>
      </c>
      <c r="T1073"/>
      <c r="U1073">
        <v>0.30199999999999999</v>
      </c>
      <c r="V1073">
        <v>0.33100000000000002</v>
      </c>
      <c r="W1073">
        <v>13.9</v>
      </c>
      <c r="X1073">
        <v>10.4</v>
      </c>
      <c r="Y1073">
        <v>4.4000000000000004</v>
      </c>
    </row>
    <row r="1074" spans="1:25" ht="60" customHeight="1" x14ac:dyDescent="0.25">
      <c r="A1074"/>
      <c r="B1074" t="s">
        <v>646</v>
      </c>
      <c r="C1074" t="s">
        <v>6</v>
      </c>
      <c r="D1074" t="s">
        <v>643</v>
      </c>
      <c r="E1074" t="s">
        <v>2671</v>
      </c>
      <c r="F1074" t="s">
        <v>2672</v>
      </c>
      <c r="G1074" t="s">
        <v>645</v>
      </c>
      <c r="H1074" s="30">
        <v>270</v>
      </c>
      <c r="I1074" s="38">
        <f>H1074*(1-IFERROR(VLOOKUP(G1074,Rabat!$D$10:$E$41,2,FALSE),0))</f>
        <v>270</v>
      </c>
      <c r="J1074" t="s">
        <v>1902</v>
      </c>
      <c r="K1074" t="s">
        <v>2736</v>
      </c>
      <c r="L1074" t="s">
        <v>1901</v>
      </c>
      <c r="M1074">
        <v>1</v>
      </c>
      <c r="N1074"/>
      <c r="O1074" t="s">
        <v>3434</v>
      </c>
      <c r="P1074" s="31" t="str">
        <f>HYPERLINK("https://b2b.kobi.pl/pl/product/13055,modul-zasilacza-wodoodporny-12v-120w-10-0a-ip67?currency=PLN")</f>
        <v>https://b2b.kobi.pl/pl/product/13055,modul-zasilacza-wodoodporny-12v-120w-10-0a-ip67?currency=PLN</v>
      </c>
      <c r="Q1074" t="s">
        <v>15</v>
      </c>
      <c r="R1074"/>
      <c r="S1074" t="s">
        <v>2676</v>
      </c>
      <c r="T1074"/>
      <c r="U1074">
        <v>0.83399999999999996</v>
      </c>
      <c r="V1074">
        <v>1.2170000000000001</v>
      </c>
      <c r="W1074">
        <v>6</v>
      </c>
      <c r="X1074">
        <v>25</v>
      </c>
      <c r="Y1074">
        <v>8</v>
      </c>
    </row>
    <row r="1075" spans="1:25" ht="60" customHeight="1" x14ac:dyDescent="0.25">
      <c r="A1075"/>
      <c r="B1075" t="s">
        <v>646</v>
      </c>
      <c r="C1075" t="s">
        <v>6</v>
      </c>
      <c r="D1075" t="s">
        <v>643</v>
      </c>
      <c r="E1075" t="s">
        <v>2602</v>
      </c>
      <c r="F1075" t="s">
        <v>3205</v>
      </c>
      <c r="G1075" t="s">
        <v>645</v>
      </c>
      <c r="H1075" s="30">
        <v>186.5</v>
      </c>
      <c r="I1075" s="38">
        <f>H1075*(1-IFERROR(VLOOKUP(G1075,Rabat!$D$10:$E$41,2,FALSE),0))</f>
        <v>186.5</v>
      </c>
      <c r="J1075" t="s">
        <v>1902</v>
      </c>
      <c r="K1075" t="s">
        <v>3232</v>
      </c>
      <c r="L1075" t="s">
        <v>1901</v>
      </c>
      <c r="M1075">
        <v>1</v>
      </c>
      <c r="N1075"/>
      <c r="O1075" t="s">
        <v>3434</v>
      </c>
      <c r="P1075" s="31" t="str">
        <f>HYPERLINK("https://b2b.kobi.pl/pl/product/13391,modul-zasilacza-wodoodporny-24v-100w-4-17a-ip67?currency=PLN")</f>
        <v>https://b2b.kobi.pl/pl/product/13391,modul-zasilacza-wodoodporny-24v-100w-4-17a-ip67?currency=PLN</v>
      </c>
      <c r="Q1075" t="s">
        <v>15</v>
      </c>
      <c r="R1075"/>
      <c r="S1075" t="s">
        <v>2676</v>
      </c>
      <c r="T1075"/>
      <c r="U1075">
        <v>0.35</v>
      </c>
      <c r="V1075">
        <v>0.37</v>
      </c>
      <c r="W1075">
        <v>24</v>
      </c>
      <c r="X1075">
        <v>7</v>
      </c>
      <c r="Y1075">
        <v>2.1</v>
      </c>
    </row>
    <row r="1076" spans="1:25" ht="60" customHeight="1" x14ac:dyDescent="0.25">
      <c r="A1076"/>
      <c r="B1076" t="s">
        <v>646</v>
      </c>
      <c r="C1076" t="s">
        <v>6</v>
      </c>
      <c r="D1076" t="s">
        <v>643</v>
      </c>
      <c r="E1076" t="s">
        <v>3324</v>
      </c>
      <c r="F1076" t="s">
        <v>3325</v>
      </c>
      <c r="G1076" t="s">
        <v>645</v>
      </c>
      <c r="H1076" s="30">
        <v>97.05</v>
      </c>
      <c r="I1076" s="38">
        <f>H1076*(1-IFERROR(VLOOKUP(G1076,Rabat!$D$10:$E$41,2,FALSE),0))</f>
        <v>97.05</v>
      </c>
      <c r="J1076" t="s">
        <v>1902</v>
      </c>
      <c r="K1076" t="s">
        <v>3355</v>
      </c>
      <c r="L1076" t="s">
        <v>1901</v>
      </c>
      <c r="M1076">
        <v>1</v>
      </c>
      <c r="N1076"/>
      <c r="O1076" t="s">
        <v>3434</v>
      </c>
      <c r="P1076" s="31" t="str">
        <f>HYPERLINK("https://b2b.kobi.pl/pl/product/13030,modul-zasilacza-puszkowy-12v-45w-3-75a-ip67?currency=PLN")</f>
        <v>https://b2b.kobi.pl/pl/product/13030,modul-zasilacza-puszkowy-12v-45w-3-75a-ip67?currency=PLN</v>
      </c>
      <c r="Q1076" t="s">
        <v>15</v>
      </c>
      <c r="R1076"/>
      <c r="S1076" t="s">
        <v>2676</v>
      </c>
      <c r="T1076"/>
      <c r="U1076">
        <v>0.08</v>
      </c>
      <c r="V1076">
        <v>0.09</v>
      </c>
      <c r="W1076">
        <v>0</v>
      </c>
      <c r="X1076">
        <v>0</v>
      </c>
      <c r="Y1076">
        <v>0</v>
      </c>
    </row>
    <row r="1077" spans="1:25" ht="60" customHeight="1" x14ac:dyDescent="0.25">
      <c r="A1077"/>
      <c r="B1077" t="s">
        <v>646</v>
      </c>
      <c r="C1077" t="s">
        <v>6</v>
      </c>
      <c r="D1077" t="s">
        <v>643</v>
      </c>
      <c r="E1077" t="s">
        <v>3326</v>
      </c>
      <c r="F1077" t="s">
        <v>3327</v>
      </c>
      <c r="G1077" t="s">
        <v>645</v>
      </c>
      <c r="H1077" s="30">
        <v>115.82</v>
      </c>
      <c r="I1077" s="38">
        <f>H1077*(1-IFERROR(VLOOKUP(G1077,Rabat!$D$10:$E$41,2,FALSE),0))</f>
        <v>115.82</v>
      </c>
      <c r="J1077" t="s">
        <v>1902</v>
      </c>
      <c r="K1077" t="s">
        <v>3356</v>
      </c>
      <c r="L1077" t="s">
        <v>1901</v>
      </c>
      <c r="M1077">
        <v>1</v>
      </c>
      <c r="N1077"/>
      <c r="O1077" t="s">
        <v>3434</v>
      </c>
      <c r="P1077" s="31" t="str">
        <f>HYPERLINK("https://b2b.kobi.pl/pl/product/13032,modul-zasilacza-puszkowy-12v-60w-5-00a-ip67?currency=PLN")</f>
        <v>https://b2b.kobi.pl/pl/product/13032,modul-zasilacza-puszkowy-12v-60w-5-00a-ip67?currency=PLN</v>
      </c>
      <c r="Q1077" t="s">
        <v>15</v>
      </c>
      <c r="R1077"/>
      <c r="S1077" t="s">
        <v>2676</v>
      </c>
      <c r="T1077"/>
      <c r="U1077">
        <v>0.13200000000000001</v>
      </c>
      <c r="V1077">
        <v>0.14199999999999999</v>
      </c>
      <c r="W1077">
        <v>0</v>
      </c>
      <c r="X1077">
        <v>0</v>
      </c>
      <c r="Y1077">
        <v>0</v>
      </c>
    </row>
    <row r="1078" spans="1:25" ht="60" customHeight="1" x14ac:dyDescent="0.25">
      <c r="A1078"/>
      <c r="B1078" t="s">
        <v>646</v>
      </c>
      <c r="C1078" t="s">
        <v>6</v>
      </c>
      <c r="D1078" t="s">
        <v>643</v>
      </c>
      <c r="E1078" t="s">
        <v>3328</v>
      </c>
      <c r="F1078" t="s">
        <v>3329</v>
      </c>
      <c r="G1078" t="s">
        <v>645</v>
      </c>
      <c r="H1078" s="30">
        <v>115.82</v>
      </c>
      <c r="I1078" s="38">
        <f>H1078*(1-IFERROR(VLOOKUP(G1078,Rabat!$D$10:$E$41,2,FALSE),0))</f>
        <v>115.82</v>
      </c>
      <c r="J1078" t="s">
        <v>1902</v>
      </c>
      <c r="K1078" t="s">
        <v>3357</v>
      </c>
      <c r="L1078" t="s">
        <v>1901</v>
      </c>
      <c r="M1078">
        <v>1</v>
      </c>
      <c r="N1078"/>
      <c r="O1078" t="s">
        <v>3434</v>
      </c>
      <c r="P1078" s="31" t="str">
        <f>HYPERLINK("https://b2b.kobi.pl/pl/product/13036,modul-zasilacza-puszkowy-24v-60w-2-50a-ip67?currency=PLN")</f>
        <v>https://b2b.kobi.pl/pl/product/13036,modul-zasilacza-puszkowy-24v-60w-2-50a-ip67?currency=PLN</v>
      </c>
      <c r="Q1078" t="s">
        <v>15</v>
      </c>
      <c r="R1078"/>
      <c r="S1078" t="s">
        <v>2676</v>
      </c>
      <c r="T1078"/>
      <c r="U1078">
        <v>0.13200000000000001</v>
      </c>
      <c r="V1078">
        <v>0.14199999999999999</v>
      </c>
      <c r="W1078">
        <v>0</v>
      </c>
      <c r="X1078">
        <v>0</v>
      </c>
      <c r="Y1078">
        <v>0</v>
      </c>
    </row>
    <row r="1079" spans="1:25" ht="60" customHeight="1" x14ac:dyDescent="0.25">
      <c r="A1079"/>
      <c r="B1079" t="s">
        <v>646</v>
      </c>
      <c r="C1079" t="s">
        <v>6</v>
      </c>
      <c r="D1079" t="s">
        <v>643</v>
      </c>
      <c r="E1079" t="s">
        <v>3330</v>
      </c>
      <c r="F1079" t="s">
        <v>3331</v>
      </c>
      <c r="G1079" t="s">
        <v>645</v>
      </c>
      <c r="H1079" s="30">
        <v>65.73</v>
      </c>
      <c r="I1079" s="38">
        <f>H1079*(1-IFERROR(VLOOKUP(G1079,Rabat!$D$10:$E$41,2,FALSE),0))</f>
        <v>65.73</v>
      </c>
      <c r="J1079" t="s">
        <v>1902</v>
      </c>
      <c r="K1079" t="s">
        <v>3358</v>
      </c>
      <c r="L1079" t="s">
        <v>1901</v>
      </c>
      <c r="M1079">
        <v>1</v>
      </c>
      <c r="N1079"/>
      <c r="O1079" t="s">
        <v>3434</v>
      </c>
      <c r="P1079" s="31" t="str">
        <f>HYPERLINK("https://b2b.kobi.pl/pl/product/13027,modul-zasilacza-puszkowy-12v-20w-1-67a-ip67?currency=PLN")</f>
        <v>https://b2b.kobi.pl/pl/product/13027,modul-zasilacza-puszkowy-12v-20w-1-67a-ip67?currency=PLN</v>
      </c>
      <c r="Q1079" t="s">
        <v>15</v>
      </c>
      <c r="R1079"/>
      <c r="S1079" t="s">
        <v>2676</v>
      </c>
      <c r="T1079"/>
      <c r="U1079">
        <v>0.11</v>
      </c>
      <c r="V1079">
        <v>0.12</v>
      </c>
      <c r="W1079">
        <v>0</v>
      </c>
      <c r="X1079">
        <v>0</v>
      </c>
      <c r="Y1079">
        <v>0</v>
      </c>
    </row>
    <row r="1080" spans="1:25" ht="60" customHeight="1" x14ac:dyDescent="0.25">
      <c r="A1080"/>
      <c r="B1080" t="s">
        <v>646</v>
      </c>
      <c r="C1080" t="s">
        <v>6</v>
      </c>
      <c r="D1080" t="s">
        <v>643</v>
      </c>
      <c r="E1080" t="s">
        <v>3332</v>
      </c>
      <c r="F1080" t="s">
        <v>3333</v>
      </c>
      <c r="G1080" t="s">
        <v>645</v>
      </c>
      <c r="H1080" s="30">
        <v>78.27</v>
      </c>
      <c r="I1080" s="38">
        <f>H1080*(1-IFERROR(VLOOKUP(G1080,Rabat!$D$10:$E$41,2,FALSE),0))</f>
        <v>78.27</v>
      </c>
      <c r="J1080" t="s">
        <v>1902</v>
      </c>
      <c r="K1080" t="s">
        <v>3359</v>
      </c>
      <c r="L1080" t="s">
        <v>1901</v>
      </c>
      <c r="M1080">
        <v>1</v>
      </c>
      <c r="N1080"/>
      <c r="O1080" t="s">
        <v>3434</v>
      </c>
      <c r="P1080" s="31" t="str">
        <f>HYPERLINK("https://b2b.kobi.pl/pl/product/13028,modul-zasilacza-puszkowy-12v-30w-2-50a-ip67?currency=PLN")</f>
        <v>https://b2b.kobi.pl/pl/product/13028,modul-zasilacza-puszkowy-12v-30w-2-50a-ip67?currency=PLN</v>
      </c>
      <c r="Q1080" t="s">
        <v>15</v>
      </c>
      <c r="R1080"/>
      <c r="S1080" t="s">
        <v>2676</v>
      </c>
      <c r="T1080"/>
      <c r="U1080">
        <v>0.125</v>
      </c>
      <c r="V1080">
        <v>0.13500000000000001</v>
      </c>
      <c r="W1080">
        <v>0</v>
      </c>
      <c r="X1080">
        <v>0</v>
      </c>
      <c r="Y1080">
        <v>0</v>
      </c>
    </row>
    <row r="1081" spans="1:25" ht="60" customHeight="1" x14ac:dyDescent="0.25">
      <c r="A1081"/>
      <c r="B1081" t="s">
        <v>646</v>
      </c>
      <c r="C1081" t="s">
        <v>6</v>
      </c>
      <c r="D1081" t="s">
        <v>643</v>
      </c>
      <c r="E1081" t="s">
        <v>3334</v>
      </c>
      <c r="F1081" t="s">
        <v>3335</v>
      </c>
      <c r="G1081" t="s">
        <v>645</v>
      </c>
      <c r="H1081" s="30">
        <v>65.73</v>
      </c>
      <c r="I1081" s="38">
        <f>H1081*(1-IFERROR(VLOOKUP(G1081,Rabat!$D$10:$E$41,2,FALSE),0))</f>
        <v>65.73</v>
      </c>
      <c r="J1081" t="s">
        <v>1902</v>
      </c>
      <c r="K1081" t="s">
        <v>3360</v>
      </c>
      <c r="L1081" t="s">
        <v>1901</v>
      </c>
      <c r="M1081">
        <v>1</v>
      </c>
      <c r="N1081"/>
      <c r="O1081" t="s">
        <v>3434</v>
      </c>
      <c r="P1081" s="31" t="str">
        <f>HYPERLINK("https://b2b.kobi.pl/pl/product/13033,modul-zasilacza-puszkowy-24v-20w-0-83a-ip67?currency=PLN")</f>
        <v>https://b2b.kobi.pl/pl/product/13033,modul-zasilacza-puszkowy-24v-20w-0-83a-ip67?currency=PLN</v>
      </c>
      <c r="Q1081" t="s">
        <v>15</v>
      </c>
      <c r="R1081"/>
      <c r="S1081" t="s">
        <v>2676</v>
      </c>
      <c r="T1081"/>
      <c r="U1081">
        <v>0.11</v>
      </c>
      <c r="V1081">
        <v>0.12</v>
      </c>
      <c r="W1081">
        <v>0</v>
      </c>
      <c r="X1081">
        <v>0</v>
      </c>
      <c r="Y1081">
        <v>0</v>
      </c>
    </row>
    <row r="1082" spans="1:25" ht="60" customHeight="1" x14ac:dyDescent="0.25">
      <c r="A1082"/>
      <c r="B1082" t="s">
        <v>646</v>
      </c>
      <c r="C1082" t="s">
        <v>6</v>
      </c>
      <c r="D1082" t="s">
        <v>643</v>
      </c>
      <c r="E1082" t="s">
        <v>3336</v>
      </c>
      <c r="F1082" t="s">
        <v>3337</v>
      </c>
      <c r="G1082" t="s">
        <v>645</v>
      </c>
      <c r="H1082" s="30">
        <v>78.27</v>
      </c>
      <c r="I1082" s="38">
        <f>H1082*(1-IFERROR(VLOOKUP(G1082,Rabat!$D$10:$E$41,2,FALSE),0))</f>
        <v>78.27</v>
      </c>
      <c r="J1082" t="s">
        <v>1902</v>
      </c>
      <c r="K1082" t="s">
        <v>3361</v>
      </c>
      <c r="L1082" t="s">
        <v>1901</v>
      </c>
      <c r="M1082">
        <v>1</v>
      </c>
      <c r="N1082"/>
      <c r="O1082" t="s">
        <v>3434</v>
      </c>
      <c r="P1082" s="31" t="str">
        <f>HYPERLINK("https://b2b.kobi.pl/pl/product/13034,modul-zasilacza-puszkowy-24v-30w-1-25a-ip67?currency=PLN")</f>
        <v>https://b2b.kobi.pl/pl/product/13034,modul-zasilacza-puszkowy-24v-30w-1-25a-ip67?currency=PLN</v>
      </c>
      <c r="Q1082" t="s">
        <v>15</v>
      </c>
      <c r="R1082"/>
      <c r="S1082" t="s">
        <v>2676</v>
      </c>
      <c r="T1082"/>
      <c r="U1082">
        <v>0.125</v>
      </c>
      <c r="V1082">
        <v>0.13500000000000001</v>
      </c>
      <c r="W1082">
        <v>0</v>
      </c>
      <c r="X1082">
        <v>0</v>
      </c>
      <c r="Y1082">
        <v>0</v>
      </c>
    </row>
    <row r="1083" spans="1:25" ht="60" customHeight="1" x14ac:dyDescent="0.25">
      <c r="A1083"/>
      <c r="B1083" t="s">
        <v>646</v>
      </c>
      <c r="C1083" t="s">
        <v>6</v>
      </c>
      <c r="D1083" t="s">
        <v>643</v>
      </c>
      <c r="E1083" t="s">
        <v>3338</v>
      </c>
      <c r="F1083" t="s">
        <v>3339</v>
      </c>
      <c r="G1083" t="s">
        <v>645</v>
      </c>
      <c r="H1083" s="30">
        <v>97.05</v>
      </c>
      <c r="I1083" s="38">
        <f>H1083*(1-IFERROR(VLOOKUP(G1083,Rabat!$D$10:$E$41,2,FALSE),0))</f>
        <v>97.05</v>
      </c>
      <c r="J1083" t="s">
        <v>1902</v>
      </c>
      <c r="K1083" t="s">
        <v>3362</v>
      </c>
      <c r="L1083" t="s">
        <v>1901</v>
      </c>
      <c r="M1083">
        <v>1</v>
      </c>
      <c r="N1083"/>
      <c r="O1083" t="s">
        <v>3434</v>
      </c>
      <c r="P1083" s="31" t="str">
        <f>HYPERLINK("https://b2b.kobi.pl/pl/product/13035,modul-zasilacza-puszkowy-24v-45w-1-88a-ip67?currency=PLN")</f>
        <v>https://b2b.kobi.pl/pl/product/13035,modul-zasilacza-puszkowy-24v-45w-1-88a-ip67?currency=PLN</v>
      </c>
      <c r="Q1083" t="s">
        <v>15</v>
      </c>
      <c r="R1083"/>
      <c r="S1083" t="s">
        <v>2676</v>
      </c>
      <c r="T1083"/>
      <c r="U1083">
        <v>0.08</v>
      </c>
      <c r="V1083">
        <v>0.09</v>
      </c>
      <c r="W1083">
        <v>0</v>
      </c>
      <c r="X1083">
        <v>0</v>
      </c>
      <c r="Y1083">
        <v>0</v>
      </c>
    </row>
    <row r="1084" spans="1:25" ht="60" customHeight="1" x14ac:dyDescent="0.25">
      <c r="A1084"/>
      <c r="B1084" t="s">
        <v>646</v>
      </c>
      <c r="C1084" t="s">
        <v>6</v>
      </c>
      <c r="D1084" t="s">
        <v>643</v>
      </c>
      <c r="E1084" t="s">
        <v>3340</v>
      </c>
      <c r="F1084" t="s">
        <v>3341</v>
      </c>
      <c r="G1084" t="s">
        <v>645</v>
      </c>
      <c r="H1084" s="30">
        <v>62</v>
      </c>
      <c r="I1084" s="38">
        <f>H1084*(1-IFERROR(VLOOKUP(G1084,Rabat!$D$10:$E$41,2,FALSE),0))</f>
        <v>62</v>
      </c>
      <c r="J1084" t="s">
        <v>1902</v>
      </c>
      <c r="K1084" t="s">
        <v>3363</v>
      </c>
      <c r="L1084" t="s">
        <v>1901</v>
      </c>
      <c r="M1084">
        <v>1</v>
      </c>
      <c r="N1084"/>
      <c r="O1084" t="s">
        <v>3434</v>
      </c>
      <c r="P1084" s="31" t="str">
        <f>HYPERLINK("https://b2b.kobi.pl/pl/product/10749,zasilacz-desktop-12v-48w-4-0a?currency=PLN")</f>
        <v>https://b2b.kobi.pl/pl/product/10749,zasilacz-desktop-12v-48w-4-0a?currency=PLN</v>
      </c>
      <c r="Q1084" t="s">
        <v>15</v>
      </c>
      <c r="R1084"/>
      <c r="S1084" t="s">
        <v>2676</v>
      </c>
      <c r="T1084"/>
      <c r="U1084">
        <v>0.25</v>
      </c>
      <c r="V1084">
        <v>0.25600000000000001</v>
      </c>
      <c r="W1084">
        <v>15</v>
      </c>
      <c r="X1084">
        <v>6</v>
      </c>
      <c r="Y1084">
        <v>6</v>
      </c>
    </row>
    <row r="1085" spans="1:25" ht="60" customHeight="1" x14ac:dyDescent="0.25">
      <c r="A1085"/>
      <c r="B1085" t="s">
        <v>646</v>
      </c>
      <c r="C1085" t="s">
        <v>6</v>
      </c>
      <c r="D1085" t="s">
        <v>643</v>
      </c>
      <c r="E1085" t="s">
        <v>2086</v>
      </c>
      <c r="F1085" t="s">
        <v>3342</v>
      </c>
      <c r="G1085" t="s">
        <v>645</v>
      </c>
      <c r="H1085" s="30">
        <v>178.12</v>
      </c>
      <c r="I1085" s="38">
        <f>H1085*(1-IFERROR(VLOOKUP(G1085,Rabat!$D$10:$E$41,2,FALSE),0))</f>
        <v>178.12</v>
      </c>
      <c r="J1085" t="s">
        <v>1902</v>
      </c>
      <c r="K1085" t="s">
        <v>3364</v>
      </c>
      <c r="L1085" t="s">
        <v>1901</v>
      </c>
      <c r="M1085">
        <v>1</v>
      </c>
      <c r="N1085"/>
      <c r="O1085" t="s">
        <v>3434</v>
      </c>
      <c r="P1085" s="31" t="str">
        <f>HYPERLINK("https://b2b.kobi.pl/pl/product/13600,modul-zasilacza-montazowy-24v-250w-10-40a?currency=PLN")</f>
        <v>https://b2b.kobi.pl/pl/product/13600,modul-zasilacza-montazowy-24v-250w-10-40a?currency=PLN</v>
      </c>
      <c r="Q1085" t="s">
        <v>15</v>
      </c>
      <c r="R1085"/>
      <c r="S1085" t="s">
        <v>2676</v>
      </c>
      <c r="T1085"/>
      <c r="U1085">
        <v>0.45</v>
      </c>
      <c r="V1085">
        <v>0.48</v>
      </c>
      <c r="W1085">
        <v>16.5</v>
      </c>
      <c r="X1085">
        <v>10.5</v>
      </c>
      <c r="Y1085">
        <v>4.7</v>
      </c>
    </row>
    <row r="1086" spans="1:25" ht="60" customHeight="1" x14ac:dyDescent="0.25">
      <c r="A1086"/>
      <c r="B1086" t="s">
        <v>646</v>
      </c>
      <c r="C1086" t="s">
        <v>6</v>
      </c>
      <c r="D1086" t="s">
        <v>643</v>
      </c>
      <c r="E1086" t="s">
        <v>2600</v>
      </c>
      <c r="F1086" t="s">
        <v>3343</v>
      </c>
      <c r="G1086" t="s">
        <v>645</v>
      </c>
      <c r="H1086" s="30">
        <v>68.16</v>
      </c>
      <c r="I1086" s="38">
        <f>H1086*(1-IFERROR(VLOOKUP(G1086,Rabat!$D$10:$E$41,2,FALSE),0))</f>
        <v>68.16</v>
      </c>
      <c r="J1086" t="s">
        <v>1902</v>
      </c>
      <c r="K1086" t="s">
        <v>3365</v>
      </c>
      <c r="L1086" t="s">
        <v>1901</v>
      </c>
      <c r="M1086">
        <v>1</v>
      </c>
      <c r="N1086"/>
      <c r="O1086" t="s">
        <v>3434</v>
      </c>
      <c r="P1086" s="31" t="str">
        <f>HYPERLINK("https://b2b.kobi.pl/pl/product/13601,modul-zasilacza-wodoodporny-24v-30w-1-25a-ip67?currency=PLN")</f>
        <v>https://b2b.kobi.pl/pl/product/13601,modul-zasilacza-wodoodporny-24v-30w-1-25a-ip67?currency=PLN</v>
      </c>
      <c r="Q1086" t="s">
        <v>15</v>
      </c>
      <c r="R1086"/>
      <c r="S1086" t="s">
        <v>2676</v>
      </c>
      <c r="T1086"/>
      <c r="U1086">
        <v>0.14000000000000001</v>
      </c>
      <c r="V1086">
        <v>0.15</v>
      </c>
      <c r="W1086">
        <v>15.5</v>
      </c>
      <c r="X1086">
        <v>4.0999999999999996</v>
      </c>
      <c r="Y1086">
        <v>2.7</v>
      </c>
    </row>
    <row r="1087" spans="1:25" ht="60" customHeight="1" x14ac:dyDescent="0.25">
      <c r="A1087"/>
      <c r="B1087" t="s">
        <v>646</v>
      </c>
      <c r="C1087" t="s">
        <v>6</v>
      </c>
      <c r="D1087" t="s">
        <v>643</v>
      </c>
      <c r="E1087" t="s">
        <v>2765</v>
      </c>
      <c r="F1087" t="s">
        <v>3344</v>
      </c>
      <c r="G1087" t="s">
        <v>645</v>
      </c>
      <c r="H1087" s="30">
        <v>52</v>
      </c>
      <c r="I1087" s="38">
        <f>H1087*(1-IFERROR(VLOOKUP(G1087,Rabat!$D$10:$E$41,2,FALSE),0))</f>
        <v>52</v>
      </c>
      <c r="J1087" t="s">
        <v>1902</v>
      </c>
      <c r="K1087" t="s">
        <v>3366</v>
      </c>
      <c r="L1087" t="s">
        <v>1901</v>
      </c>
      <c r="M1087">
        <v>1</v>
      </c>
      <c r="N1087"/>
      <c r="O1087" t="s">
        <v>3434</v>
      </c>
      <c r="P1087"/>
      <c r="Q1087" t="s">
        <v>15</v>
      </c>
      <c r="R1087"/>
      <c r="S1087" t="s">
        <v>2676</v>
      </c>
      <c r="T1087"/>
      <c r="U1087">
        <v>0.18</v>
      </c>
      <c r="V1087">
        <v>0.25</v>
      </c>
      <c r="W1087">
        <v>0</v>
      </c>
      <c r="X1087">
        <v>0</v>
      </c>
      <c r="Y1087">
        <v>0</v>
      </c>
    </row>
    <row r="1088" spans="1:25" ht="60" customHeight="1" x14ac:dyDescent="0.25">
      <c r="A1088"/>
      <c r="B1088" t="s">
        <v>646</v>
      </c>
      <c r="C1088" t="s">
        <v>6</v>
      </c>
      <c r="D1088" t="s">
        <v>643</v>
      </c>
      <c r="E1088" t="s">
        <v>2078</v>
      </c>
      <c r="F1088" t="s">
        <v>3391</v>
      </c>
      <c r="G1088" t="s">
        <v>645</v>
      </c>
      <c r="H1088" s="30">
        <v>59.9</v>
      </c>
      <c r="I1088" s="38">
        <f>H1088*(1-IFERROR(VLOOKUP(G1088,Rabat!$D$10:$E$41,2,FALSE),0))</f>
        <v>59.9</v>
      </c>
      <c r="J1088" t="s">
        <v>1902</v>
      </c>
      <c r="K1088" t="s">
        <v>3405</v>
      </c>
      <c r="L1088" t="s">
        <v>1901</v>
      </c>
      <c r="M1088">
        <v>1</v>
      </c>
      <c r="N1088"/>
      <c r="O1088" t="s">
        <v>3434</v>
      </c>
      <c r="P1088" s="31" t="str">
        <f>HYPERLINK("https://b2b.kobi.pl/pl/product/13663,modul-zasilacza-montazowy-24v-60w-2-50a?currency=PLN")</f>
        <v>https://b2b.kobi.pl/pl/product/13663,modul-zasilacza-montazowy-24v-60w-2-50a?currency=PLN</v>
      </c>
      <c r="Q1088" t="s">
        <v>15</v>
      </c>
      <c r="R1088"/>
      <c r="S1088" t="s">
        <v>2676</v>
      </c>
      <c r="T1088"/>
      <c r="U1088">
        <v>0.18</v>
      </c>
      <c r="V1088">
        <v>0.2</v>
      </c>
      <c r="W1088">
        <v>11.5</v>
      </c>
      <c r="X1088">
        <v>8.5</v>
      </c>
      <c r="Y1088">
        <v>3.2</v>
      </c>
    </row>
    <row r="1089" spans="1:25" ht="60" customHeight="1" x14ac:dyDescent="0.25">
      <c r="A1089"/>
      <c r="B1089" t="s">
        <v>646</v>
      </c>
      <c r="C1089" t="s">
        <v>6</v>
      </c>
      <c r="D1089" t="s">
        <v>643</v>
      </c>
      <c r="E1089" t="s">
        <v>2082</v>
      </c>
      <c r="F1089" t="s">
        <v>3392</v>
      </c>
      <c r="G1089" t="s">
        <v>645</v>
      </c>
      <c r="H1089" s="30">
        <v>120.01</v>
      </c>
      <c r="I1089" s="38">
        <f>H1089*(1-IFERROR(VLOOKUP(G1089,Rabat!$D$10:$E$41,2,FALSE),0))</f>
        <v>120.01</v>
      </c>
      <c r="J1089" t="s">
        <v>1902</v>
      </c>
      <c r="K1089" t="s">
        <v>3406</v>
      </c>
      <c r="L1089" t="s">
        <v>1901</v>
      </c>
      <c r="M1089">
        <v>1</v>
      </c>
      <c r="N1089"/>
      <c r="O1089" t="s">
        <v>3434</v>
      </c>
      <c r="P1089"/>
      <c r="Q1089" t="s">
        <v>15</v>
      </c>
      <c r="R1089"/>
      <c r="S1089" t="s">
        <v>2676</v>
      </c>
      <c r="T1089"/>
      <c r="U1089">
        <v>0.3</v>
      </c>
      <c r="V1089">
        <v>0.32</v>
      </c>
      <c r="W1089">
        <v>13.5</v>
      </c>
      <c r="X1089">
        <v>10</v>
      </c>
      <c r="Y1089">
        <v>4</v>
      </c>
    </row>
    <row r="1090" spans="1:25" ht="60" customHeight="1" x14ac:dyDescent="0.25">
      <c r="A1090"/>
      <c r="B1090" t="s">
        <v>646</v>
      </c>
      <c r="C1090" t="s">
        <v>6</v>
      </c>
      <c r="D1090" t="s">
        <v>643</v>
      </c>
      <c r="E1090" t="s">
        <v>2084</v>
      </c>
      <c r="F1090" t="s">
        <v>3393</v>
      </c>
      <c r="G1090" t="s">
        <v>645</v>
      </c>
      <c r="H1090" s="30">
        <v>157.66</v>
      </c>
      <c r="I1090" s="38">
        <f>H1090*(1-IFERROR(VLOOKUP(G1090,Rabat!$D$10:$E$41,2,FALSE),0))</f>
        <v>157.66</v>
      </c>
      <c r="J1090" t="s">
        <v>1902</v>
      </c>
      <c r="K1090" t="s">
        <v>3407</v>
      </c>
      <c r="L1090" t="s">
        <v>1901</v>
      </c>
      <c r="M1090">
        <v>1</v>
      </c>
      <c r="N1090"/>
      <c r="O1090" t="s">
        <v>3434</v>
      </c>
      <c r="P1090" s="31" t="str">
        <f>HYPERLINK("https://b2b.kobi.pl/pl/product/13661,modul-zasilacza-montazowy-24v-200w-8-30a?currency=PLN")</f>
        <v>https://b2b.kobi.pl/pl/product/13661,modul-zasilacza-montazowy-24v-200w-8-30a?currency=PLN</v>
      </c>
      <c r="Q1090" t="s">
        <v>15</v>
      </c>
      <c r="R1090"/>
      <c r="S1090" t="s">
        <v>2676</v>
      </c>
      <c r="T1090"/>
      <c r="U1090">
        <v>0.45</v>
      </c>
      <c r="V1090">
        <v>0.48</v>
      </c>
      <c r="W1090">
        <v>16.5</v>
      </c>
      <c r="X1090">
        <v>10.5</v>
      </c>
      <c r="Y1090">
        <v>4.7</v>
      </c>
    </row>
    <row r="1091" spans="1:25" ht="60" customHeight="1" x14ac:dyDescent="0.25">
      <c r="A1091"/>
      <c r="B1091" t="s">
        <v>3367</v>
      </c>
      <c r="C1091" t="s">
        <v>3379</v>
      </c>
      <c r="D1091" t="s">
        <v>643</v>
      </c>
      <c r="E1091" t="s">
        <v>3114</v>
      </c>
      <c r="F1091" t="s">
        <v>3115</v>
      </c>
      <c r="G1091" t="s">
        <v>3116</v>
      </c>
      <c r="H1091" s="30">
        <v>16.71</v>
      </c>
      <c r="I1091" s="38">
        <f>H1091*(1-IFERROR(VLOOKUP(G1091,Rabat!$D$10:$E$41,2,FALSE),0))</f>
        <v>16.71</v>
      </c>
      <c r="J1091"/>
      <c r="K1091" t="s">
        <v>3147</v>
      </c>
      <c r="L1091" t="s">
        <v>1901</v>
      </c>
      <c r="M1091">
        <v>50</v>
      </c>
      <c r="N1091"/>
      <c r="O1091" t="s">
        <v>3434</v>
      </c>
      <c r="P1091" s="31" t="str">
        <f>HYPERLINK("https://b2b.kobi.pl/pl/product/13079,profil-p01-natynkowy-anodowany-srebrny-przeslona-mleczna-2m-kobi?currency=PLN")</f>
        <v>https://b2b.kobi.pl/pl/product/13079,profil-p01-natynkowy-anodowany-srebrny-przeslona-mleczna-2m-kobi?currency=PLN</v>
      </c>
      <c r="Q1091" t="s">
        <v>15</v>
      </c>
      <c r="R1091"/>
      <c r="S1091" t="s">
        <v>2678</v>
      </c>
      <c r="T1091"/>
      <c r="U1091">
        <v>0.16</v>
      </c>
      <c r="V1091">
        <v>0.20799999999999999</v>
      </c>
      <c r="W1091">
        <v>214</v>
      </c>
      <c r="X1091">
        <v>4</v>
      </c>
      <c r="Y1091">
        <v>0.6</v>
      </c>
    </row>
    <row r="1092" spans="1:25" ht="60" customHeight="1" x14ac:dyDescent="0.25">
      <c r="A1092"/>
      <c r="B1092" t="s">
        <v>3367</v>
      </c>
      <c r="C1092" t="s">
        <v>3379</v>
      </c>
      <c r="D1092" t="s">
        <v>643</v>
      </c>
      <c r="E1092" t="s">
        <v>3117</v>
      </c>
      <c r="F1092" t="s">
        <v>3118</v>
      </c>
      <c r="G1092" t="s">
        <v>3116</v>
      </c>
      <c r="H1092" s="30">
        <v>17.420000000000002</v>
      </c>
      <c r="I1092" s="38">
        <f>H1092*(1-IFERROR(VLOOKUP(G1092,Rabat!$D$10:$E$41,2,FALSE),0))</f>
        <v>17.420000000000002</v>
      </c>
      <c r="J1092"/>
      <c r="K1092" t="s">
        <v>3148</v>
      </c>
      <c r="L1092" t="s">
        <v>1901</v>
      </c>
      <c r="M1092">
        <v>50</v>
      </c>
      <c r="N1092"/>
      <c r="O1092" t="s">
        <v>3434</v>
      </c>
      <c r="P1092" s="31" t="str">
        <f>HYPERLINK("https://b2b.kobi.pl/pl/product/13080,profil-p01-natynkowy-czarny-przeslona-mleczna-2m-kobi?currency=PLN")</f>
        <v>https://b2b.kobi.pl/pl/product/13080,profil-p01-natynkowy-czarny-przeslona-mleczna-2m-kobi?currency=PLN</v>
      </c>
      <c r="Q1092" t="s">
        <v>15</v>
      </c>
      <c r="R1092"/>
      <c r="S1092" t="s">
        <v>2678</v>
      </c>
      <c r="T1092"/>
      <c r="U1092">
        <v>0.16</v>
      </c>
      <c r="V1092">
        <v>0.20799999999999999</v>
      </c>
      <c r="W1092">
        <v>214</v>
      </c>
      <c r="X1092">
        <v>4</v>
      </c>
      <c r="Y1092">
        <v>0.6</v>
      </c>
    </row>
    <row r="1093" spans="1:25" ht="60" customHeight="1" x14ac:dyDescent="0.25">
      <c r="A1093"/>
      <c r="B1093" t="s">
        <v>3367</v>
      </c>
      <c r="C1093" t="s">
        <v>3379</v>
      </c>
      <c r="D1093" t="s">
        <v>643</v>
      </c>
      <c r="E1093" t="s">
        <v>3119</v>
      </c>
      <c r="F1093" t="s">
        <v>3120</v>
      </c>
      <c r="G1093" t="s">
        <v>3116</v>
      </c>
      <c r="H1093" s="30">
        <v>17.420000000000002</v>
      </c>
      <c r="I1093" s="38">
        <f>H1093*(1-IFERROR(VLOOKUP(G1093,Rabat!$D$10:$E$41,2,FALSE),0))</f>
        <v>17.420000000000002</v>
      </c>
      <c r="J1093"/>
      <c r="K1093" t="s">
        <v>3149</v>
      </c>
      <c r="L1093" t="s">
        <v>1901</v>
      </c>
      <c r="M1093">
        <v>50</v>
      </c>
      <c r="N1093"/>
      <c r="O1093" t="s">
        <v>3434</v>
      </c>
      <c r="P1093" s="31" t="str">
        <f>HYPERLINK("https://b2b.kobi.pl/pl/product/13081,profil-p01-natynkowy-bialy-przeslona-mleczna-2m-kobi?currency=PLN")</f>
        <v>https://b2b.kobi.pl/pl/product/13081,profil-p01-natynkowy-bialy-przeslona-mleczna-2m-kobi?currency=PLN</v>
      </c>
      <c r="Q1093" t="s">
        <v>15</v>
      </c>
      <c r="R1093"/>
      <c r="S1093" t="s">
        <v>2678</v>
      </c>
      <c r="T1093"/>
      <c r="U1093">
        <v>0.16</v>
      </c>
      <c r="V1093">
        <v>0.20799999999999999</v>
      </c>
      <c r="W1093">
        <v>214</v>
      </c>
      <c r="X1093">
        <v>4</v>
      </c>
      <c r="Y1093">
        <v>0.6</v>
      </c>
    </row>
    <row r="1094" spans="1:25" ht="60" customHeight="1" x14ac:dyDescent="0.25">
      <c r="A1094"/>
      <c r="B1094" t="s">
        <v>3367</v>
      </c>
      <c r="C1094" t="s">
        <v>3379</v>
      </c>
      <c r="D1094" t="s">
        <v>643</v>
      </c>
      <c r="E1094" t="s">
        <v>3121</v>
      </c>
      <c r="F1094" t="s">
        <v>3122</v>
      </c>
      <c r="G1094" t="s">
        <v>3116</v>
      </c>
      <c r="H1094" s="30">
        <v>17.079999999999998</v>
      </c>
      <c r="I1094" s="38">
        <f>H1094*(1-IFERROR(VLOOKUP(G1094,Rabat!$D$10:$E$41,2,FALSE),0))</f>
        <v>17.079999999999998</v>
      </c>
      <c r="J1094"/>
      <c r="K1094" t="s">
        <v>3150</v>
      </c>
      <c r="L1094" t="s">
        <v>1901</v>
      </c>
      <c r="M1094">
        <v>50</v>
      </c>
      <c r="N1094"/>
      <c r="O1094" t="s">
        <v>3434</v>
      </c>
      <c r="P1094" s="31" t="str">
        <f>HYPERLINK("https://b2b.kobi.pl/pl/product/13082,profil-p02-podtynkowy-anodowany-srebrny-przeslona-mleczna-2m-kobi?currency=PLN")</f>
        <v>https://b2b.kobi.pl/pl/product/13082,profil-p02-podtynkowy-anodowany-srebrny-przeslona-mleczna-2m-kobi?currency=PLN</v>
      </c>
      <c r="Q1094" t="s">
        <v>15</v>
      </c>
      <c r="R1094"/>
      <c r="S1094" t="s">
        <v>2678</v>
      </c>
      <c r="T1094"/>
      <c r="U1094">
        <v>0.16500000000000001</v>
      </c>
      <c r="V1094">
        <v>0.21299999999999999</v>
      </c>
      <c r="W1094">
        <v>214</v>
      </c>
      <c r="X1094">
        <v>4</v>
      </c>
      <c r="Y1094">
        <v>0.6</v>
      </c>
    </row>
    <row r="1095" spans="1:25" ht="60" customHeight="1" x14ac:dyDescent="0.25">
      <c r="A1095"/>
      <c r="B1095" t="s">
        <v>3367</v>
      </c>
      <c r="C1095" t="s">
        <v>3379</v>
      </c>
      <c r="D1095" t="s">
        <v>643</v>
      </c>
      <c r="E1095" t="s">
        <v>3123</v>
      </c>
      <c r="F1095" t="s">
        <v>3124</v>
      </c>
      <c r="G1095" t="s">
        <v>3116</v>
      </c>
      <c r="H1095" s="30">
        <v>17.75</v>
      </c>
      <c r="I1095" s="38">
        <f>H1095*(1-IFERROR(VLOOKUP(G1095,Rabat!$D$10:$E$41,2,FALSE),0))</f>
        <v>17.75</v>
      </c>
      <c r="J1095"/>
      <c r="K1095" t="s">
        <v>3151</v>
      </c>
      <c r="L1095" t="s">
        <v>1901</v>
      </c>
      <c r="M1095">
        <v>50</v>
      </c>
      <c r="N1095"/>
      <c r="O1095" t="s">
        <v>3434</v>
      </c>
      <c r="P1095" s="31" t="str">
        <f>HYPERLINK("https://b2b.kobi.pl/pl/product/13083,profil-p02-podtynkowy-czarny-przeslona-mleczna-2m-kobi?currency=PLN")</f>
        <v>https://b2b.kobi.pl/pl/product/13083,profil-p02-podtynkowy-czarny-przeslona-mleczna-2m-kobi?currency=PLN</v>
      </c>
      <c r="Q1095" t="s">
        <v>15</v>
      </c>
      <c r="R1095"/>
      <c r="S1095" t="s">
        <v>2678</v>
      </c>
      <c r="T1095"/>
      <c r="U1095">
        <v>0.16500000000000001</v>
      </c>
      <c r="V1095">
        <v>0.21299999999999999</v>
      </c>
      <c r="W1095">
        <v>214</v>
      </c>
      <c r="X1095">
        <v>4</v>
      </c>
      <c r="Y1095">
        <v>0.6</v>
      </c>
    </row>
    <row r="1096" spans="1:25" ht="60" customHeight="1" x14ac:dyDescent="0.25">
      <c r="A1096"/>
      <c r="B1096" t="s">
        <v>3367</v>
      </c>
      <c r="C1096" t="s">
        <v>3379</v>
      </c>
      <c r="D1096" t="s">
        <v>643</v>
      </c>
      <c r="E1096" t="s">
        <v>3125</v>
      </c>
      <c r="F1096" t="s">
        <v>3126</v>
      </c>
      <c r="G1096" t="s">
        <v>3116</v>
      </c>
      <c r="H1096" s="30">
        <v>17.75</v>
      </c>
      <c r="I1096" s="38">
        <f>H1096*(1-IFERROR(VLOOKUP(G1096,Rabat!$D$10:$E$41,2,FALSE),0))</f>
        <v>17.75</v>
      </c>
      <c r="J1096"/>
      <c r="K1096" t="s">
        <v>3152</v>
      </c>
      <c r="L1096" t="s">
        <v>1901</v>
      </c>
      <c r="M1096">
        <v>50</v>
      </c>
      <c r="N1096"/>
      <c r="O1096" t="s">
        <v>3434</v>
      </c>
      <c r="P1096" s="31" t="str">
        <f>HYPERLINK("https://b2b.kobi.pl/pl/product/13084,profil-p02-podtynkowy-bialy-przeslona-mleczna-2m-kobi?currency=PLN")</f>
        <v>https://b2b.kobi.pl/pl/product/13084,profil-p02-podtynkowy-bialy-przeslona-mleczna-2m-kobi?currency=PLN</v>
      </c>
      <c r="Q1096" t="s">
        <v>15</v>
      </c>
      <c r="R1096"/>
      <c r="S1096" t="s">
        <v>2678</v>
      </c>
      <c r="T1096"/>
      <c r="U1096">
        <v>0.16500000000000001</v>
      </c>
      <c r="V1096">
        <v>0.21299999999999999</v>
      </c>
      <c r="W1096">
        <v>214</v>
      </c>
      <c r="X1096">
        <v>4</v>
      </c>
      <c r="Y1096">
        <v>0.6</v>
      </c>
    </row>
    <row r="1097" spans="1:25" ht="60" customHeight="1" x14ac:dyDescent="0.25">
      <c r="A1097"/>
      <c r="B1097" t="s">
        <v>3367</v>
      </c>
      <c r="C1097" t="s">
        <v>3379</v>
      </c>
      <c r="D1097" t="s">
        <v>643</v>
      </c>
      <c r="E1097" t="s">
        <v>3127</v>
      </c>
      <c r="F1097" t="s">
        <v>3128</v>
      </c>
      <c r="G1097" t="s">
        <v>3116</v>
      </c>
      <c r="H1097" s="30">
        <v>22.54</v>
      </c>
      <c r="I1097" s="38">
        <f>H1097*(1-IFERROR(VLOOKUP(G1097,Rabat!$D$10:$E$41,2,FALSE),0))</f>
        <v>22.54</v>
      </c>
      <c r="J1097"/>
      <c r="K1097" t="s">
        <v>3153</v>
      </c>
      <c r="L1097" t="s">
        <v>1901</v>
      </c>
      <c r="M1097">
        <v>50</v>
      </c>
      <c r="N1097"/>
      <c r="O1097" t="s">
        <v>3434</v>
      </c>
      <c r="P1097" s="31" t="str">
        <f>HYPERLINK("https://b2b.kobi.pl/pl/product/13085,profil-n01-narozny-anodowany-srebrny-przeslona-mleczna-2m-kobi?currency=PLN")</f>
        <v>https://b2b.kobi.pl/pl/product/13085,profil-n01-narozny-anodowany-srebrny-przeslona-mleczna-2m-kobi?currency=PLN</v>
      </c>
      <c r="Q1097" t="s">
        <v>15</v>
      </c>
      <c r="R1097"/>
      <c r="S1097" t="s">
        <v>2678</v>
      </c>
      <c r="T1097"/>
      <c r="U1097">
        <v>0.252</v>
      </c>
      <c r="V1097">
        <v>0.3</v>
      </c>
      <c r="W1097">
        <v>214</v>
      </c>
      <c r="X1097">
        <v>4</v>
      </c>
      <c r="Y1097">
        <v>1.5</v>
      </c>
    </row>
    <row r="1098" spans="1:25" ht="60" customHeight="1" x14ac:dyDescent="0.25">
      <c r="A1098"/>
      <c r="B1098" t="s">
        <v>3367</v>
      </c>
      <c r="C1098" t="s">
        <v>3379</v>
      </c>
      <c r="D1098" t="s">
        <v>643</v>
      </c>
      <c r="E1098" t="s">
        <v>3129</v>
      </c>
      <c r="F1098" t="s">
        <v>3130</v>
      </c>
      <c r="G1098" t="s">
        <v>3116</v>
      </c>
      <c r="H1098" s="30">
        <v>23.58</v>
      </c>
      <c r="I1098" s="38">
        <f>H1098*(1-IFERROR(VLOOKUP(G1098,Rabat!$D$10:$E$41,2,FALSE),0))</f>
        <v>23.58</v>
      </c>
      <c r="J1098"/>
      <c r="K1098" t="s">
        <v>3154</v>
      </c>
      <c r="L1098" t="s">
        <v>1901</v>
      </c>
      <c r="M1098">
        <v>50</v>
      </c>
      <c r="N1098"/>
      <c r="O1098" t="s">
        <v>3434</v>
      </c>
      <c r="P1098" s="31" t="str">
        <f>HYPERLINK("https://b2b.kobi.pl/pl/product/13086,profil-n01-narozny-czarny-przeslona-mleczna-2m-kobi?currency=PLN")</f>
        <v>https://b2b.kobi.pl/pl/product/13086,profil-n01-narozny-czarny-przeslona-mleczna-2m-kobi?currency=PLN</v>
      </c>
      <c r="Q1098" t="s">
        <v>15</v>
      </c>
      <c r="R1098"/>
      <c r="S1098" t="s">
        <v>2678</v>
      </c>
      <c r="T1098"/>
      <c r="U1098">
        <v>0.252</v>
      </c>
      <c r="V1098">
        <v>0.3</v>
      </c>
      <c r="W1098">
        <v>214</v>
      </c>
      <c r="X1098">
        <v>4</v>
      </c>
      <c r="Y1098">
        <v>1.5</v>
      </c>
    </row>
    <row r="1099" spans="1:25" ht="60" customHeight="1" x14ac:dyDescent="0.25">
      <c r="A1099"/>
      <c r="B1099" t="s">
        <v>3367</v>
      </c>
      <c r="C1099" t="s">
        <v>3379</v>
      </c>
      <c r="D1099" t="s">
        <v>643</v>
      </c>
      <c r="E1099" t="s">
        <v>3131</v>
      </c>
      <c r="F1099" t="s">
        <v>3132</v>
      </c>
      <c r="G1099" t="s">
        <v>3116</v>
      </c>
      <c r="H1099" s="30">
        <v>23.58</v>
      </c>
      <c r="I1099" s="38">
        <f>H1099*(1-IFERROR(VLOOKUP(G1099,Rabat!$D$10:$E$41,2,FALSE),0))</f>
        <v>23.58</v>
      </c>
      <c r="J1099"/>
      <c r="K1099" t="s">
        <v>3155</v>
      </c>
      <c r="L1099" t="s">
        <v>1901</v>
      </c>
      <c r="M1099">
        <v>50</v>
      </c>
      <c r="N1099"/>
      <c r="O1099" t="s">
        <v>3434</v>
      </c>
      <c r="P1099" s="31" t="str">
        <f>HYPERLINK("https://b2b.kobi.pl/pl/product/13087,profil-n01-narozny-bialy-przeslona-mleczna-2m-kobi?currency=PLN")</f>
        <v>https://b2b.kobi.pl/pl/product/13087,profil-n01-narozny-bialy-przeslona-mleczna-2m-kobi?currency=PLN</v>
      </c>
      <c r="Q1099" t="s">
        <v>15</v>
      </c>
      <c r="R1099"/>
      <c r="S1099" t="s">
        <v>2678</v>
      </c>
      <c r="T1099"/>
      <c r="U1099">
        <v>0.252</v>
      </c>
      <c r="V1099">
        <v>0.3</v>
      </c>
      <c r="W1099">
        <v>214</v>
      </c>
      <c r="X1099">
        <v>4</v>
      </c>
      <c r="Y1099">
        <v>1.5</v>
      </c>
    </row>
    <row r="1100" spans="1:25" ht="60" customHeight="1" x14ac:dyDescent="0.25">
      <c r="A1100"/>
      <c r="B1100" t="s">
        <v>3367</v>
      </c>
      <c r="C1100" t="s">
        <v>3379</v>
      </c>
      <c r="D1100" t="s">
        <v>643</v>
      </c>
      <c r="E1100" t="s">
        <v>3133</v>
      </c>
      <c r="F1100" t="s">
        <v>3134</v>
      </c>
      <c r="G1100" t="s">
        <v>3116</v>
      </c>
      <c r="H1100" s="30">
        <v>35.54</v>
      </c>
      <c r="I1100" s="38">
        <f>H1100*(1-IFERROR(VLOOKUP(G1100,Rabat!$D$10:$E$41,2,FALSE),0))</f>
        <v>35.54</v>
      </c>
      <c r="J1100"/>
      <c r="K1100" t="s">
        <v>3156</v>
      </c>
      <c r="L1100" t="s">
        <v>1901</v>
      </c>
      <c r="M1100">
        <v>50</v>
      </c>
      <c r="N1100"/>
      <c r="O1100" t="s">
        <v>3434</v>
      </c>
      <c r="P1100" s="31" t="str">
        <f>HYPERLINK("https://b2b.kobi.pl/pl/product/13088,profil-kg01-podtynkowy-anodowany-srebrny-przeslona-mleczna-2m-kobi?currency=PLN")</f>
        <v>https://b2b.kobi.pl/pl/product/13088,profil-kg01-podtynkowy-anodowany-srebrny-przeslona-mleczna-2m-kobi?currency=PLN</v>
      </c>
      <c r="Q1100" t="s">
        <v>15</v>
      </c>
      <c r="R1100"/>
      <c r="S1100" t="s">
        <v>2678</v>
      </c>
      <c r="T1100"/>
      <c r="U1100">
        <v>0.36799999999999999</v>
      </c>
      <c r="V1100">
        <v>0.41599999999999998</v>
      </c>
      <c r="W1100">
        <v>214</v>
      </c>
      <c r="X1100">
        <v>4</v>
      </c>
      <c r="Y1100">
        <v>1.3</v>
      </c>
    </row>
    <row r="1101" spans="1:25" ht="60" customHeight="1" x14ac:dyDescent="0.25">
      <c r="A1101"/>
      <c r="B1101" t="s">
        <v>4</v>
      </c>
      <c r="C1101" t="s">
        <v>608</v>
      </c>
      <c r="D1101" t="s">
        <v>599</v>
      </c>
      <c r="E1101" t="s">
        <v>3442</v>
      </c>
      <c r="F1101" t="s">
        <v>3443</v>
      </c>
      <c r="G1101" t="s">
        <v>645</v>
      </c>
      <c r="H1101" s="30">
        <v>26.44</v>
      </c>
      <c r="I1101" s="38">
        <f>H1101*(1-IFERROR(VLOOKUP(G1101,Rabat!$D$10:$E$41,2,FALSE),0))</f>
        <v>26.44</v>
      </c>
      <c r="J1101" t="s">
        <v>1902</v>
      </c>
      <c r="K1101" t="s">
        <v>3447</v>
      </c>
      <c r="L1101" t="s">
        <v>1901</v>
      </c>
      <c r="M1101">
        <v>20</v>
      </c>
      <c r="N1101"/>
      <c r="O1101" t="s">
        <v>3434</v>
      </c>
      <c r="P1101" s="31" t="s">
        <v>3450</v>
      </c>
      <c r="Q1101" t="s">
        <v>15</v>
      </c>
      <c r="R1101"/>
      <c r="S1101" t="s">
        <v>2678</v>
      </c>
      <c r="T1101"/>
      <c r="U1101">
        <v>0.12</v>
      </c>
      <c r="V1101">
        <v>0.125</v>
      </c>
      <c r="W1101">
        <v>9</v>
      </c>
      <c r="X1101">
        <v>9</v>
      </c>
      <c r="Y1101">
        <v>6.8</v>
      </c>
    </row>
    <row r="1102" spans="1:25" ht="60" customHeight="1" x14ac:dyDescent="0.25">
      <c r="A1102"/>
      <c r="B1102" t="s">
        <v>4</v>
      </c>
      <c r="C1102" t="s">
        <v>608</v>
      </c>
      <c r="D1102" t="s">
        <v>599</v>
      </c>
      <c r="E1102" t="s">
        <v>3444</v>
      </c>
      <c r="F1102" t="s">
        <v>3445</v>
      </c>
      <c r="G1102" t="s">
        <v>645</v>
      </c>
      <c r="H1102" s="30">
        <v>26.44</v>
      </c>
      <c r="I1102" s="38">
        <f>H1102*(1-IFERROR(VLOOKUP(G1102,Rabat!$D$10:$E$41,2,FALSE),0))</f>
        <v>26.44</v>
      </c>
      <c r="J1102" t="s">
        <v>1902</v>
      </c>
      <c r="K1102" t="s">
        <v>3448</v>
      </c>
      <c r="L1102" t="s">
        <v>1901</v>
      </c>
      <c r="M1102">
        <v>20</v>
      </c>
      <c r="N1102"/>
      <c r="O1102" t="s">
        <v>3434</v>
      </c>
      <c r="P1102" s="31" t="s">
        <v>3451</v>
      </c>
      <c r="Q1102" t="s">
        <v>15</v>
      </c>
      <c r="R1102"/>
      <c r="S1102" t="s">
        <v>2678</v>
      </c>
      <c r="T1102"/>
      <c r="U1102">
        <v>0.12</v>
      </c>
      <c r="V1102">
        <v>0.125</v>
      </c>
      <c r="W1102">
        <v>9</v>
      </c>
      <c r="X1102">
        <v>9</v>
      </c>
      <c r="Y1102">
        <v>6.8</v>
      </c>
    </row>
    <row r="1103" spans="1:25" ht="60" customHeight="1" x14ac:dyDescent="0.25">
      <c r="A1103"/>
      <c r="B1103" t="s">
        <v>646</v>
      </c>
      <c r="C1103" t="s">
        <v>6</v>
      </c>
      <c r="D1103" t="s">
        <v>643</v>
      </c>
      <c r="E1103" t="s">
        <v>2660</v>
      </c>
      <c r="F1103" t="s">
        <v>3446</v>
      </c>
      <c r="G1103" t="s">
        <v>645</v>
      </c>
      <c r="H1103" s="30">
        <v>184.5</v>
      </c>
      <c r="I1103" s="38">
        <f>H1103*(1-IFERROR(VLOOKUP(G1103,Rabat!$D$10:$E$41,2,FALSE),0))</f>
        <v>184.5</v>
      </c>
      <c r="J1103" t="s">
        <v>1902</v>
      </c>
      <c r="K1103" t="s">
        <v>3449</v>
      </c>
      <c r="L1103" t="s">
        <v>1901</v>
      </c>
      <c r="M1103">
        <v>1</v>
      </c>
      <c r="N1103"/>
      <c r="O1103" t="s">
        <v>3434</v>
      </c>
      <c r="P1103"/>
      <c r="Q1103" t="s">
        <v>15</v>
      </c>
      <c r="R1103"/>
      <c r="S1103" t="s">
        <v>2676</v>
      </c>
      <c r="T1103"/>
      <c r="U1103">
        <v>0.81</v>
      </c>
      <c r="V1103">
        <v>0.85</v>
      </c>
      <c r="W1103">
        <v>4.5</v>
      </c>
      <c r="X1103">
        <v>20</v>
      </c>
      <c r="Y1103">
        <v>7.5</v>
      </c>
    </row>
    <row r="1104" spans="1:25" ht="60" customHeight="1" x14ac:dyDescent="0.25">
      <c r="A1104"/>
      <c r="B1104"/>
      <c r="C1104"/>
      <c r="D1104"/>
      <c r="E1104"/>
      <c r="F1104"/>
      <c r="G1104"/>
      <c r="H1104" s="30"/>
      <c r="I1104" s="38"/>
      <c r="J1104"/>
      <c r="K1104"/>
      <c r="L1104"/>
      <c r="M1104"/>
      <c r="N1104"/>
      <c r="O1104"/>
      <c r="P1104" s="31"/>
      <c r="Q1104"/>
      <c r="R1104"/>
      <c r="S1104"/>
      <c r="T1104"/>
      <c r="U1104"/>
      <c r="V1104"/>
      <c r="W1104"/>
      <c r="X1104"/>
      <c r="Y1104"/>
    </row>
    <row r="1105" spans="1:25" ht="60" customHeight="1" x14ac:dyDescent="0.25">
      <c r="A1105"/>
      <c r="B1105"/>
      <c r="C1105"/>
      <c r="D1105"/>
      <c r="E1105"/>
      <c r="F1105"/>
      <c r="G1105"/>
      <c r="H1105" s="30"/>
      <c r="I1105" s="38"/>
      <c r="J1105"/>
      <c r="K1105"/>
      <c r="L1105"/>
      <c r="M1105"/>
      <c r="N1105"/>
      <c r="O1105"/>
      <c r="P1105" s="31"/>
      <c r="Q1105"/>
      <c r="R1105"/>
      <c r="S1105"/>
      <c r="T1105"/>
      <c r="U1105"/>
      <c r="V1105"/>
      <c r="W1105"/>
      <c r="X1105"/>
      <c r="Y1105"/>
    </row>
    <row r="1106" spans="1:25" ht="60" customHeight="1" x14ac:dyDescent="0.25">
      <c r="A1106"/>
      <c r="B1106"/>
      <c r="C1106"/>
      <c r="D1106"/>
      <c r="E1106"/>
      <c r="F1106"/>
      <c r="G1106"/>
      <c r="H1106" s="30"/>
      <c r="I1106" s="38"/>
      <c r="J1106"/>
      <c r="K1106"/>
      <c r="L1106"/>
      <c r="M1106"/>
      <c r="N1106"/>
      <c r="O1106"/>
      <c r="P1106" s="31"/>
      <c r="Q1106"/>
      <c r="R1106"/>
      <c r="S1106"/>
      <c r="T1106"/>
      <c r="U1106"/>
      <c r="V1106"/>
      <c r="W1106"/>
      <c r="X1106"/>
      <c r="Y1106"/>
    </row>
    <row r="1107" spans="1:25" ht="60" customHeight="1" x14ac:dyDescent="0.25">
      <c r="A1107"/>
      <c r="B1107"/>
      <c r="C1107"/>
      <c r="D1107"/>
      <c r="E1107"/>
      <c r="F1107"/>
      <c r="G1107"/>
      <c r="H1107" s="30"/>
      <c r="I1107" s="38"/>
      <c r="J1107"/>
      <c r="K1107"/>
      <c r="L1107"/>
      <c r="M1107"/>
      <c r="N1107"/>
      <c r="O1107"/>
      <c r="P1107" s="31"/>
      <c r="Q1107"/>
      <c r="R1107"/>
      <c r="S1107"/>
      <c r="T1107"/>
      <c r="U1107"/>
      <c r="V1107"/>
      <c r="W1107"/>
      <c r="X1107"/>
      <c r="Y1107"/>
    </row>
  </sheetData>
  <sheetProtection algorithmName="SHA-512" hashValue="k01PiPDKlhRcWQvhz0WvAO0NmO4MZ7Hjp+Q1zVqWAPBu10IG847SaEzwcGeVvGN0a0LuaZcapAGZaqCnq+Rrag==" saltValue="nQgtkM8nTGX1pfAWU/gr/g==" spinCount="100000" sheet="1" formatColumns="0" autoFilter="0"/>
  <conditionalFormatting sqref="B3:G1000">
    <cfRule type="expression" dxfId="1" priority="1">
      <formula>$R3="do wyczerpania zapasów"</formula>
    </cfRule>
  </conditionalFormatting>
  <conditionalFormatting sqref="B899:R908 H1:I1048576">
    <cfRule type="cellIs" dxfId="0" priority="20" operator="equal">
      <formula>0</formula>
    </cfRule>
  </conditionalFormatting>
  <hyperlinks>
    <hyperlink ref="E1" r:id="rId1" xr:uid="{135D9DD9-562F-461B-8E89-A2572D3AF8AB}"/>
    <hyperlink ref="P1101" r:id="rId2" xr:uid="{C4732C5D-D4CD-4295-8E34-631289CA9C62}"/>
    <hyperlink ref="P1102" r:id="rId3" xr:uid="{45E4E7F0-281B-4E51-BB4D-29418206D7BA}"/>
  </hyperlinks>
  <pageMargins left="0.7" right="0.7" top="0.75" bottom="0.75" header="0.3" footer="0.3"/>
  <pageSetup paperSize="9" orientation="portrait" horizontalDpi="4294967294" verticalDpi="4294967294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168F6-8F42-4378-8AF9-B0C7F9EDEA7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6a08f5-a58e-4a5d-af0e-7f6bd2891de7">
      <Terms xmlns="http://schemas.microsoft.com/office/infopath/2007/PartnerControls"/>
    </lcf76f155ced4ddcb4097134ff3c332f>
    <TaxCatchAll xmlns="e8ca7e84-e463-4a46-977a-1a9e7ddc297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C41C539702B544F99D24D533720C4C4" ma:contentTypeVersion="11" ma:contentTypeDescription="Utwórz nowy dokument." ma:contentTypeScope="" ma:versionID="689aa18430e8f9e3ded2ecbd73a8dc71">
  <xsd:schema xmlns:xsd="http://www.w3.org/2001/XMLSchema" xmlns:xs="http://www.w3.org/2001/XMLSchema" xmlns:p="http://schemas.microsoft.com/office/2006/metadata/properties" xmlns:ns2="266a08f5-a58e-4a5d-af0e-7f6bd2891de7" xmlns:ns3="e8ca7e84-e463-4a46-977a-1a9e7ddc2974" targetNamespace="http://schemas.microsoft.com/office/2006/metadata/properties" ma:root="true" ma:fieldsID="e611b8e019aec431322ea0b4de06c3df" ns2:_="" ns3:_="">
    <xsd:import namespace="266a08f5-a58e-4a5d-af0e-7f6bd2891de7"/>
    <xsd:import namespace="e8ca7e84-e463-4a46-977a-1a9e7dd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a08f5-a58e-4a5d-af0e-7f6bd2891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addbf202-6dca-4540-84c0-84bbab6b64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a7e84-e463-4a46-977a-1a9e7ddc297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28aea78-6790-4258-bd84-b28d20dbe307}" ma:internalName="TaxCatchAll" ma:showField="CatchAllData" ma:web="e8ca7e84-e463-4a46-977a-1a9e7dd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4F46F1-7DD0-4302-BD13-51FDB92FD865}">
  <ds:schemaRefs>
    <ds:schemaRef ds:uri="http://schemas.microsoft.com/office/2006/metadata/properties"/>
    <ds:schemaRef ds:uri="http://schemas.microsoft.com/office/infopath/2007/PartnerControls"/>
    <ds:schemaRef ds:uri="266a08f5-a58e-4a5d-af0e-7f6bd2891de7"/>
    <ds:schemaRef ds:uri="e8ca7e84-e463-4a46-977a-1a9e7ddc2974"/>
  </ds:schemaRefs>
</ds:datastoreItem>
</file>

<file path=customXml/itemProps2.xml><?xml version="1.0" encoding="utf-8"?>
<ds:datastoreItem xmlns:ds="http://schemas.openxmlformats.org/officeDocument/2006/customXml" ds:itemID="{D05C3259-8892-4FF4-A9B2-8A37CA4F6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6a08f5-a58e-4a5d-af0e-7f6bd2891de7"/>
    <ds:schemaRef ds:uri="e8ca7e84-e463-4a46-977a-1a9e7dd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6CF8F2-3974-47E0-849A-FA832B0E11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Rabat</vt:lpstr>
      <vt:lpstr>cennik</vt:lpstr>
      <vt:lpstr>Arkusz1</vt:lpstr>
      <vt:lpstr>cennik!Wybieranie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EProgorowicz</dc:creator>
  <cp:lastModifiedBy>Ewelina Łuszczewska</cp:lastModifiedBy>
  <cp:lastPrinted>2022-08-05T06:34:19Z</cp:lastPrinted>
  <dcterms:created xsi:type="dcterms:W3CDTF">2021-06-15T08:35:20Z</dcterms:created>
  <dcterms:modified xsi:type="dcterms:W3CDTF">2026-04-13T10:19:44Z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0x0101001C41C539702B544F99D24D533720C4C4</vt:lpwstr>
  </property>
</Properties>
</file>