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Enova\"/>
    </mc:Choice>
  </mc:AlternateContent>
  <xr:revisionPtr revIDLastSave="0" documentId="8_{8A533C67-B652-4775-8AE2-DED964FB92EE}" xr6:coauthVersionLast="47" xr6:coauthVersionMax="47" xr10:uidLastSave="{00000000-0000-0000-0000-000000000000}"/>
  <bookViews>
    <workbookView xWindow="28680" yWindow="-120" windowWidth="29040" windowHeight="1572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cennik!$A$2:$P$896</definedName>
    <definedName name="_xlnm.Extract" localSheetId="1">cennik!$I$2:$Q$2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4" i="2" l="1"/>
  <c r="P902" i="2"/>
  <c r="P901" i="2"/>
  <c r="P900" i="2"/>
  <c r="P899" i="2"/>
  <c r="P898" i="2"/>
  <c r="P896" i="2"/>
  <c r="P895" i="2"/>
  <c r="P894" i="2"/>
  <c r="P889" i="2"/>
  <c r="P888" i="2"/>
  <c r="P887" i="2"/>
  <c r="P883" i="2"/>
  <c r="O883" i="2"/>
  <c r="P882" i="2"/>
  <c r="O882" i="2"/>
  <c r="P881" i="2"/>
  <c r="O881" i="2"/>
  <c r="P880" i="2"/>
  <c r="O880" i="2"/>
  <c r="P879" i="2"/>
  <c r="O879" i="2"/>
  <c r="P878" i="2"/>
  <c r="O878" i="2"/>
  <c r="P877" i="2"/>
  <c r="O877" i="2"/>
  <c r="P876" i="2"/>
  <c r="O876" i="2"/>
  <c r="P875" i="2"/>
  <c r="O875" i="2"/>
  <c r="P874" i="2"/>
  <c r="O874" i="2"/>
  <c r="P873" i="2"/>
  <c r="O873" i="2"/>
  <c r="P872" i="2"/>
  <c r="O872" i="2"/>
  <c r="P871" i="2"/>
  <c r="O871" i="2"/>
  <c r="P870" i="2"/>
  <c r="O870" i="2"/>
  <c r="P869" i="2"/>
  <c r="O869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P833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P808" i="2"/>
  <c r="P807" i="2"/>
  <c r="O807" i="2"/>
  <c r="P806" i="2"/>
  <c r="O806" i="2"/>
  <c r="P805" i="2"/>
  <c r="O805" i="2"/>
  <c r="P804" i="2"/>
  <c r="O804" i="2"/>
  <c r="P803" i="2"/>
  <c r="O803" i="2"/>
  <c r="P802" i="2"/>
  <c r="O802" i="2"/>
  <c r="O801" i="2"/>
  <c r="O800" i="2"/>
  <c r="O799" i="2"/>
  <c r="O798" i="2"/>
  <c r="O797" i="2"/>
  <c r="O796" i="2"/>
  <c r="O795" i="2"/>
  <c r="O794" i="2"/>
  <c r="P793" i="2"/>
  <c r="O793" i="2"/>
  <c r="P792" i="2"/>
  <c r="O792" i="2"/>
  <c r="P791" i="2"/>
  <c r="O791" i="2"/>
  <c r="P790" i="2"/>
  <c r="O790" i="2"/>
  <c r="P789" i="2"/>
  <c r="O789" i="2"/>
  <c r="P788" i="2"/>
  <c r="O788" i="2"/>
  <c r="P787" i="2"/>
  <c r="O787" i="2"/>
  <c r="P786" i="2"/>
  <c r="O786" i="2"/>
  <c r="P785" i="2"/>
  <c r="O785" i="2"/>
  <c r="P784" i="2"/>
  <c r="O784" i="2"/>
  <c r="P783" i="2"/>
  <c r="O783" i="2"/>
  <c r="P782" i="2"/>
  <c r="O782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P644" i="2"/>
  <c r="O644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P625" i="2"/>
  <c r="O625" i="2"/>
  <c r="P624" i="2"/>
  <c r="O624" i="2"/>
  <c r="P623" i="2"/>
  <c r="O623" i="2"/>
  <c r="P622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P582" i="2"/>
  <c r="O582" i="2"/>
  <c r="P581" i="2"/>
  <c r="O581" i="2"/>
  <c r="P580" i="2"/>
  <c r="O580" i="2"/>
  <c r="O579" i="2"/>
  <c r="O578" i="2"/>
  <c r="O577" i="2"/>
  <c r="O576" i="2"/>
  <c r="O575" i="2"/>
  <c r="P574" i="2"/>
  <c r="O574" i="2"/>
  <c r="P573" i="2"/>
  <c r="O573" i="2"/>
  <c r="P572" i="2"/>
  <c r="O572" i="2"/>
  <c r="P571" i="2"/>
  <c r="O571" i="2"/>
  <c r="P570" i="2"/>
  <c r="O570" i="2"/>
  <c r="P569" i="2"/>
  <c r="O569" i="2"/>
  <c r="O568" i="2"/>
  <c r="O567" i="2"/>
  <c r="O566" i="2"/>
  <c r="O565" i="2"/>
  <c r="O564" i="2"/>
  <c r="O563" i="2"/>
  <c r="P562" i="2"/>
  <c r="O562" i="2"/>
  <c r="P561" i="2"/>
  <c r="O561" i="2"/>
  <c r="P560" i="2"/>
  <c r="O560" i="2"/>
  <c r="P559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P537" i="2"/>
  <c r="O537" i="2"/>
  <c r="P536" i="2"/>
  <c r="O536" i="2"/>
  <c r="P535" i="2"/>
  <c r="O535" i="2"/>
  <c r="O534" i="2"/>
  <c r="O533" i="2"/>
  <c r="P532" i="2"/>
  <c r="O532" i="2"/>
  <c r="P531" i="2"/>
  <c r="O531" i="2"/>
  <c r="P530" i="2"/>
  <c r="O530" i="2"/>
  <c r="P529" i="2"/>
  <c r="O529" i="2"/>
  <c r="P528" i="2"/>
  <c r="O528" i="2"/>
  <c r="P527" i="2"/>
  <c r="O527" i="2"/>
  <c r="P526" i="2"/>
  <c r="O526" i="2"/>
  <c r="P525" i="2"/>
  <c r="O525" i="2"/>
  <c r="P524" i="2"/>
  <c r="O524" i="2"/>
  <c r="P523" i="2"/>
  <c r="O523" i="2"/>
  <c r="P522" i="2"/>
  <c r="O522" i="2"/>
  <c r="O521" i="2"/>
  <c r="O520" i="2"/>
  <c r="O519" i="2"/>
  <c r="O518" i="2"/>
  <c r="O517" i="2"/>
  <c r="O516" i="2"/>
  <c r="O515" i="2"/>
  <c r="O514" i="2"/>
  <c r="O513" i="2"/>
  <c r="O512" i="2"/>
  <c r="P511" i="2"/>
  <c r="O511" i="2"/>
  <c r="O510" i="2"/>
  <c r="O509" i="2"/>
  <c r="O508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P487" i="2"/>
  <c r="O487" i="2"/>
  <c r="P486" i="2"/>
  <c r="O486" i="2"/>
  <c r="P485" i="2"/>
  <c r="O485" i="2"/>
  <c r="P484" i="2"/>
  <c r="O484" i="2"/>
  <c r="P483" i="2"/>
  <c r="O483" i="2"/>
  <c r="P482" i="2"/>
  <c r="O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P473" i="2"/>
  <c r="O473" i="2"/>
  <c r="P472" i="2"/>
  <c r="O472" i="2"/>
  <c r="P471" i="2"/>
  <c r="O471" i="2"/>
  <c r="P470" i="2"/>
  <c r="O470" i="2"/>
  <c r="P469" i="2"/>
  <c r="O469" i="2"/>
  <c r="P468" i="2"/>
  <c r="O468" i="2"/>
  <c r="P467" i="2"/>
  <c r="O467" i="2"/>
  <c r="P466" i="2"/>
  <c r="O466" i="2"/>
  <c r="P465" i="2"/>
  <c r="O465" i="2"/>
  <c r="P464" i="2"/>
  <c r="O464" i="2"/>
  <c r="P463" i="2"/>
  <c r="O463" i="2"/>
  <c r="P462" i="2"/>
  <c r="O462" i="2"/>
  <c r="O461" i="2"/>
  <c r="O460" i="2"/>
  <c r="O459" i="2"/>
  <c r="P458" i="2"/>
  <c r="O458" i="2"/>
  <c r="O453" i="2"/>
  <c r="O452" i="2"/>
  <c r="O451" i="2"/>
  <c r="O450" i="2"/>
  <c r="P449" i="2"/>
  <c r="O449" i="2"/>
  <c r="P448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P412" i="2"/>
  <c r="O412" i="2"/>
  <c r="P411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P274" i="2"/>
  <c r="P273" i="2"/>
  <c r="O272" i="2"/>
  <c r="O271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O252" i="2"/>
  <c r="P251" i="2"/>
  <c r="O251" i="2"/>
  <c r="P250" i="2"/>
  <c r="O250" i="2"/>
  <c r="P249" i="2"/>
  <c r="O249" i="2"/>
  <c r="P248" i="2"/>
  <c r="O248" i="2"/>
  <c r="P247" i="2"/>
  <c r="O247" i="2"/>
  <c r="P246" i="2"/>
  <c r="O246" i="2"/>
  <c r="P245" i="2"/>
  <c r="P244" i="2"/>
  <c r="O244" i="2"/>
  <c r="P243" i="2"/>
  <c r="O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P228" i="2"/>
  <c r="O228" i="2"/>
  <c r="P227" i="2"/>
  <c r="O227" i="2"/>
  <c r="P226" i="2"/>
  <c r="O226" i="2"/>
  <c r="P225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P197" i="2"/>
  <c r="O197" i="2"/>
  <c r="P196" i="2"/>
  <c r="O196" i="2"/>
  <c r="P195" i="2"/>
  <c r="O195" i="2"/>
  <c r="O194" i="2"/>
  <c r="O193" i="2"/>
  <c r="O192" i="2"/>
  <c r="O191" i="2"/>
  <c r="P190" i="2"/>
  <c r="O190" i="2"/>
  <c r="P189" i="2"/>
  <c r="O189" i="2"/>
  <c r="P188" i="2"/>
  <c r="O188" i="2"/>
  <c r="P187" i="2"/>
  <c r="O187" i="2"/>
  <c r="O186" i="2"/>
  <c r="O185" i="2"/>
  <c r="O184" i="2"/>
  <c r="O183" i="2"/>
  <c r="O182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P172" i="2"/>
  <c r="O172" i="2"/>
  <c r="P171" i="2"/>
  <c r="O171" i="2"/>
  <c r="O170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</calcChain>
</file>

<file path=xl/sharedStrings.xml><?xml version="1.0" encoding="utf-8"?>
<sst xmlns="http://schemas.openxmlformats.org/spreadsheetml/2006/main" count="9908" uniqueCount="2878">
  <si>
    <t xml:space="preserve">CENNIK PODSTAWOWY </t>
  </si>
  <si>
    <t>obowiązujący od dnia:</t>
  </si>
  <si>
    <t>GRUPA</t>
  </si>
  <si>
    <t>WPISZ RABAT %</t>
  </si>
  <si>
    <t>OPRAWY PRZEMYSŁOWE</t>
  </si>
  <si>
    <t>OPRAWY DOMOWE</t>
  </si>
  <si>
    <t>AKCESORIA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</si>
  <si>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</si>
  <si>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</si>
  <si>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</si>
  <si>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</si>
  <si>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</si>
  <si>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LINK</t>
  </si>
  <si>
    <t>ŹRÓDŁA ŚWIATŁA</t>
  </si>
  <si>
    <t>EEI</t>
  </si>
  <si>
    <t>KOBI LIGHT SP. Z O.O.</t>
  </si>
  <si>
    <t/>
  </si>
  <si>
    <t>ZASILACZE LED</t>
  </si>
  <si>
    <t>ZASILACZ DESKTOP 12V  72W 6,0A</t>
  </si>
  <si>
    <t>ZASILACZ INSTALACYJN 12V  80W 6,67A IP67</t>
  </si>
  <si>
    <t>ZASILACZ INSTALACYJN 12V 120W 10,0A IP67</t>
  </si>
  <si>
    <t>ZASILACZ INSTALACYJN 12V 150W 12,5A IP67</t>
  </si>
  <si>
    <t>ZASILACZ INSTALACYJN 12V  30W 2,5A IP67</t>
  </si>
  <si>
    <t>ZASILACZ INSTALACYJN 12V  20W 1,67A IP67</t>
  </si>
  <si>
    <t>LAMPKI BIURKOWE</t>
  </si>
  <si>
    <t>PROGRAMATORY</t>
  </si>
  <si>
    <t>PLAFONIERY</t>
  </si>
  <si>
    <t>ZASILACZ MONTAŻOWY 12V 100W 8,3A</t>
  </si>
  <si>
    <t>ZASILACZ MONTAŻOWY 12V 250W 20,8A</t>
  </si>
  <si>
    <t>ZASILACZ MONTAŻOWY 12V   6W 0,5A</t>
  </si>
  <si>
    <t>ZASILACZ INSTALACYJN 12V  50W 4,16A IP67</t>
  </si>
  <si>
    <t>ZASILACZ MONTAŻOWY 12V 200W 16,6A</t>
  </si>
  <si>
    <t>MEBLOWE</t>
  </si>
  <si>
    <t>ZASILACZ DESKTOP 12V  90W 7,5A</t>
  </si>
  <si>
    <t>ZASILACZ MONTAŻOWY 12V 350W 29,0A</t>
  </si>
  <si>
    <t>ZASILACZ INSTALACYJN 12V 100W 8,3A IP67</t>
  </si>
  <si>
    <t>TAŚMY LED</t>
  </si>
  <si>
    <t>ZASILACZ INSTALACYJN 12V 200W 16,7A IP67</t>
  </si>
  <si>
    <t>PANELE</t>
  </si>
  <si>
    <t>ZASILACZ MONTAŻOWY 12V  25W 2,1A</t>
  </si>
  <si>
    <t>ZASILACZ MONTAŻOWY 12V  35W 2,9A</t>
  </si>
  <si>
    <t>ZASILACZ MONTAŻOWY 12V  60W 5,0A</t>
  </si>
  <si>
    <t>ZASILACZ DESKTOP 12V 120W 10,0A</t>
  </si>
  <si>
    <t>NAŚWIETLACZE SOLARNE</t>
  </si>
  <si>
    <t>LED2B</t>
  </si>
  <si>
    <t>NAŚWIETLACZE</t>
  </si>
  <si>
    <t>HIGH BAY</t>
  </si>
  <si>
    <t>ZASILACZ DESKTOP 12V  36W 3,0A</t>
  </si>
  <si>
    <t>ZASILACZ DESKTOP 12V  60W 5,0A</t>
  </si>
  <si>
    <t>ZASILACZ DESKTOP 12V  42W 3,5A</t>
  </si>
  <si>
    <t>ZASILACZ DESKTOP 12V  24W 2,0A</t>
  </si>
  <si>
    <t>ZASILACZ INSTALACYJNY 12V 60W 5,0A IP67</t>
  </si>
  <si>
    <t>PRZEDŁUŻACZE</t>
  </si>
  <si>
    <t>TECHNICZNE I KANAŁOWE</t>
  </si>
  <si>
    <t>ZEWNĘTRZNE SOLARNE</t>
  </si>
  <si>
    <t>ZEWNĘTRZNE OGRODOWE</t>
  </si>
  <si>
    <t>LAMPY WISZĄCE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</si>
  <si>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</si>
  <si>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</si>
  <si>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</si>
  <si>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</si>
  <si>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</si>
  <si>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</si>
  <si>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</si>
  <si>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</si>
  <si>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</si>
  <si>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</si>
  <si>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</si>
  <si>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</si>
  <si>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</si>
  <si>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</si>
  <si>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</si>
  <si>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</si>
  <si>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</si>
  <si>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</si>
  <si>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</si>
  <si>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</si>
  <si>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</si>
  <si>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</si>
  <si>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</si>
  <si>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</si>
  <si>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</si>
  <si>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</si>
  <si>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</si>
  <si>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</si>
  <si>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</si>
  <si>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</si>
  <si>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</si>
  <si>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</si>
  <si>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</si>
  <si>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</si>
  <si>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</si>
  <si>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</si>
  <si>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</si>
  <si>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</si>
  <si>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</si>
  <si>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</si>
  <si>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</si>
  <si>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</si>
  <si>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</si>
  <si>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</si>
  <si>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</si>
  <si>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</si>
  <si>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</si>
  <si>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</si>
  <si>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</si>
  <si>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</si>
  <si>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</si>
  <si>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</si>
  <si>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</si>
  <si>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</si>
  <si>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</si>
  <si>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</si>
  <si>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</si>
  <si>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</si>
  <si>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</si>
  <si>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</si>
  <si>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</si>
  <si>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</si>
  <si>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</si>
  <si>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</si>
  <si>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</si>
  <si>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</si>
  <si>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</si>
  <si>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</si>
  <si>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</si>
  <si>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</si>
  <si>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</si>
  <si>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</si>
  <si>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</si>
  <si>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</si>
  <si>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</si>
  <si>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</si>
  <si>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</si>
  <si>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</si>
  <si>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</si>
  <si>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</si>
  <si>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</si>
  <si>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</si>
  <si>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</si>
  <si>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</si>
  <si>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</si>
  <si>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</si>
  <si>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</si>
  <si>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</si>
  <si>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</si>
  <si>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</si>
  <si>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</si>
  <si>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</si>
  <si>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</si>
  <si>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</si>
  <si>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</si>
  <si>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</si>
  <si>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</si>
  <si>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</si>
  <si>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</si>
  <si>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</si>
  <si>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</si>
  <si>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</si>
  <si>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</si>
  <si>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</si>
  <si>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</si>
  <si>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</si>
  <si>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</si>
  <si>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</si>
  <si>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</si>
  <si>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</si>
  <si>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</si>
  <si>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</si>
  <si>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</si>
  <si>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</si>
  <si>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</si>
  <si>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</si>
  <si>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</si>
  <si>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</si>
  <si>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</si>
  <si>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</si>
  <si>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</si>
  <si>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</si>
  <si>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</si>
  <si>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</si>
  <si>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</si>
  <si>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</si>
  <si>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</si>
  <si>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</si>
  <si>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</si>
  <si>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</si>
  <si>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</si>
  <si>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</si>
  <si>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</si>
  <si>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</si>
  <si>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</si>
  <si>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5902846012825</t>
  </si>
  <si>
    <t>5902846012832</t>
  </si>
  <si>
    <t>5902201365139</t>
  </si>
  <si>
    <t>5902201365146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</si>
  <si>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</si>
  <si>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</si>
  <si>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</si>
  <si>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</si>
  <si>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</si>
  <si>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</si>
  <si>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</si>
  <si>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5902846016298</t>
  </si>
  <si>
    <t>5902846016304</t>
  </si>
  <si>
    <t>5902201365177</t>
  </si>
  <si>
    <t>5902201365184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</si>
  <si>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</si>
  <si>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</si>
  <si>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</si>
  <si>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</si>
  <si>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</si>
  <si>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</si>
  <si>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</si>
  <si>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5902846010784</t>
  </si>
  <si>
    <t>5902201301151</t>
  </si>
  <si>
    <t>5902846019459</t>
  </si>
  <si>
    <t>5902201301175</t>
  </si>
  <si>
    <t>5902201301144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</si>
  <si>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</si>
  <si>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</si>
  <si>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</si>
  <si>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</si>
  <si>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</si>
  <si>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</si>
  <si>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</si>
  <si>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5902846014461</t>
  </si>
  <si>
    <t>5902201359251</t>
  </si>
  <si>
    <t>5902201359244</t>
  </si>
  <si>
    <t>5902846019503</t>
  </si>
  <si>
    <t>5902846019510</t>
  </si>
  <si>
    <t>5902201300796</t>
  </si>
  <si>
    <t>5902201300802</t>
  </si>
  <si>
    <t>5902201300819</t>
  </si>
  <si>
    <t>5902846015475</t>
  </si>
  <si>
    <t>5902201364194</t>
  </si>
  <si>
    <t>5902201359589</t>
  </si>
  <si>
    <t>5900605092569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</si>
  <si>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</si>
  <si>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</si>
  <si>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</si>
  <si>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</si>
  <si>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</si>
  <si>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</si>
  <si>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</si>
  <si>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</si>
  <si>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</si>
  <si>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</si>
  <si>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</si>
  <si>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5906340215225</t>
  </si>
  <si>
    <t>5900605098813</t>
  </si>
  <si>
    <t>5902201301649</t>
  </si>
  <si>
    <t>5900605098806</t>
  </si>
  <si>
    <t>5900605098790</t>
  </si>
  <si>
    <t>5902201301656</t>
  </si>
  <si>
    <t>5902201305722</t>
  </si>
  <si>
    <t>5902201364620</t>
  </si>
  <si>
    <t>5906340215997</t>
  </si>
  <si>
    <t>5902846019534</t>
  </si>
  <si>
    <t>5906340210008</t>
  </si>
  <si>
    <t>5902201308433</t>
  </si>
  <si>
    <t>5902201308440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</si>
  <si>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</si>
  <si>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</si>
  <si>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</si>
  <si>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</si>
  <si>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</si>
  <si>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</si>
  <si>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</si>
  <si>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</si>
  <si>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</si>
  <si>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</si>
  <si>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</si>
  <si>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</si>
  <si>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</si>
  <si>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</si>
  <si>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</si>
  <si>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</si>
  <si>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</si>
  <si>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</si>
  <si>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</si>
  <si>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</si>
  <si>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</si>
  <si>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</si>
  <si>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</si>
  <si>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</si>
  <si>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</si>
  <si>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</si>
  <si>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</si>
  <si>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</si>
  <si>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</si>
  <si>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</si>
  <si>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</si>
  <si>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</si>
  <si>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</si>
  <si>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5902846015932</t>
  </si>
  <si>
    <t>5902201308365</t>
  </si>
  <si>
    <t>5902201308372</t>
  </si>
  <si>
    <t>5902201369700</t>
  </si>
  <si>
    <t>5902201369717</t>
  </si>
  <si>
    <t>5902201369724</t>
  </si>
  <si>
    <t>5902201375961</t>
  </si>
  <si>
    <t>5902201375954</t>
  </si>
  <si>
    <t>5902201375978</t>
  </si>
  <si>
    <t>5902846018124</t>
  </si>
  <si>
    <t>5902201300468</t>
  </si>
  <si>
    <t>5902846018131</t>
  </si>
  <si>
    <t>5902846018155</t>
  </si>
  <si>
    <t>5902201303551</t>
  </si>
  <si>
    <t>5902201303599</t>
  </si>
  <si>
    <t>5902846013921</t>
  </si>
  <si>
    <t>5902201307993</t>
  </si>
  <si>
    <t>5902846013815</t>
  </si>
  <si>
    <t>5902846013822</t>
  </si>
  <si>
    <t>5902201359503</t>
  </si>
  <si>
    <t>5902201302127</t>
  </si>
  <si>
    <t>5902201302134</t>
  </si>
  <si>
    <t>5902201302141</t>
  </si>
  <si>
    <t>5902846015697</t>
  </si>
  <si>
    <t>5902201304541</t>
  </si>
  <si>
    <t>5902846018216</t>
  </si>
  <si>
    <t>5902201300505</t>
  </si>
  <si>
    <t>5902846018223</t>
  </si>
  <si>
    <t>5902846018261</t>
  </si>
  <si>
    <t>5902846018278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</si>
  <si>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</si>
  <si>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</si>
  <si>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</si>
  <si>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</si>
  <si>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</si>
  <si>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</si>
  <si>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</si>
  <si>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</si>
  <si>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</si>
  <si>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</si>
  <si>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5902846010487</t>
  </si>
  <si>
    <t>5902201371246</t>
  </si>
  <si>
    <t>5902201371253</t>
  </si>
  <si>
    <t>5902201371208</t>
  </si>
  <si>
    <t>5902201371215</t>
  </si>
  <si>
    <t>5902201371239</t>
  </si>
  <si>
    <t>5902201359343</t>
  </si>
  <si>
    <t>5902201359350</t>
  </si>
  <si>
    <t>5902201359367</t>
  </si>
  <si>
    <t>5902201359374</t>
  </si>
  <si>
    <t>5902201359381</t>
  </si>
  <si>
    <t>5902201374414</t>
  </si>
  <si>
    <t>5902201300628</t>
  </si>
  <si>
    <t>5902846015284</t>
  </si>
  <si>
    <t>5902846015352</t>
  </si>
  <si>
    <t>5902846011743</t>
  </si>
  <si>
    <t>5900605099414</t>
  </si>
  <si>
    <t>5902846011750</t>
  </si>
  <si>
    <t>5902201364538</t>
  </si>
  <si>
    <t>5902201364590</t>
  </si>
  <si>
    <t>5902201364569</t>
  </si>
  <si>
    <t>5902201364576</t>
  </si>
  <si>
    <t>5902201364552</t>
  </si>
  <si>
    <t>5902201364545</t>
  </si>
  <si>
    <t>5902201375572</t>
  </si>
  <si>
    <t>5902201375565</t>
  </si>
  <si>
    <t>5902201375558</t>
  </si>
  <si>
    <t>5902201375541</t>
  </si>
  <si>
    <t>5902201301250</t>
  </si>
  <si>
    <t>5902201301267</t>
  </si>
  <si>
    <t>5902201301274</t>
  </si>
  <si>
    <t>5902201301281</t>
  </si>
  <si>
    <t>5902201368543</t>
  </si>
  <si>
    <t>5902201368628</t>
  </si>
  <si>
    <t>5902201368574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</si>
  <si>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</si>
  <si>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</si>
  <si>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</si>
  <si>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</si>
  <si>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</si>
  <si>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</si>
  <si>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</si>
  <si>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5902846015741</t>
  </si>
  <si>
    <t>5902846015758</t>
  </si>
  <si>
    <t>5902846015734</t>
  </si>
  <si>
    <t>5902846015727</t>
  </si>
  <si>
    <t>5900605097892</t>
  </si>
  <si>
    <t>5906340216987</t>
  </si>
  <si>
    <t>5906340218882</t>
  </si>
  <si>
    <t>5906340219599</t>
  </si>
  <si>
    <t>5902201359190</t>
  </si>
  <si>
    <t>5906340219131</t>
  </si>
  <si>
    <t>5906340218875</t>
  </si>
  <si>
    <t>5902201368253</t>
  </si>
  <si>
    <t>5902201368246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</si>
  <si>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</si>
  <si>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</si>
  <si>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</si>
  <si>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</si>
  <si>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</si>
  <si>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</si>
  <si>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</si>
  <si>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</si>
  <si>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</si>
  <si>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</si>
  <si>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</si>
  <si>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</si>
  <si>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</si>
  <si>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</si>
  <si>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</si>
  <si>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</si>
  <si>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</si>
  <si>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</si>
  <si>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</si>
  <si>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5900605096321</t>
  </si>
  <si>
    <t>5902846019244</t>
  </si>
  <si>
    <t>5902846015345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</si>
  <si>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</si>
  <si>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</si>
  <si>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</si>
  <si>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</si>
  <si>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</si>
  <si>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</si>
  <si>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</si>
  <si>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</si>
  <si>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</si>
  <si>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</si>
  <si>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</si>
  <si>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</si>
  <si>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</si>
  <si>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</si>
  <si>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</si>
  <si>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</si>
  <si>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</si>
  <si>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</si>
  <si>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</si>
  <si>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</si>
  <si>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</si>
  <si>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</si>
  <si>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</si>
  <si>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</si>
  <si>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</si>
  <si>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</si>
  <si>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</si>
  <si>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</si>
  <si>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</si>
  <si>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</si>
  <si>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</si>
  <si>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</si>
  <si>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</si>
  <si>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</si>
  <si>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</si>
  <si>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</si>
  <si>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</si>
  <si>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</si>
  <si>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</si>
  <si>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</si>
  <si>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</si>
  <si>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</si>
  <si>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</si>
  <si>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</si>
  <si>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</si>
  <si>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</si>
  <si>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</si>
  <si>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</si>
  <si>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</si>
  <si>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</si>
  <si>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</si>
  <si>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</si>
  <si>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</si>
  <si>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</si>
  <si>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</si>
  <si>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</si>
  <si>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</si>
  <si>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</si>
  <si>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</si>
  <si>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</si>
  <si>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</si>
  <si>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</si>
  <si>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</si>
  <si>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</si>
  <si>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</si>
  <si>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</si>
  <si>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</si>
  <si>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</si>
  <si>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</si>
  <si>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</si>
  <si>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</si>
  <si>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5902201305470</t>
  </si>
  <si>
    <t>5902846011392</t>
  </si>
  <si>
    <t>5902846011354</t>
  </si>
  <si>
    <t>5906340210947</t>
  </si>
  <si>
    <t>5906340210893</t>
  </si>
  <si>
    <t>5906340210930</t>
  </si>
  <si>
    <t>5902201304886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</si>
  <si>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</si>
  <si>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</si>
  <si>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</si>
  <si>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</si>
  <si>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</si>
  <si>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</si>
  <si>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</si>
  <si>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</si>
  <si>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</si>
  <si>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</si>
  <si>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</si>
  <si>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</si>
  <si>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</si>
  <si>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</si>
  <si>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</si>
  <si>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</si>
  <si>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</si>
  <si>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</si>
  <si>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</si>
  <si>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</si>
  <si>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</si>
  <si>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</si>
  <si>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</si>
  <si>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</si>
  <si>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</si>
  <si>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</si>
  <si>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</si>
  <si>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</si>
  <si>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</si>
  <si>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</si>
  <si>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</si>
  <si>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</si>
  <si>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</si>
  <si>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</si>
  <si>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</si>
  <si>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</si>
  <si>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</si>
  <si>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</si>
  <si>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5902201371086</t>
  </si>
  <si>
    <t>5902201300789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</si>
  <si>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</si>
  <si>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</si>
  <si>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</si>
  <si>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</si>
  <si>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</si>
  <si>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</si>
  <si>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</si>
  <si>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</si>
  <si>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</si>
  <si>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</si>
  <si>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</si>
  <si>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</si>
  <si>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</si>
  <si>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</si>
  <si>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</si>
  <si>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</si>
  <si>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</si>
  <si>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</si>
  <si>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</si>
  <si>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</si>
  <si>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</si>
  <si>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</si>
  <si>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</si>
  <si>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</si>
  <si>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</si>
  <si>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</si>
  <si>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</si>
  <si>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</si>
  <si>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</si>
  <si>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</si>
  <si>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</si>
  <si>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</si>
  <si>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</si>
  <si>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</si>
  <si>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</si>
  <si>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</si>
  <si>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5902201376005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</si>
  <si>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</si>
  <si>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</si>
  <si>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</si>
  <si>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</si>
  <si>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</si>
  <si>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</si>
  <si>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</si>
  <si>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5902201369731</t>
  </si>
  <si>
    <t>5900605092828</t>
  </si>
  <si>
    <t>5900605092835</t>
  </si>
  <si>
    <t>5900605092804</t>
  </si>
  <si>
    <t>5902201369748</t>
  </si>
  <si>
    <t>5902201369755</t>
  </si>
  <si>
    <t>5906340211883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</si>
  <si>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</si>
  <si>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</si>
  <si>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</si>
  <si>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</si>
  <si>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</si>
  <si>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</si>
  <si>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</si>
  <si>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</si>
  <si>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</si>
  <si>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</si>
  <si>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</si>
  <si>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</si>
  <si>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</si>
  <si>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</si>
  <si>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</si>
  <si>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</si>
  <si>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</si>
  <si>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</si>
  <si>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</si>
  <si>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</si>
  <si>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</si>
  <si>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</si>
  <si>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</si>
  <si>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</si>
  <si>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</si>
  <si>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</si>
  <si>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</si>
  <si>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</si>
  <si>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</si>
  <si>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</si>
  <si>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</si>
  <si>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</si>
  <si>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</si>
  <si>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</si>
  <si>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</si>
  <si>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</si>
  <si>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</si>
  <si>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</si>
  <si>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</si>
  <si>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</si>
  <si>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</si>
  <si>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</si>
  <si>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</si>
  <si>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</si>
  <si>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</si>
  <si>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</si>
  <si>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</si>
  <si>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</si>
  <si>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</si>
  <si>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</si>
  <si>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</si>
  <si>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</si>
  <si>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</si>
  <si>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</si>
  <si>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</si>
  <si>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</si>
  <si>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</si>
  <si>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</si>
  <si>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</si>
  <si>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</si>
  <si>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</si>
  <si>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</si>
  <si>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</si>
  <si>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LATARKI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</si>
  <si>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</si>
  <si>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</si>
  <si>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</si>
  <si>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</si>
  <si>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</si>
  <si>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</si>
  <si>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</si>
  <si>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</si>
  <si>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</si>
  <si>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</si>
  <si>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</si>
  <si>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</si>
  <si>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</si>
  <si>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</si>
  <si>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</si>
  <si>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</si>
  <si>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</si>
  <si>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</si>
  <si>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</si>
  <si>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</si>
  <si>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</si>
  <si>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</si>
  <si>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</si>
  <si>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</si>
  <si>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</si>
  <si>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</si>
  <si>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</si>
  <si>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</si>
  <si>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</si>
  <si>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</si>
  <si>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</si>
  <si>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</si>
  <si>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</si>
  <si>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</si>
  <si>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</si>
  <si>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</si>
  <si>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</si>
  <si>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</si>
  <si>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</si>
  <si>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</si>
  <si>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</si>
  <si>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</si>
  <si>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</si>
  <si>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</si>
  <si>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</si>
  <si>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</si>
  <si>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</si>
  <si>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</si>
  <si>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</si>
  <si>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</si>
  <si>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</si>
  <si>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</si>
  <si>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</si>
  <si>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</si>
  <si>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</si>
  <si>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</si>
  <si>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</si>
  <si>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</si>
  <si>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</si>
  <si>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</si>
  <si>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</si>
  <si>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</si>
  <si>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</si>
  <si>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</si>
  <si>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</si>
  <si>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</si>
  <si>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</si>
  <si>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</si>
  <si>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</si>
  <si>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</si>
  <si>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</si>
  <si>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</si>
  <si>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</si>
  <si>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</si>
  <si>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</si>
  <si>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</si>
  <si>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</si>
  <si>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</si>
  <si>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</si>
  <si>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</si>
  <si>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</si>
  <si>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</si>
  <si>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</si>
  <si>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</si>
  <si>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</si>
  <si>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</si>
  <si>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</si>
  <si>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</si>
  <si>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</si>
  <si>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</si>
  <si>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</si>
  <si>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</si>
  <si>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</si>
  <si>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</si>
  <si>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</si>
  <si>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</si>
  <si>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5902846017387</t>
  </si>
  <si>
    <t>5902201386271</t>
  </si>
  <si>
    <t>5902201386264</t>
  </si>
  <si>
    <t>5902201384413</t>
  </si>
  <si>
    <t>5902201384420</t>
  </si>
  <si>
    <t>CZUJNIK RUCHU BLUETOOTH ZHAGA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</si>
  <si>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</si>
  <si>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</si>
  <si>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</si>
  <si>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</si>
  <si>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</si>
  <si>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</si>
  <si>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</si>
  <si>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</si>
  <si>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</si>
  <si>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5902201385977</t>
  </si>
  <si>
    <t>5902201385984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</si>
  <si>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</si>
  <si>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</si>
  <si>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</si>
  <si>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</si>
  <si>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</si>
  <si>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</si>
  <si>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</si>
  <si>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</si>
  <si>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</si>
  <si>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</si>
  <si>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</si>
  <si>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</si>
  <si>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</si>
  <si>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</si>
  <si>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</si>
  <si>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</si>
  <si>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</si>
  <si>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</si>
  <si>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</si>
  <si>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</si>
  <si>
    <t>Marka</t>
  </si>
  <si>
    <t>Kod</t>
  </si>
  <si>
    <t>Kategoria</t>
  </si>
  <si>
    <t>Podkategoria</t>
  </si>
  <si>
    <t>Artykuł</t>
  </si>
  <si>
    <t>Grupa rabatowa</t>
  </si>
  <si>
    <t>Cena cennikowa</t>
  </si>
  <si>
    <t>Cena po rabacie</t>
  </si>
  <si>
    <t>Kod EAN</t>
  </si>
  <si>
    <t>jm</t>
  </si>
  <si>
    <t>Ilość w opakowaniu zbiorczym</t>
  </si>
  <si>
    <t>Ilość na palecie</t>
  </si>
  <si>
    <t>Gwarancja</t>
  </si>
  <si>
    <t>Eprel</t>
  </si>
  <si>
    <t>Kobi Professional</t>
  </si>
  <si>
    <t>Panel LED ARIEL 40W 60x60 4000K IP44 Kobi Pro</t>
  </si>
  <si>
    <t>000026</t>
  </si>
  <si>
    <t>Panele</t>
  </si>
  <si>
    <t>High Bay LED NEO 150W 4000K IP65 110° Kobi Pro</t>
  </si>
  <si>
    <t>000068</t>
  </si>
  <si>
    <t>High bay</t>
  </si>
  <si>
    <t>High Bay LED NEO 200W 4000K IP65 110° Kobi Pro</t>
  </si>
  <si>
    <t>000069</t>
  </si>
  <si>
    <t>Akumulator Li-Ion 18650 3,7V 3Ah do Solar LED MHC 5W</t>
  </si>
  <si>
    <t>001806</t>
  </si>
  <si>
    <t>Naświetlacze solarne</t>
  </si>
  <si>
    <t>Akumulator Li-Ion 18650 3,7V 7,2Ah do Solar LED MHC/S 10W</t>
  </si>
  <si>
    <t>001804</t>
  </si>
  <si>
    <t>Akumulator Li-Ion 18650 7,4V 5,4Ah do Solar LED STREET 15W</t>
  </si>
  <si>
    <t>001818</t>
  </si>
  <si>
    <t>Plafon LED NUMOS 7W 4000K LX IP65 Kobi Pro</t>
  </si>
  <si>
    <t>000072</t>
  </si>
  <si>
    <t>Plafony</t>
  </si>
  <si>
    <t>Plafon LED ORBIS 10W 4000K LX IP44 Kobi Pro</t>
  </si>
  <si>
    <t>000089</t>
  </si>
  <si>
    <t>LINIOWE LED</t>
  </si>
  <si>
    <t>Nexus</t>
  </si>
  <si>
    <t>Oprawa liniowa hermetyczna LED HPL1 30W IP65 120° Kobi Pro</t>
  </si>
  <si>
    <t>000030</t>
  </si>
  <si>
    <t>Liniowe LED</t>
  </si>
  <si>
    <t>Oprawa liniowa hermetyczna LED HPL1 30W IP65 90° Kobi Pro</t>
  </si>
  <si>
    <t>000031</t>
  </si>
  <si>
    <t>Oprawa liniowa hermetyczna LED HPL1 45W IP65 120° Kobi Pro</t>
  </si>
  <si>
    <t>000032</t>
  </si>
  <si>
    <t>Oprawa liniowa hermetyczna LED HPL1 45W IP65 90° Kobi Pro</t>
  </si>
  <si>
    <t>000034</t>
  </si>
  <si>
    <t>Oprawa liniowa hermetyczna LED HPL1 75W IP65 120° Kobi Pro</t>
  </si>
  <si>
    <t>000035</t>
  </si>
  <si>
    <t>Oprawa liniowa hermetyczna LED HPL1 75W IP65 90° Kobi Pro</t>
  </si>
  <si>
    <t>000037</t>
  </si>
  <si>
    <t>Oprawa liniowa hermetyczna LED HPL2 120W IP65 120° Kobi Pro</t>
  </si>
  <si>
    <t>000039</t>
  </si>
  <si>
    <t>Oprawa liniowa hermetyczna LED HPL2 120W IP65 90° Kobi Pro</t>
  </si>
  <si>
    <t>000040</t>
  </si>
  <si>
    <t>Oprawa liniowa hermetyczna LED HPL2 150W IP65 120° Kobi Pro</t>
  </si>
  <si>
    <t>000041</t>
  </si>
  <si>
    <t>Oprawa liniowa hermetyczna LED HPL1 60W IP65 120° Kobi Pro</t>
  </si>
  <si>
    <t>000042</t>
  </si>
  <si>
    <t>Oprawa hermetyczna LED NEXFORCE1 20W 4000K IP65 Kobi Pro</t>
  </si>
  <si>
    <t>000055</t>
  </si>
  <si>
    <t>Oprawa hermetyczna LED NEXFORCE1 80W 4000K IP65 Kobi Pro</t>
  </si>
  <si>
    <t>000060</t>
  </si>
  <si>
    <t>Kobi Premium</t>
  </si>
  <si>
    <t>DOWNLIGHT</t>
  </si>
  <si>
    <t>Downlight LED NEXEYE NE1 15W 4000K IP44 Kobi Pro</t>
  </si>
  <si>
    <t>000061</t>
  </si>
  <si>
    <t>Downlight</t>
  </si>
  <si>
    <t>Downlight LED NEXEYE NE1 20W 4000K IP44 Kobi Pro</t>
  </si>
  <si>
    <t>000063</t>
  </si>
  <si>
    <t>Downlight LED NEXEYE NE1 30W 4000K IP44 Kobi Pro</t>
  </si>
  <si>
    <t>000065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</si>
  <si>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</si>
  <si>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</si>
  <si>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</si>
  <si>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</si>
  <si>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</si>
  <si>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</si>
  <si>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</si>
  <si>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</si>
  <si>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CZUJNIKI</t>
  </si>
  <si>
    <t>Kobi</t>
  </si>
  <si>
    <t>003778</t>
  </si>
  <si>
    <t>Akcesoria</t>
  </si>
  <si>
    <t>OSPRZĘT ELEKTROINSTALACYJNY</t>
  </si>
  <si>
    <t>Czujnik ruchu LX01 160° PIR biały Kobi Premium</t>
  </si>
  <si>
    <t>002334</t>
  </si>
  <si>
    <t>Czujnik ruchu LX06 360° PIR Kobi Premium</t>
  </si>
  <si>
    <t>002335</t>
  </si>
  <si>
    <t>Czujnik ruchu LX39 IP44 180° PIR biały Kobi Premium</t>
  </si>
  <si>
    <t>002337</t>
  </si>
  <si>
    <t>Czujnik ruchu LX39 IP44 180° PIR czarny Kobi Premium</t>
  </si>
  <si>
    <t>002338</t>
  </si>
  <si>
    <t>Czujnik ruchu LX40 IP44 180° PIR biały Kobi Premium</t>
  </si>
  <si>
    <t>002339</t>
  </si>
  <si>
    <t>Czujnik ruchu LX40 IP44 180° PIR czarny Kobi Premium</t>
  </si>
  <si>
    <t>002340</t>
  </si>
  <si>
    <t>Czujnik ruchu LX41 360° PIR biały Kobi Premium</t>
  </si>
  <si>
    <t>002341</t>
  </si>
  <si>
    <t>Czujnik ruchu LX42 360° PIR Kobi Premium</t>
  </si>
  <si>
    <t>002342</t>
  </si>
  <si>
    <t>Czujnik ruchu LX701 360° MIC Kobi Pro</t>
  </si>
  <si>
    <t>002344</t>
  </si>
  <si>
    <t>Czujnik zmierzchowy LX501 Kobi</t>
  </si>
  <si>
    <t>002343</t>
  </si>
  <si>
    <t>DEKORACYJNE PODTYNKOWE</t>
  </si>
  <si>
    <t>Downlight LED HALO 5W 3000K Kobi</t>
  </si>
  <si>
    <t>002128</t>
  </si>
  <si>
    <t>Dekoracyjne podtynkowe</t>
  </si>
  <si>
    <t>Downlight LED HALO 5W 4000K Kobi</t>
  </si>
  <si>
    <t>002129</t>
  </si>
  <si>
    <t>ZEWNĘTRZNE GIRLANDY</t>
  </si>
  <si>
    <t>Kobi Design</t>
  </si>
  <si>
    <t>Girlanda BAJA LED SET 10x1W 10m  E27 Kobi Design</t>
  </si>
  <si>
    <t>002218</t>
  </si>
  <si>
    <t>Girlandy</t>
  </si>
  <si>
    <t>Girlanda BAJA LED SET 15x1W 15m E27 Kobi Design</t>
  </si>
  <si>
    <t>002220</t>
  </si>
  <si>
    <t>Girlanda BAJA LED SET 20x1W 20m E27 Kobi Design</t>
  </si>
  <si>
    <t>002221</t>
  </si>
  <si>
    <t>Girlanda BAJA LED SET 20x1W E27 10m  Kobi Design</t>
  </si>
  <si>
    <t>002219</t>
  </si>
  <si>
    <t>Girlanda CRETE 5xE27 5m Kobi Design</t>
  </si>
  <si>
    <t>001440</t>
  </si>
  <si>
    <t>Girlanda LED VENEZIA 10W Kobi Design</t>
  </si>
  <si>
    <t>001435</t>
  </si>
  <si>
    <t>Girlanda MIMOSA 2 10m 10xE27 Kobi</t>
  </si>
  <si>
    <t>002326</t>
  </si>
  <si>
    <t>Girlanda MIMOSA 10m 20xE27 Kobi</t>
  </si>
  <si>
    <t>002322</t>
  </si>
  <si>
    <t>Girlanda MIMOSA 20m 20xE27 Kobi</t>
  </si>
  <si>
    <t>002324</t>
  </si>
  <si>
    <t>Girlanda MIMOSA LED SET 10m 10x1W E27 Kobi</t>
  </si>
  <si>
    <t>002321</t>
  </si>
  <si>
    <t>Girlanda MIMOSA LED SET 20m 20x1W E27 Kobi</t>
  </si>
  <si>
    <t>002325</t>
  </si>
  <si>
    <t>High Bay LED ANICA 100W 4000K IP65 90° Kobi Pro</t>
  </si>
  <si>
    <t>001553</t>
  </si>
  <si>
    <t>High Bay LED ANICA 100W 4000K IP65 120° Kobi Pro</t>
  </si>
  <si>
    <t>001552</t>
  </si>
  <si>
    <t>High Bay LED ANICA 200W 4000K IP65 90° Kobi Pro</t>
  </si>
  <si>
    <t>001557</t>
  </si>
  <si>
    <t>High Bay LED ANICA 200W 4000K IP65 120° Kobi Pro</t>
  </si>
  <si>
    <t>001556</t>
  </si>
  <si>
    <t>High Bay LED NICO 120W 4000K IP65 60x90° Kobi Pro</t>
  </si>
  <si>
    <t>001770</t>
  </si>
  <si>
    <t>High Bay LED NINA 100W 4000K 110° Kobi Pro</t>
  </si>
  <si>
    <t>001709</t>
  </si>
  <si>
    <t>High Bay LED NINA 150W 4000K 90° Kobi Pro</t>
  </si>
  <si>
    <t>001712</t>
  </si>
  <si>
    <t>High Bay LED NINA 150W 4000K 110° Kobi Pro</t>
  </si>
  <si>
    <t>001711</t>
  </si>
  <si>
    <t>High Bay LED NINA 200W 4000K 110° Kobi Pro</t>
  </si>
  <si>
    <t>001713</t>
  </si>
  <si>
    <t>High Bay LED RIO PRO 100W 4000K IP66 Kobi Pro</t>
  </si>
  <si>
    <t>001840</t>
  </si>
  <si>
    <t>High Bay LED RIO PRO 150W 4000K IP66 Kobi Pro</t>
  </si>
  <si>
    <t>001841</t>
  </si>
  <si>
    <t>High Bay LED RIO PRO 200W 2CCT Kobi Pro</t>
  </si>
  <si>
    <t>001842</t>
  </si>
  <si>
    <t>High Bay LED RIO PRO 200W 4000K IP66 Kobi Pro</t>
  </si>
  <si>
    <t>001843</t>
  </si>
  <si>
    <t>POZOSTAŁE</t>
  </si>
  <si>
    <t>Kinkiet ELIPSE ELEGANCE K 2xG9 Kobi Design</t>
  </si>
  <si>
    <t>001541</t>
  </si>
  <si>
    <t>Lampy wiszące</t>
  </si>
  <si>
    <t>Kinkiet GLOBE ELEGANCE AMBER K 1xE14 Kobi Design</t>
  </si>
  <si>
    <t>001523</t>
  </si>
  <si>
    <t>Kinkiet GLOBE ELEGANCE BL GOLD K 1xG9 Kobi Design</t>
  </si>
  <si>
    <t>001536</t>
  </si>
  <si>
    <t>Kinkiet GLOBE ELEGANCE GOLD K 1xG9 Kobi Design</t>
  </si>
  <si>
    <t>001535</t>
  </si>
  <si>
    <t>Kinkiet GLOBE ELEGANCE SMOKE K 1xE14 Kobi Design</t>
  </si>
  <si>
    <t>001524</t>
  </si>
  <si>
    <t>Kinkiet GLOBE ELGANCE ASH K 1xG9 Kobi Design</t>
  </si>
  <si>
    <t>001529</t>
  </si>
  <si>
    <t>WEWNĘTRZNE</t>
  </si>
  <si>
    <t>Kinkiet LED LUMIREFLECT 8W 4000K czarny Kobi Design</t>
  </si>
  <si>
    <t>001461</t>
  </si>
  <si>
    <t>Kinkiet LED LUMIREFLECT 10W 4000K czarny Kobi Design</t>
  </si>
  <si>
    <t>001462</t>
  </si>
  <si>
    <t>Kinkiet LED LUMIREFLECT 12W 4000K czarny Kobi Design</t>
  </si>
  <si>
    <t>001463</t>
  </si>
  <si>
    <t>Kinkiet ogrodowy LED OME 10W 4000K LX IP54 czarny LED2B</t>
  </si>
  <si>
    <t>003704</t>
  </si>
  <si>
    <t>Ogrodowe</t>
  </si>
  <si>
    <t>Kinkiet ogrodowy LED QUERK 2x3W 3000K IP54 czarny LED2B</t>
  </si>
  <si>
    <t>003708</t>
  </si>
  <si>
    <t>Kinkiet ogrodowy LO4101 1xE27 IP54 biały Kobi</t>
  </si>
  <si>
    <t>002247</t>
  </si>
  <si>
    <t>Kinkiet ogrodowy LO4101 1xE27 IP54 czarny Kobi</t>
  </si>
  <si>
    <t>002248</t>
  </si>
  <si>
    <t>Kinkiet ogrodowy LO4101 1xE27 IP54 złoty Kobi</t>
  </si>
  <si>
    <t>002250</t>
  </si>
  <si>
    <t>Kinkiet ogrodowy LO4102 1xE27 IP54 biały Kobi</t>
  </si>
  <si>
    <t>002251</t>
  </si>
  <si>
    <t>Kinkiet ogrodowy LO4102 1xE27 IP54 czarny Kobi</t>
  </si>
  <si>
    <t>002252</t>
  </si>
  <si>
    <t>Kinkiet ogrodowy LO4102 1xE27 IP54 złoty Kobi</t>
  </si>
  <si>
    <t>002254</t>
  </si>
  <si>
    <t>Kinkiet ogrodowy QUAZAR 7 2xGU10 IP44 czarny Kobi</t>
  </si>
  <si>
    <t>002287</t>
  </si>
  <si>
    <t>Kinkiet ogrodowy QUAZAR 7 2xGU10 IP44 szary Kobi</t>
  </si>
  <si>
    <t>002288</t>
  </si>
  <si>
    <t>Kinkiet ogrodowy QUAZAR 9 2xGU10 IP44 szary Kobi</t>
  </si>
  <si>
    <t>002292</t>
  </si>
  <si>
    <t>Kinkiet ogrodowy QUAZAR 11 1xGU10 IP44 czarny Kobi</t>
  </si>
  <si>
    <t>002265</t>
  </si>
  <si>
    <t>Kinkiet ogrodowy QUAZAR 11 1xGU10 IP44 szary Kobi</t>
  </si>
  <si>
    <t>002266</t>
  </si>
  <si>
    <t>Kinkiet ogrodowy QUAZAR 15 1xGU10 IP44 czarny Kobi</t>
  </si>
  <si>
    <t>002273</t>
  </si>
  <si>
    <t>Kinkiet ogrodowy QUAZAR 15 1xGU10 IP44 szary Kobi</t>
  </si>
  <si>
    <t>002278</t>
  </si>
  <si>
    <t>Kinkiet ogrodowy QUAZAR 16 1xGU10 IP44 stalowy Kobi</t>
  </si>
  <si>
    <t>002279</t>
  </si>
  <si>
    <t>Kinkiet ogrodowy QUERK 3 2xGU10 IP54 czarna LED2B</t>
  </si>
  <si>
    <t>002307</t>
  </si>
  <si>
    <t>Kinkiet ogrodowy QUERK 4 2xGU10 IP54 czarna LED2B</t>
  </si>
  <si>
    <t>002308</t>
  </si>
  <si>
    <t>Kinkiet ogrodowy QUERK 5 2xGU10 IP54 czarna LED2B</t>
  </si>
  <si>
    <t>002309</t>
  </si>
  <si>
    <t>Kinkiet ogrodowy QUERK 6 1xGU10 IP54 czarny LED2B</t>
  </si>
  <si>
    <t>003706</t>
  </si>
  <si>
    <t>Kinkiet ogrodowy QUERK 7 2xGU10 IP54 czarny LED2B</t>
  </si>
  <si>
    <t>003707</t>
  </si>
  <si>
    <t>Kinkiet ogrodowy TEVIO KD 1xE27 IP54 czarny LED2B</t>
  </si>
  <si>
    <t>003701</t>
  </si>
  <si>
    <t>Kinkiet ogrodowy TEVIO KG 1xE27 IP54 czarny LED2B</t>
  </si>
  <si>
    <t>003699</t>
  </si>
  <si>
    <t>Kinkiet ogrodowy TEVIO KG 1xE27 LX IP54 czarny LED2B</t>
  </si>
  <si>
    <t>003700</t>
  </si>
  <si>
    <t>002274</t>
  </si>
  <si>
    <t>002275</t>
  </si>
  <si>
    <t>Kinkiet SOLAR LED LUMINA 6500K LED2B</t>
  </si>
  <si>
    <t>002244</t>
  </si>
  <si>
    <t>Ogrodowe solarne</t>
  </si>
  <si>
    <t>Klosz do zestawu CRETE LS D1 czarny 5 sztuk Kobi Design</t>
  </si>
  <si>
    <t>001443</t>
  </si>
  <si>
    <t>Klosz do zestawu CRETE LS M1 czarny 5 sztuk Kobi Design</t>
  </si>
  <si>
    <t>001441</t>
  </si>
  <si>
    <t>Klosz do zestawu CRETE LS M2 czarny 5 sztuk Kobi Design</t>
  </si>
  <si>
    <t>001442</t>
  </si>
  <si>
    <t>Klosz do zestawu CRETE LS R1 drewno 5 sztuk Kobi Design</t>
  </si>
  <si>
    <t>001444</t>
  </si>
  <si>
    <t>Klosz do zestawu CRETE LS R2 czarny 5 sztuk Kobi Design</t>
  </si>
  <si>
    <t>001445</t>
  </si>
  <si>
    <t>EL.ŁĄCZENIOWE</t>
  </si>
  <si>
    <t>Kostka halogenowa K001 G5,3 Kobi</t>
  </si>
  <si>
    <t>002367</t>
  </si>
  <si>
    <t>Kostka halogenowa K002 GU10 Kobi</t>
  </si>
  <si>
    <t>002368</t>
  </si>
  <si>
    <t>Lampa biurkowa LED VENEZIA S 2W 2700K Kobi Design</t>
  </si>
  <si>
    <t>001436</t>
  </si>
  <si>
    <t>WZROST ROŚLIN</t>
  </si>
  <si>
    <t>Lampa do roślin LED BLOOM 20W 3500K Kobi Design</t>
  </si>
  <si>
    <t>001456</t>
  </si>
  <si>
    <t>Wzrost roślin</t>
  </si>
  <si>
    <t>Lampa do roślin LED GROWLY 15W Kobi Design</t>
  </si>
  <si>
    <t>001510</t>
  </si>
  <si>
    <t>Lampa do roślin LED VERDI 5W 3200K Kobi Design</t>
  </si>
  <si>
    <t>001457</t>
  </si>
  <si>
    <t>Lampa do roślin LED VERDI 10W 3200K Kobi Design</t>
  </si>
  <si>
    <t>001458</t>
  </si>
  <si>
    <t>Lampa do roślin LED VITARO 3 CLIP 10W Kobi Design</t>
  </si>
  <si>
    <t>001513</t>
  </si>
  <si>
    <t>Lampa do roślin LED VITARO 3 ST MINI 10W Kobi Design</t>
  </si>
  <si>
    <t>001515</t>
  </si>
  <si>
    <t>Lampa do roślin LED VITARO 4 CLIP 10W Kobi Design</t>
  </si>
  <si>
    <t>001514</t>
  </si>
  <si>
    <t>Lampa do roślin LED VITARO 4 ST 30W Kobi Design</t>
  </si>
  <si>
    <t>001517</t>
  </si>
  <si>
    <t>Lampa do roślin LED VITARO 4 ST MINI 10W Kobi Design</t>
  </si>
  <si>
    <t>001516</t>
  </si>
  <si>
    <t>ZEWNĘTRZNE DOGRUNTOWE</t>
  </si>
  <si>
    <t>Lampa ogrodowa BLAKE 2 1xGU10 IP65 czarna Kobi</t>
  </si>
  <si>
    <t>002263</t>
  </si>
  <si>
    <t>Lampa ogrodowa GARDEN BALL L 1xE27 IP65 Kobi</t>
  </si>
  <si>
    <t>002225</t>
  </si>
  <si>
    <t>Lampa ogrodowa GARDEN BALL M 1xE27 IP65 Kobi</t>
  </si>
  <si>
    <t>002226</t>
  </si>
  <si>
    <t>Lampa ogrodowa GARDEN BALL S 1xE27 IP65 Kobi</t>
  </si>
  <si>
    <t>002227</t>
  </si>
  <si>
    <t>Lampa ogrodowa QUAZAR 17 1xGU10 IP44 szara Kobi</t>
  </si>
  <si>
    <t>002281</t>
  </si>
  <si>
    <t>Lampa ogrodowa QUERK 1 1xGU10 IP54 czarna LED2B</t>
  </si>
  <si>
    <t>002305</t>
  </si>
  <si>
    <t>Lampa ogrodowa QUERK 2 1xGU10 IP54 czarna LED2B</t>
  </si>
  <si>
    <t>002306</t>
  </si>
  <si>
    <t>Lampa ogrodowa solar 300 LED SPARK 3000K IP44 LED2B</t>
  </si>
  <si>
    <t>002314</t>
  </si>
  <si>
    <t>Lampa ogrodowa Solar LED GARDEN BALL 30cm 3000K+RGB Kobi Design</t>
  </si>
  <si>
    <t>003696</t>
  </si>
  <si>
    <t>Lampa ogrodowa Solar LED GARDEN BALL 40cm 3000K+RGB Kobi Design</t>
  </si>
  <si>
    <t>003697</t>
  </si>
  <si>
    <t>Lampa ogrodowa solar LED HARMONY 3000K IP44 LED2B</t>
  </si>
  <si>
    <t>002241</t>
  </si>
  <si>
    <t>Lampa ogrodowa solar LED SPECTRA 2700K IP44 LED2B</t>
  </si>
  <si>
    <t>002310</t>
  </si>
  <si>
    <t>Lampa ogrodowa Solar LED SPHERE 0,12W RGB LED2B 6x</t>
  </si>
  <si>
    <t>003695</t>
  </si>
  <si>
    <t>Lampa ogrodowa solar LED SWAY 6000K IP44 LED2B</t>
  </si>
  <si>
    <t>002318</t>
  </si>
  <si>
    <t>Lampa podłogowa AURIQ ST 1xE27 czarna LED2B</t>
  </si>
  <si>
    <t>001969</t>
  </si>
  <si>
    <t>Lampki biurkowe</t>
  </si>
  <si>
    <t>Lampa podłogowa PLAY SL 6W RGB Kobi Design</t>
  </si>
  <si>
    <t>001459</t>
  </si>
  <si>
    <t>Lampa solarna SOLAR 10 LED STARLIGHT 6000K LED2B</t>
  </si>
  <si>
    <t>002315</t>
  </si>
  <si>
    <t>Lampa solarna SOLAR 20 LED STARLIGHT 3000K LED2B</t>
  </si>
  <si>
    <t>002316</t>
  </si>
  <si>
    <t>Lampa solarna SOLAR 30 LED AURA 3000K LED2B</t>
  </si>
  <si>
    <t>002230</t>
  </si>
  <si>
    <t>Lampa solarna SOLAR 30 LED STARLIGHT 3000K LED2B</t>
  </si>
  <si>
    <t>002317</t>
  </si>
  <si>
    <t>Lampa solarna SOLAR 50 LED LUME RGB LED2B</t>
  </si>
  <si>
    <t>002245</t>
  </si>
  <si>
    <t>Latarka LED X-MPR 5W 6000K IP54 LED2B</t>
  </si>
  <si>
    <t>001430</t>
  </si>
  <si>
    <t>Lampa solarna SOLAR LED CANDELIO 2700K biały LED2B</t>
  </si>
  <si>
    <t>002233</t>
  </si>
  <si>
    <t>Latarka LED X-MPR MICRO CCT LED2B</t>
  </si>
  <si>
    <t>001431</t>
  </si>
  <si>
    <t>Lampa solarna SOLAR LED CANDELIO 2700K czarna LED2B</t>
  </si>
  <si>
    <t>002234</t>
  </si>
  <si>
    <t>Lampa solarna SOLAR LED CANDELIO 2700K złota LED2B</t>
  </si>
  <si>
    <t>002235</t>
  </si>
  <si>
    <t>Lampa sufitowa BOHO BULI S 1xE27 Kobi Design</t>
  </si>
  <si>
    <t>001488</t>
  </si>
  <si>
    <t>Lampa sufitowa BOHO FLOXEN ROUND 1xE27 Kobi Design</t>
  </si>
  <si>
    <t>001501</t>
  </si>
  <si>
    <t>Lampa sufitowa BOHO FLOXEN SLANT 1xE27 Kobi Design</t>
  </si>
  <si>
    <t>001502</t>
  </si>
  <si>
    <t>Lampa sufitowa BOHO ROVNO 1xE27 Kobi Design</t>
  </si>
  <si>
    <t>001492</t>
  </si>
  <si>
    <t>Przewód zasilający CRETE PC 5m Kobi Design</t>
  </si>
  <si>
    <t>001438</t>
  </si>
  <si>
    <t>Lampa sufitowa ELIPSE ELEGANCE S3 3xG9 Kobi Design</t>
  </si>
  <si>
    <t>001542</t>
  </si>
  <si>
    <t>Przewód zasilający CRETE PC 10m Kobi Design</t>
  </si>
  <si>
    <t>001439</t>
  </si>
  <si>
    <t>Lampa sufitowa GLOBE ELEGANCE AMBER S4 4xE14 Kobi Design</t>
  </si>
  <si>
    <t>001525</t>
  </si>
  <si>
    <t>Lampa sufitowa GLOBE ELEGANCE ASH S3 3xG9 Kobi Design</t>
  </si>
  <si>
    <t>001530</t>
  </si>
  <si>
    <t>Lampa sufitowa GLOBE ELEGANCE ASH S4 4xG9 Kobi Design</t>
  </si>
  <si>
    <t>001531</t>
  </si>
  <si>
    <t>Lampa sufitowa GLOBE ELEGANCE SMOKE S4 4xE14 Kobi Design</t>
  </si>
  <si>
    <t>001526</t>
  </si>
  <si>
    <t>Lampa sufitowa GLOBE ELEGANCE SMOKE S6 6xE14 Kobi Design</t>
  </si>
  <si>
    <t>001527</t>
  </si>
  <si>
    <t>Przedłużacz CONNECTO 4gn+USB/1,5m/Zu+W/1,5mm czarny Kobi Design</t>
  </si>
  <si>
    <t>001450</t>
  </si>
  <si>
    <t>Przedłużacz CONNECTO 4gn+USB/1,5m/Zu+W/1,5mm biały Kobi Design</t>
  </si>
  <si>
    <t>001451</t>
  </si>
  <si>
    <t>Lampa wisząca BOHO BAKU L 1xE27 Kobi Design</t>
  </si>
  <si>
    <t>001475</t>
  </si>
  <si>
    <t>Przedłużacz CONNECTO 4gn+USB/3m/Zu+W/1,5mm czarny Kobi Design</t>
  </si>
  <si>
    <t>001452</t>
  </si>
  <si>
    <t>Lampa wisząca BOHO BAKU M 1xE27 Kobi Design</t>
  </si>
  <si>
    <t>002159</t>
  </si>
  <si>
    <t>Przedłużacz CONNECTO 4gn+USB/3m/Zu+W/1,5mm biały Kobi Design</t>
  </si>
  <si>
    <t>001453</t>
  </si>
  <si>
    <t>Lampa wisząca BOHO BAKU S 1xE27 Kobi Design</t>
  </si>
  <si>
    <t>002160</t>
  </si>
  <si>
    <t>Przedłużacz CONNECTO 4gn+USB/5m/Zu+W/1,5mm czarny Kobi Design</t>
  </si>
  <si>
    <t>001454</t>
  </si>
  <si>
    <t>Lampa wisząca BOHO BEIRUT 1xE27 Kobi Design</t>
  </si>
  <si>
    <t>002158</t>
  </si>
  <si>
    <t>Przedłużacz CONNECTO 4gn+USB/5m/Zu+W/1,5mm biały Kobi Design</t>
  </si>
  <si>
    <t>001455</t>
  </si>
  <si>
    <t>Lampa wisząca BOHO BELMO 1xE27 Kobi Design</t>
  </si>
  <si>
    <t>001480</t>
  </si>
  <si>
    <t>Lampa wisząca BOHO BERN 1xE27 Kobi Design</t>
  </si>
  <si>
    <t>002156</t>
  </si>
  <si>
    <t>Lampa wisząca BOHO BIMINI 1xE27 Kobi Design</t>
  </si>
  <si>
    <t>002153</t>
  </si>
  <si>
    <t>Lampa wisząca BOHO BONN 1xE27 Kobi Design</t>
  </si>
  <si>
    <t>002157</t>
  </si>
  <si>
    <t>Lampa wisząca BOHO BONN RB 1xE27 Kobi Design</t>
  </si>
  <si>
    <t>001469</t>
  </si>
  <si>
    <t>Lampka na monitor LED LUME-IQ 5W CCT Kobi Design</t>
  </si>
  <si>
    <t>001460</t>
  </si>
  <si>
    <t>Lampa wisząca BOHO BONN RW 1xE27 Kobi Design</t>
  </si>
  <si>
    <t>001470</t>
  </si>
  <si>
    <t>Lampa wisząca BOHO BRAGA 1xE27 Kobi Design</t>
  </si>
  <si>
    <t>002152</t>
  </si>
  <si>
    <t>Lampa wisząca BOHO BRUGIA L RB 1xE27 Kobi Design</t>
  </si>
  <si>
    <t>001473</t>
  </si>
  <si>
    <t>Lampa wisząca BOHO BRUGIA L RW 1xE27 Kobi Design</t>
  </si>
  <si>
    <t>001474</t>
  </si>
  <si>
    <t>Przedłużacz FLOWFLEXER ORANGE W 2gn+USB/1,4m/Zu/1,5mm biały Kobi Design</t>
  </si>
  <si>
    <t>001464</t>
  </si>
  <si>
    <t>Lampa wisząca BOHO BRUGIA M 1xE27 Kobi Design</t>
  </si>
  <si>
    <t>002154</t>
  </si>
  <si>
    <t>Przedłużacz FLOWFLEXER ORANGE B 2gn+USB/1,4m/Zu/1,5mm czarny Kobi Design</t>
  </si>
  <si>
    <t>001465</t>
  </si>
  <si>
    <t>Lampa wisząca BOHO BRUGIA M RB 1xE27 Kobi Design</t>
  </si>
  <si>
    <t>001471</t>
  </si>
  <si>
    <t>Lampa wisząca BOHO BRUGIA M RW 1xE27 Kobi Design</t>
  </si>
  <si>
    <t>001472</t>
  </si>
  <si>
    <t>Lampa wisząca BOHO BRUGIA S 1xE27 Kobi Design</t>
  </si>
  <si>
    <t>002155</t>
  </si>
  <si>
    <t>Lampa wisząca BOHO RANGO 1xE27 Kobi Design</t>
  </si>
  <si>
    <t>002163</t>
  </si>
  <si>
    <t>Lampa wisząca BOHO RENNES  1xE27 Kobi Design</t>
  </si>
  <si>
    <t>002164</t>
  </si>
  <si>
    <t>Lampa wisząca BOHO RIGA 1xE27 Kobi Design</t>
  </si>
  <si>
    <t>002161</t>
  </si>
  <si>
    <t>Lampa wisząca BOHO RONDA 1xE27 Kobi Design</t>
  </si>
  <si>
    <t>002162</t>
  </si>
  <si>
    <t>Lampa wisząca BOHO SIBU 1xE27 Kobi Design</t>
  </si>
  <si>
    <t>002166</t>
  </si>
  <si>
    <t>Lampa wisząca BOHO SIENA 3xE27 Kobi Design</t>
  </si>
  <si>
    <t>002165</t>
  </si>
  <si>
    <t>Lampa wisząca BOHO VERONA 1xE27 Kobi Design</t>
  </si>
  <si>
    <t>002167</t>
  </si>
  <si>
    <t>Lampa wisząca BOHO VIENNA 1xE27 Kobi Design</t>
  </si>
  <si>
    <t>002168</t>
  </si>
  <si>
    <t>Lampa wisząca ELIPSE ELEGANCE S 1xG9 Kobi  Design</t>
  </si>
  <si>
    <t>001540</t>
  </si>
  <si>
    <t>Lampa wisząca GLOBE ELEGANCE ASH S 1xG9 Kobi Design</t>
  </si>
  <si>
    <t>001528</t>
  </si>
  <si>
    <t>Lampa wisząca GLOBE ELEGANCE GOLD S 1xG9 Kobi Design</t>
  </si>
  <si>
    <t>001537</t>
  </si>
  <si>
    <t>Lampa wisząca GLOBE ELEGANCE GOLD S2 2xG9 Kobi Design</t>
  </si>
  <si>
    <t>001538</t>
  </si>
  <si>
    <t>Lampa wisząca GLOBE ELEGANCE GOLD S5 5xG9 Kobi Design</t>
  </si>
  <si>
    <t>001533</t>
  </si>
  <si>
    <t>Lampka biurkowa PLANTY CLIP W 1xE27 biała Kobi Design</t>
  </si>
  <si>
    <t>001506</t>
  </si>
  <si>
    <t>Lampka biurkowa PLANTY CLIP B 1xE27 czarna Kobi Design</t>
  </si>
  <si>
    <t>001507</t>
  </si>
  <si>
    <t>Przewód ze sterownikiem LED GROWLY PC 3m Kobi Design</t>
  </si>
  <si>
    <t>001511</t>
  </si>
  <si>
    <t>Lampa wisząca ogrodowa LO4105 1xE27 IP54 biała Kobi</t>
  </si>
  <si>
    <t>002259</t>
  </si>
  <si>
    <t>Lampa wisząca ogrodowa LO4105 1xE27 IP54 czarna Kobi</t>
  </si>
  <si>
    <t>002260</t>
  </si>
  <si>
    <t>Lampa wisząca ogrodowa LO4105 1xE27 IP54 czarno-złota Kobi</t>
  </si>
  <si>
    <t>002261</t>
  </si>
  <si>
    <t>Lampa wisząca ogrodowa LO4105 1xE27 IP54 złota Kobi</t>
  </si>
  <si>
    <t>002262</t>
  </si>
  <si>
    <t>Lampa wisząca ogrodowa TEVIO W 1xE27 IP54 czarna LED2B</t>
  </si>
  <si>
    <t>003702</t>
  </si>
  <si>
    <t>Lampka biurkowa GLOBE ELEGANCE ASH ST 1xG9 Kobi Design</t>
  </si>
  <si>
    <t>001532</t>
  </si>
  <si>
    <t>Lampka biurkowa GLOBE ELEGANCE GOLD ST 1xG9 Kobi Design</t>
  </si>
  <si>
    <t>001534</t>
  </si>
  <si>
    <t>Lampka biurkowa AURIQ 1xE27 biała LED2B</t>
  </si>
  <si>
    <t>001967</t>
  </si>
  <si>
    <t>Lampka biurkowa AURIQ 1xE27 czarna LED2B</t>
  </si>
  <si>
    <t>001968</t>
  </si>
  <si>
    <t>Lampka biurkowa GLOBE ELEGANCE GOLD ST MINI 1xG9 Kobi Design</t>
  </si>
  <si>
    <t>001539</t>
  </si>
  <si>
    <t>Lampka biurkowa LED LIZBONA 3,5W IP54 Biała Kobi Premium</t>
  </si>
  <si>
    <t>001965</t>
  </si>
  <si>
    <t>Lampka biurkowa LED LIZBONA 3,5W IP54 Czarna Kobi Premium</t>
  </si>
  <si>
    <t>001966</t>
  </si>
  <si>
    <t>Lampka biurkowa LED NOBLITE 7W  CCT Czarna LED2B</t>
  </si>
  <si>
    <t>001971</t>
  </si>
  <si>
    <t>Lampka biurkowa LED NOBLITE 7W CCT Biała LED2B</t>
  </si>
  <si>
    <t>001970</t>
  </si>
  <si>
    <t>Panel LED BRISBANE 36W 60x60 4000K biały Kobi Premium</t>
  </si>
  <si>
    <t>001559</t>
  </si>
  <si>
    <t>Panel LED BRISBANE 36W 60x60 4000K czarny Kobi Premium</t>
  </si>
  <si>
    <t>001560</t>
  </si>
  <si>
    <t>Panel LED BRISBANE 36W 30x120 4000K biały Kobi Premium</t>
  </si>
  <si>
    <t>001561</t>
  </si>
  <si>
    <t>Panel LED BRISBANE 36W 30x120 4000K czarny Kobi Premium</t>
  </si>
  <si>
    <t>001562</t>
  </si>
  <si>
    <t>Lampka biurkowa LED TENUIX 14W CCT czarna LED2B</t>
  </si>
  <si>
    <t>001972</t>
  </si>
  <si>
    <t>Panel LED CAPRI 28W 60x60 4000K IP44 Kobi Pro</t>
  </si>
  <si>
    <t>001567</t>
  </si>
  <si>
    <t>Lampka biurkowa LED TENUIX DUO 28W CCT czarna LED2B</t>
  </si>
  <si>
    <t>001973</t>
  </si>
  <si>
    <t>Panel LED CAPRI 36W 60x60 4000K Kobi Pro</t>
  </si>
  <si>
    <t>001570</t>
  </si>
  <si>
    <t>Lampka biurkowa LED VISUA DESK 5W biała LED2B</t>
  </si>
  <si>
    <t>001974</t>
  </si>
  <si>
    <t>Panel LED CAPRI 36W 30x120 4000K UGR &lt;19 Kobi Pro</t>
  </si>
  <si>
    <t>001573</t>
  </si>
  <si>
    <t>Lampka biurkowa LED VISUA DESK 5W czarna LED2B</t>
  </si>
  <si>
    <t>001975</t>
  </si>
  <si>
    <t>Panel LED CAPRI 40W 60x60 3000K Kobi Pro</t>
  </si>
  <si>
    <t>001574</t>
  </si>
  <si>
    <t>Lampka biurkowa LED VISUA DESK 5W miętowa LED2B</t>
  </si>
  <si>
    <t>001976</t>
  </si>
  <si>
    <t>Panel LED CAPRI 40W 60x60 4000K IP65 Kobi Pro</t>
  </si>
  <si>
    <t>001576</t>
  </si>
  <si>
    <t>Lampka biurkowa LED VISUA DESK 5W niebieska LED2B</t>
  </si>
  <si>
    <t>001977</t>
  </si>
  <si>
    <t>Panel LED CAPRI 50W 60x60 4000K Kobi Pro</t>
  </si>
  <si>
    <t>001578</t>
  </si>
  <si>
    <t>Lampka biurkowa LED VISUA DESK 5W różowa LED2B</t>
  </si>
  <si>
    <t>001978</t>
  </si>
  <si>
    <t>Lampka biurkowa LED VISUA DESK 5W szara LED2B</t>
  </si>
  <si>
    <t>001979</t>
  </si>
  <si>
    <t>ULICZNE</t>
  </si>
  <si>
    <t>Oprawa drogowa LED CYOTO 100W 4000K LX Kobi Premium</t>
  </si>
  <si>
    <t>001580</t>
  </si>
  <si>
    <t>Uliczne</t>
  </si>
  <si>
    <t>Oprawa drogowa LED CYOTO 50W 4000K LX Kobi Premium</t>
  </si>
  <si>
    <t>001581</t>
  </si>
  <si>
    <t>Oprawa hermetyczna LED CORTEZ 2 60W 120cm 4000K IP65 Kobi Premium</t>
  </si>
  <si>
    <t>001583</t>
  </si>
  <si>
    <t>Oprawa hermetyczna LED CORTEZ 3 45W 4000K IP65 Kobi</t>
  </si>
  <si>
    <t>001586</t>
  </si>
  <si>
    <t>Plafon LED DEFENDER 18W 4000K IP66  Kobi Pro</t>
  </si>
  <si>
    <t>001593</t>
  </si>
  <si>
    <t>Lampka biurkowa ŚMIESZEK 1xE27 biała Kobi</t>
  </si>
  <si>
    <t>001958</t>
  </si>
  <si>
    <t>Plafon LED DEFENDER 24W 4000K IP66 Kobi Pro</t>
  </si>
  <si>
    <t>001594</t>
  </si>
  <si>
    <t>Lampka biurkowa ŚMIESZEK 1xE27 czarna Kobi</t>
  </si>
  <si>
    <t>001959</t>
  </si>
  <si>
    <t>Plafon LED DEFENDER 18W 4000K LX IP66 Kobi Pro</t>
  </si>
  <si>
    <t>001595</t>
  </si>
  <si>
    <t>Lampka biurkowa ŚMIESZEK 1xE27 czerwona Kobi</t>
  </si>
  <si>
    <t>001960</t>
  </si>
  <si>
    <t>Plafon LED DEFENDER 24W 4000K LX IP66 Kobi Pro</t>
  </si>
  <si>
    <t>001596</t>
  </si>
  <si>
    <t>Lampka biurkowa ŚMIESZEK 1xE27 niebieska Kobi</t>
  </si>
  <si>
    <t>001961</t>
  </si>
  <si>
    <t>Lampka biurkowa ŚMIESZEK 1xE27 różowa Kobi</t>
  </si>
  <si>
    <t>001962</t>
  </si>
  <si>
    <t>Lampka biurkowa ŚMIESZEK 1xE27 zielona Kobi</t>
  </si>
  <si>
    <t>001963</t>
  </si>
  <si>
    <t>Lampka biurkowa ŚMIESZEK 1xE27 żółta Kobi</t>
  </si>
  <si>
    <t>001964</t>
  </si>
  <si>
    <t>LINIOWE HERMETYCZNE</t>
  </si>
  <si>
    <t>Oprawa hermetyczna HERMETIC 1x120 IP65 Kobi</t>
  </si>
  <si>
    <t>001602</t>
  </si>
  <si>
    <t>Liniowe hermetyczne</t>
  </si>
  <si>
    <t>Oprawa hermetyczna HERMETIC 1x150 IP65 Kobi</t>
  </si>
  <si>
    <t>001603</t>
  </si>
  <si>
    <t>Oprawa hermetyczna HERMETIC 1x60 IP65 Kobi</t>
  </si>
  <si>
    <t>001604</t>
  </si>
  <si>
    <t>Linka do panelu LED Kobi</t>
  </si>
  <si>
    <t>001777</t>
  </si>
  <si>
    <t>Oprawa hermetyczna HERMETIC 2x120 IP65 Kobi</t>
  </si>
  <si>
    <t>001605</t>
  </si>
  <si>
    <t>SZYNOPRZEWÓD AKCESORIA</t>
  </si>
  <si>
    <t>Łącznik do szynoprzewodu 3-obwodowy FLEX zewnętrzny biały Kobi</t>
  </si>
  <si>
    <t>002814</t>
  </si>
  <si>
    <t>Szynoprzewód i akcesoria</t>
  </si>
  <si>
    <t>Oprawa hermetyczna HERMETIC 2x150 IP65 Kobi</t>
  </si>
  <si>
    <t>001606</t>
  </si>
  <si>
    <t>Łącznik do szynoprzewodu 3-obwodowy FLEX zewnętrzny czarny Kobi</t>
  </si>
  <si>
    <t>002815</t>
  </si>
  <si>
    <t>Oprawa hermetyczna HERMETIC 2x60 IP65 Kobi</t>
  </si>
  <si>
    <t>001607</t>
  </si>
  <si>
    <t>Łącznik do szynoprzewodu 3-obwodowy I wewnętrzny biały Kobi</t>
  </si>
  <si>
    <t>002816</t>
  </si>
  <si>
    <t>Oprawa hermetyczna HERMIC 1x120 IP65 Kobi</t>
  </si>
  <si>
    <t>001608</t>
  </si>
  <si>
    <t>Łącznik do szynoprzewodu 3-obwodowy I wewnętrzny czarny Kobi</t>
  </si>
  <si>
    <t>002817</t>
  </si>
  <si>
    <t>Oprawa hermetyczna HERMIC 2x120 IP65 Kobi</t>
  </si>
  <si>
    <t>001610</t>
  </si>
  <si>
    <t>Łącznik do szynoprzewodu 3-obwodowy I zewnętrzny biały Kobi</t>
  </si>
  <si>
    <t>002818</t>
  </si>
  <si>
    <t>ULICZNE SOLARNE</t>
  </si>
  <si>
    <t>Oprawa parkowa HYBRID LED FUSION 14W 4000K IP65 Kobi Pro</t>
  </si>
  <si>
    <t>001613</t>
  </si>
  <si>
    <t>Uliczne solarne</t>
  </si>
  <si>
    <t>Łącznik do szynoprzewodu 3-obwodowy I zewnętrzny czarny Kobi</t>
  </si>
  <si>
    <t>002819</t>
  </si>
  <si>
    <t>Oprawa linowa LED KOLINE K1 20W 4000K biała Kobi Pro</t>
  </si>
  <si>
    <t>001615</t>
  </si>
  <si>
    <t>Łącznik do szynoprzewodu 3-obwodowy L LEWY zewnętrzny biały Kobi</t>
  </si>
  <si>
    <t>002824</t>
  </si>
  <si>
    <t>Łącznik do szynoprzewodu 3-obwodowy L LEWY zewnętrzny czarny Kobi</t>
  </si>
  <si>
    <t>002825</t>
  </si>
  <si>
    <t>Łącznik do szynoprzewodu 3-obwodowy L PRAWY zewnętrzny biały Kobi</t>
  </si>
  <si>
    <t>002826</t>
  </si>
  <si>
    <t>Oprawa linowa LED KOLINE K1 20W 4000K czarna Kobi Pro</t>
  </si>
  <si>
    <t>001618</t>
  </si>
  <si>
    <t>Łącznik do szynoprzewodu 3-obwodowy L PRAWY zewnętrzny czarny Kobi</t>
  </si>
  <si>
    <t>002827</t>
  </si>
  <si>
    <t>Łącznik do szynoprzewodu 3-obwodowy T zewnętrzny biały Kobi</t>
  </si>
  <si>
    <t>002820</t>
  </si>
  <si>
    <t>Oprawa linowa LED KOLINE K1 40W 4000K biała Kobi Pro</t>
  </si>
  <si>
    <t>001620</t>
  </si>
  <si>
    <t>Łącznik do szynoprzewodu 3-obwodowy T zewnętrzny czarny Kobi</t>
  </si>
  <si>
    <t>002821</t>
  </si>
  <si>
    <t>Łącznik do szynoprzewodu 3-obwodowy X zewnętrzny biały Kobi</t>
  </si>
  <si>
    <t>002822</t>
  </si>
  <si>
    <t>Łącznik do szynoprzewodu 3-obwodowy X zewnętrzny czarny Kobi</t>
  </si>
  <si>
    <t>002823</t>
  </si>
  <si>
    <t>Oprawa linowa LED KOLINE K1 40W 4000K czarna Kobi Pro</t>
  </si>
  <si>
    <t>001623</t>
  </si>
  <si>
    <t>Panel LED CAMARO 40W 60x60 4000K LED2B</t>
  </si>
  <si>
    <t>001633</t>
  </si>
  <si>
    <t>INNE</t>
  </si>
  <si>
    <t>Łącznik PROSTY do LED KOLINE K2 Kobi</t>
  </si>
  <si>
    <t>003721</t>
  </si>
  <si>
    <t>Oprawa hermetyczna LED MIVRO 36W 4000K IP65 LED2B</t>
  </si>
  <si>
    <t>001634</t>
  </si>
  <si>
    <t>Łącznik T do LED KOLINE K2 biały Kobi Pro</t>
  </si>
  <si>
    <t>003717</t>
  </si>
  <si>
    <t>Naświetlacz Solar LED NCS 10W 6500K IP65 LED2B</t>
  </si>
  <si>
    <t>001635</t>
  </si>
  <si>
    <t>Łącznik T do LED KOLINE K2 czarny Kobi Pro</t>
  </si>
  <si>
    <t>003718</t>
  </si>
  <si>
    <t>Naświetlacz Solar LED NCS 20W 6500K IP65 LED2B</t>
  </si>
  <si>
    <t>001636</t>
  </si>
  <si>
    <t>Łącznik X do LED KOLINE K2 biały Kobi Pro</t>
  </si>
  <si>
    <t>003715</t>
  </si>
  <si>
    <t>Naświetlacz Solar LED NCS 30W 6500K IP65 LED2B</t>
  </si>
  <si>
    <t>001637</t>
  </si>
  <si>
    <t>Łącznik X do LED KOLINE K2 czarny Kobi Pro</t>
  </si>
  <si>
    <t>003716</t>
  </si>
  <si>
    <t>LED2B Red</t>
  </si>
  <si>
    <t>Naświetlacze LED</t>
  </si>
  <si>
    <t>Miernik poboru energii KOBI PMM 1 biały Kobi</t>
  </si>
  <si>
    <t>002352</t>
  </si>
  <si>
    <t>Naświetlacz LED MH 100W 6500K IP65 czarny LED2B RED</t>
  </si>
  <si>
    <t>001641</t>
  </si>
  <si>
    <t>Miernik poboru energii KOBI PMM 2 czarny Kobi</t>
  </si>
  <si>
    <t>002353</t>
  </si>
  <si>
    <t>Naświetlacz LED MH 10W 3000K IP65 czarny LED2B</t>
  </si>
  <si>
    <t>001642</t>
  </si>
  <si>
    <t>Miernik poboru energii KOBI PMM 3 biały Kobi</t>
  </si>
  <si>
    <t>002354</t>
  </si>
  <si>
    <t>Naświetlacz LED MH 10W 4000K IP65 czarny LED2B</t>
  </si>
  <si>
    <t>001643</t>
  </si>
  <si>
    <t>Czujnik ruchu ZHAGA HD06VCRH7C</t>
  </si>
  <si>
    <t>002347</t>
  </si>
  <si>
    <t>Naświetlacz LED MH 10W 4000K IP65 czarny LED2B RED</t>
  </si>
  <si>
    <t>001644</t>
  </si>
  <si>
    <t>Naświetlacz LED KOBI SEUL 50W 4000K IP65 Kobi Pro</t>
  </si>
  <si>
    <t>001856</t>
  </si>
  <si>
    <t>Naświetlacz LED MH 10W 6500K IP65 czarny LED2B</t>
  </si>
  <si>
    <t>001645</t>
  </si>
  <si>
    <t>Naświetlacz LED KOBI SEUL 100W 4000K IP65 Kobi Pro</t>
  </si>
  <si>
    <t>001853</t>
  </si>
  <si>
    <t>Naświetlacz LED MH 10W 6500K IP65 czarny LED2B RED</t>
  </si>
  <si>
    <t>001646</t>
  </si>
  <si>
    <t>Naświetlacz LED KOBI SEUL 150W 4000K IP65 Kobi Pro</t>
  </si>
  <si>
    <t>001854</t>
  </si>
  <si>
    <t>Naświetlacz LED KOBI SEUL 200W 4000K IP65 Kobi Pro</t>
  </si>
  <si>
    <t>001855</t>
  </si>
  <si>
    <t>Naświetlacz LED MH 20W 4000K IP65 czarny LED2B RED</t>
  </si>
  <si>
    <t>001649</t>
  </si>
  <si>
    <t>Naświetlacz LED MH 20W 6500K IP65 czarny LED2B</t>
  </si>
  <si>
    <t>001650</t>
  </si>
  <si>
    <t>Naświetlacz LED MH 20W 6500K IP65 czarny LED2B RED</t>
  </si>
  <si>
    <t>001651</t>
  </si>
  <si>
    <t>Naświetlacz LED MH 30W 4000K IP65 czarny LED2B RED</t>
  </si>
  <si>
    <t>001654</t>
  </si>
  <si>
    <t>Naświetlacz LED MH 30W 6500K IP65 czarny LED2B RED</t>
  </si>
  <si>
    <t>001656</t>
  </si>
  <si>
    <t>Naświetlacz LED MH 50W 4000K IP65 czarny LED2B RED</t>
  </si>
  <si>
    <t>001659</t>
  </si>
  <si>
    <t>Naświetlacz LED MH 50W 6500K IP65 czarny LED2B RED</t>
  </si>
  <si>
    <t>001661</t>
  </si>
  <si>
    <t>Naświetlacz LED MHC 10W 3000K IP44 czarny LED2B</t>
  </si>
  <si>
    <t>001663</t>
  </si>
  <si>
    <t>001664</t>
  </si>
  <si>
    <t>Naświetlacz LED MHC 10W 4000K IP44 czarny LED2B RED</t>
  </si>
  <si>
    <t>001665</t>
  </si>
  <si>
    <t>001666</t>
  </si>
  <si>
    <t>Naświetlacz LED MHC 10W 6500K IP44 czarny LED2B RED</t>
  </si>
  <si>
    <t>001667</t>
  </si>
  <si>
    <t>Naświetlacz LED MHC 20W 4000K IP44 czarny LED2B RED</t>
  </si>
  <si>
    <t>001670</t>
  </si>
  <si>
    <t>Naświetlacz LED MHC 20W 6500K IP44 czarny LED2B RED</t>
  </si>
  <si>
    <t>001672</t>
  </si>
  <si>
    <t>Naświetlacz LED MHC 30W 4000K IP44 czarny LED2B RED</t>
  </si>
  <si>
    <t>001675</t>
  </si>
  <si>
    <t>001676</t>
  </si>
  <si>
    <t>Naświetlacz LED MHC 30W 6500K IP44 czarny LED2B RED</t>
  </si>
  <si>
    <t>001677</t>
  </si>
  <si>
    <t>Naświetlacz LED MHC 50W 3000K IP44 czarny LED2B</t>
  </si>
  <si>
    <t>001678</t>
  </si>
  <si>
    <t>Naświetlacz LED MHC 50W 4000K IP44 czarny LED2B RED</t>
  </si>
  <si>
    <t>001680</t>
  </si>
  <si>
    <t>Oprawa drogowa LED MASTER STREET 120W 4000K IP66 MB Kobi Pro</t>
  </si>
  <si>
    <t>001686</t>
  </si>
  <si>
    <t>Oprawa drogowa LED MASTER STREET 120W 4000K IP66 WB Kobi Pro</t>
  </si>
  <si>
    <t>001687</t>
  </si>
  <si>
    <t>Oprawa drogowa LED MASTER STREET 35W 4000K IP66 MB Kobi Pro</t>
  </si>
  <si>
    <t>001690</t>
  </si>
  <si>
    <t>Oprawa drogowa LED MASTER STREET 35W 4000K IP66 WB Kobi Pro</t>
  </si>
  <si>
    <t>001691</t>
  </si>
  <si>
    <t>Oprawa drogowa LED MASTER STREET 80W 4000K IP66 WB Kobi Pro</t>
  </si>
  <si>
    <t>001693</t>
  </si>
  <si>
    <t>Plafon LED NAIROS G2 12W 3CCT IP65 biały Kobi Premium</t>
  </si>
  <si>
    <t>001694</t>
  </si>
  <si>
    <t>Plafon LED NAIROS G2 12W 3CCT IP65 czarny Kobi Premium</t>
  </si>
  <si>
    <t>001695</t>
  </si>
  <si>
    <t>Plafon LED NAIROS G2 18W 3CCT IP65 biały Kobi Premium</t>
  </si>
  <si>
    <t>001696</t>
  </si>
  <si>
    <t>Plafon LED NAIROS G2 18W 3CCT IP65 czarny Kobi Premium</t>
  </si>
  <si>
    <t>001697</t>
  </si>
  <si>
    <t>Plafon LED NAIROS G2 24W 3CCT IP65 biały Kobi Premium</t>
  </si>
  <si>
    <t>001698</t>
  </si>
  <si>
    <t>Plafon LED NAIROS G2 24W 3CCT IP65 czarny Kobi Premium</t>
  </si>
  <si>
    <t>001699</t>
  </si>
  <si>
    <t>Plafon LED NAIROS G2 36W 3CCT IP65 biały Kobi Premium</t>
  </si>
  <si>
    <t>001700</t>
  </si>
  <si>
    <t>Naświetlacz LED MHN 20W 6500K IP65 Kobi Premium</t>
  </si>
  <si>
    <t>001740</t>
  </si>
  <si>
    <t>Plafon LED NAIROS G2 12W 3CCT LX IP65 biały Kobi Premium</t>
  </si>
  <si>
    <t>001701</t>
  </si>
  <si>
    <t>Plafon LED NAIROS G2 12W 3CCT LX IP65 czarny Kobi Premium</t>
  </si>
  <si>
    <t>001702</t>
  </si>
  <si>
    <t>Naświetlacz LED MHN 100W 6500K IP65 Kobi Premium</t>
  </si>
  <si>
    <t>001732</t>
  </si>
  <si>
    <t>Plafon LED NAIROS G2 18W 3CCT LX IP65 biały Kobi Premium</t>
  </si>
  <si>
    <t>001703</t>
  </si>
  <si>
    <t>Plafon LED NAIROS G2 18W 3CCT LX IP65 czarny Kobi Premium</t>
  </si>
  <si>
    <t>001704</t>
  </si>
  <si>
    <t>Plafon LED NAIROS G2 24W 3CCT LX IP65 biały Kobi Premium</t>
  </si>
  <si>
    <t>001705</t>
  </si>
  <si>
    <t>Plafon LED NAIROS G2 24W 3CCT LX IP65 czarny Kobi Premium</t>
  </si>
  <si>
    <t>001706</t>
  </si>
  <si>
    <t>Plafon LED NAIROS G2 36W 3CCT LX IP65 biały Kobi Premium</t>
  </si>
  <si>
    <t>001707</t>
  </si>
  <si>
    <t>Naświetlacz LED TIGRA S 2x30W 4000K IP65 Kobi</t>
  </si>
  <si>
    <t>001768</t>
  </si>
  <si>
    <t>Osłona do LED NINA HB 100W Kobi</t>
  </si>
  <si>
    <t>001708</t>
  </si>
  <si>
    <t>Naświetlacz LED US 300W 5000K IP65 60° DIM Kobi Pro</t>
  </si>
  <si>
    <t>001866</t>
  </si>
  <si>
    <t>Naświetlacz LED US 300W 5000K IP65 90° DIM Kobi Pro</t>
  </si>
  <si>
    <t>001867</t>
  </si>
  <si>
    <t>Naświetlacz LED US 500W 5000K IP66 60° DIM Kobi Pro</t>
  </si>
  <si>
    <t>001869</t>
  </si>
  <si>
    <t>Osłona do LED NINA HB 200W Kobi</t>
  </si>
  <si>
    <t>001716</t>
  </si>
  <si>
    <t>Naświetlacz Solar LED MHCS 10W 4000K IP65 Kobi Premium</t>
  </si>
  <si>
    <t>001814</t>
  </si>
  <si>
    <t>Naświetlacz solar LED PHOTON 3000K IP44 8-pak LED2B</t>
  </si>
  <si>
    <t>002304</t>
  </si>
  <si>
    <t>Oprawa liniowa hermetyczna LED NEXFORCE N2 36W 4000K Kobi Pro</t>
  </si>
  <si>
    <t>001726</t>
  </si>
  <si>
    <t>Oprawa liniowa hermetyczna LED NEXFORCE N2 52W 4000K Kobi Pro</t>
  </si>
  <si>
    <t>001727</t>
  </si>
  <si>
    <t>Oprawa liniowa hermetyczna LED NEXFORCE N2 70W 4000K Kobi Pro</t>
  </si>
  <si>
    <t>001728</t>
  </si>
  <si>
    <t>Naświetlacz solar LED GLOW 6000K IP44 LED2B</t>
  </si>
  <si>
    <t>002240</t>
  </si>
  <si>
    <t>Panel LED NELIO 40W 30x120 4000K Kobi Premium</t>
  </si>
  <si>
    <t>001771</t>
  </si>
  <si>
    <t>003693</t>
  </si>
  <si>
    <t>Naświetlacz Solar LED KOBI NEW PHOENIX 13W 4000K IP65 Kobi</t>
  </si>
  <si>
    <t>001810</t>
  </si>
  <si>
    <t>Panel LED NELIO 40W 30x120 4000K Kobi Pro</t>
  </si>
  <si>
    <t>001774</t>
  </si>
  <si>
    <t>Naświetlacz Solar LED MHC 5W 4000K IP65 Kobi</t>
  </si>
  <si>
    <t>001807</t>
  </si>
  <si>
    <t>Panel LED NELIO 40W 60x60 4000K Kobi Pro</t>
  </si>
  <si>
    <t>001775</t>
  </si>
  <si>
    <t>Naświetlacz Solar LED MHC 10W 4000K IP65 Kobi</t>
  </si>
  <si>
    <t>001805</t>
  </si>
  <si>
    <t>Naświetlacz solar LED MHCS 30W 2CCT IP65 Kobi Premium</t>
  </si>
  <si>
    <t>003670</t>
  </si>
  <si>
    <t>Panel LED NELIO 28W 30x60 4000K Kobi Premium</t>
  </si>
  <si>
    <t>001778</t>
  </si>
  <si>
    <t>Naświetlacz Solar LED PRISM 6000K LED2B</t>
  </si>
  <si>
    <t>002303</t>
  </si>
  <si>
    <t>DEKORACYJNE NATYNKOWE</t>
  </si>
  <si>
    <t>Oprawa do nabudowania AQUARIUS 1xGU10 kwadrat IP44 biały Kobi</t>
  </si>
  <si>
    <t>002005</t>
  </si>
  <si>
    <t>Dekoracyjne natynkowe</t>
  </si>
  <si>
    <t>Oprawa liniowa hermetyczna LED NEGRO 20W 4000K Kobi Premium</t>
  </si>
  <si>
    <t>001790</t>
  </si>
  <si>
    <t>Oprawa liniowa hermetyczna LED NEGRO 36W 4000K Kobi Premium</t>
  </si>
  <si>
    <t>001791</t>
  </si>
  <si>
    <t>Oprawa do nabudowania AQUARIUS 1xGU10 kwadrat IP44 czarny Kobi</t>
  </si>
  <si>
    <t>002007</t>
  </si>
  <si>
    <t>Oprawa liniowa hermetyczna LED NEGRO 36W 6000K Kobi Premium</t>
  </si>
  <si>
    <t>001792</t>
  </si>
  <si>
    <t>Oprawa do nabudowania AQUARIUS 1xGU10 okrągły IP44 biały Kobi</t>
  </si>
  <si>
    <t>002002</t>
  </si>
  <si>
    <t>Oprawa liniowa hermetyczna LED NEGRO 60W 4000K Kobi Premium</t>
  </si>
  <si>
    <t>001793</t>
  </si>
  <si>
    <t>Oprawa do nabudowania AQUARIUS 1xGU10 okrągły IP44 chrom Kobi</t>
  </si>
  <si>
    <t>002003</t>
  </si>
  <si>
    <t>Plafon LED NAIROS 12W CCT IP65 biały Kobi Premium</t>
  </si>
  <si>
    <t>001794</t>
  </si>
  <si>
    <t>Oprawa do nabudowania AQUARIUS 1xGU10 okrągły IP44 czarny Kobi</t>
  </si>
  <si>
    <t>002004</t>
  </si>
  <si>
    <t>Plafon LED NAIROS 24W CCT IP65 biały Kobi Premium</t>
  </si>
  <si>
    <t>001798</t>
  </si>
  <si>
    <t>Oprawa drogowa Solar LED STREET 15W 4000K IP65 Kobi</t>
  </si>
  <si>
    <t>001819</t>
  </si>
  <si>
    <t>Oprawa drogowa Solar LED STREET 40W 4000K IP65 Kobi Premium</t>
  </si>
  <si>
    <t>001821</t>
  </si>
  <si>
    <t>Plafon LED NAIROS 12W CCT LX IP65  czarny Kobi Premium</t>
  </si>
  <si>
    <t>001831</t>
  </si>
  <si>
    <t>Plafon LED NAIROS 24W CCT LX IP65 biały Kobi Premium</t>
  </si>
  <si>
    <t>001834</t>
  </si>
  <si>
    <t>Oprawa do nadbudowania OH36 biała Kobi</t>
  </si>
  <si>
    <t>002089</t>
  </si>
  <si>
    <t>Oprawa do nadbudowania OH36 czarna Kobi</t>
  </si>
  <si>
    <t>002091</t>
  </si>
  <si>
    <t>Plafon LED SIGARO CIRCLE 18W 4000K Kobi Premium</t>
  </si>
  <si>
    <t>001847</t>
  </si>
  <si>
    <t>Oprawa do nadbudowania OH36 L biała Kobi</t>
  </si>
  <si>
    <t>002092</t>
  </si>
  <si>
    <t>Plafon LED SIGARO CIRCLE 24W 4000K Kobi Premium</t>
  </si>
  <si>
    <t>001848</t>
  </si>
  <si>
    <t>Oprawa do nadbudowania OH36 L czarna Kobi</t>
  </si>
  <si>
    <t>002094</t>
  </si>
  <si>
    <t>Oprawa do nadbudowania OH36 S biała Kobi</t>
  </si>
  <si>
    <t>002095</t>
  </si>
  <si>
    <t>Oprawa do nadbudowania OH36 S czarna Kobi</t>
  </si>
  <si>
    <t>002097</t>
  </si>
  <si>
    <t>Oprawa do nadbudowania OH37 chrom  Kobi</t>
  </si>
  <si>
    <t>002099</t>
  </si>
  <si>
    <t>Oprawa do nadbudowania OH37 czarna Kobi</t>
  </si>
  <si>
    <t>002100</t>
  </si>
  <si>
    <t>Oprawa do nadbudowania OH37 L chrom  Kobi</t>
  </si>
  <si>
    <t>002102</t>
  </si>
  <si>
    <t>Plafon LED SIGARO SQUARE 18W 4000K Kobi Premium</t>
  </si>
  <si>
    <t>001862</t>
  </si>
  <si>
    <t>Plafon LED SIGARO SQUARE 24W 4000K Kobi Premium</t>
  </si>
  <si>
    <t>001863</t>
  </si>
  <si>
    <t>Oprawa do nadbudowania OH37 S czarna Kobi</t>
  </si>
  <si>
    <t>002106</t>
  </si>
  <si>
    <t>Plafon LED SOFI 13W 4000K LX  Kobi Premium</t>
  </si>
  <si>
    <t>001864</t>
  </si>
  <si>
    <t>Oprawa drogowa LED VESPA PRO 100W 4000K IP66 Kobi Pro</t>
  </si>
  <si>
    <t>001876</t>
  </si>
  <si>
    <t>Oprawa drogowa LED VESPA PRO 150W 4000K IP66 Kobi Pro</t>
  </si>
  <si>
    <t>001877</t>
  </si>
  <si>
    <t>Oprawa drogowa LED VESPA PRO 200W 4000K IP66 Kobi Pro</t>
  </si>
  <si>
    <t>001878</t>
  </si>
  <si>
    <t>Oprawa drogowa LED VESPA PRO 40W 4000K IP66 Kobi Pro</t>
  </si>
  <si>
    <t>001881</t>
  </si>
  <si>
    <t>Oprawa drogowa LED VESPA PRO 60W 4000K IP66 Kobi Pro</t>
  </si>
  <si>
    <t>001882</t>
  </si>
  <si>
    <t>LINIOWE NIEHERMETYCZNE</t>
  </si>
  <si>
    <t>Oprawa liniowa ZEBRA 2x120 Kobi</t>
  </si>
  <si>
    <t>001884</t>
  </si>
  <si>
    <t>Liniowe niehermetyczne</t>
  </si>
  <si>
    <t>Przedłużacz LINEA 3gn/1,5m/Zu Kobi</t>
  </si>
  <si>
    <t>001903</t>
  </si>
  <si>
    <t>Przedłużacz LINEA 3gn/3m/Zu Kobi</t>
  </si>
  <si>
    <t>001904</t>
  </si>
  <si>
    <t>Przedłużacz LINEA 3gn/5m/Zu Kobi</t>
  </si>
  <si>
    <t>001905</t>
  </si>
  <si>
    <t>Przedłużacz LINEA 4gn/1,5m/Zu Kobi</t>
  </si>
  <si>
    <t>001906</t>
  </si>
  <si>
    <t>Oprawa drogowa Solar LED SOLIT 11W 4000K IP54 Kobi</t>
  </si>
  <si>
    <t>003694</t>
  </si>
  <si>
    <t>Przedłużacz LINEA 4gn/3m/Zu Kobi</t>
  </si>
  <si>
    <t>001907</t>
  </si>
  <si>
    <t>Przedłużacz LINEA 4gn/5m/Zu Kobi</t>
  </si>
  <si>
    <t>001908</t>
  </si>
  <si>
    <t>Oprawa drogowa Solar LED STREET 30W 2CCT IP65 Kobi Premium</t>
  </si>
  <si>
    <t>001820</t>
  </si>
  <si>
    <t>Przedłużacz LINEA 5gn/1,5m/Zu Kobi</t>
  </si>
  <si>
    <t>001909</t>
  </si>
  <si>
    <t>Przedłużacz LINEA 5gn/3m/Zu Kobi</t>
  </si>
  <si>
    <t>001910</t>
  </si>
  <si>
    <t>Oprawa drogowa Solar LED URBI 8W 6500K IP54 LED2B</t>
  </si>
  <si>
    <t>003687</t>
  </si>
  <si>
    <t>Przedłużacz LINEA 5gn/5m/Zu Kobi</t>
  </si>
  <si>
    <t>001911</t>
  </si>
  <si>
    <t>Przedłużacz LINEA 3gn/3m/Zu+W Kobi</t>
  </si>
  <si>
    <t>001912</t>
  </si>
  <si>
    <t>Przedłużacz LINEA 3gn/5m/Zu+W Kobi</t>
  </si>
  <si>
    <t>001913</t>
  </si>
  <si>
    <t>Przedłużacz LINEA 5gn/3m/Zu+W Kobi</t>
  </si>
  <si>
    <t>001914</t>
  </si>
  <si>
    <t>Przedłużacz LINEA 5gn/5m/Zu+W Kobi</t>
  </si>
  <si>
    <t>001915</t>
  </si>
  <si>
    <t>Przedłużacz LINEA PRO CUBE 3gn+3USB/1USB-C/Zu+W biały Kobi</t>
  </si>
  <si>
    <t>001916</t>
  </si>
  <si>
    <t>Przedłużacz LINEA PRO CUBE 3gn+3USB/1USB-C/Zu+W czarny Kobi</t>
  </si>
  <si>
    <t>001917</t>
  </si>
  <si>
    <t>Przedłużacz LINEA PRO CUBE C 3gn+3USB/1USB-C/1,5m/Zu+W biały Kobi</t>
  </si>
  <si>
    <t>001918</t>
  </si>
  <si>
    <t>Przedłużacz LINEA PRO CUBE C 3gn+3USB/1USB-C/1,5m/Zu+W czarny Kobi</t>
  </si>
  <si>
    <t>001919</t>
  </si>
  <si>
    <t>Przedłużacz LINEA PRO FL 2gn+3USB/1USB-C/0,2m biały Kobi</t>
  </si>
  <si>
    <t>001920</t>
  </si>
  <si>
    <t>Przedłużacz LINEA PRO FL 2gn+3USB/1USB-C/0,2m czarny Kobi</t>
  </si>
  <si>
    <t>001921</t>
  </si>
  <si>
    <t>Przedłużacz LINEA PRO 3gn+4USB/1USB-C/1,5m/Zu+W biały Kobi</t>
  </si>
  <si>
    <t>001922</t>
  </si>
  <si>
    <t>Przedłużacz LINEA PRO 3gn+4USB/1USB-C/1,5m/Zu+W czarny Kobi</t>
  </si>
  <si>
    <t>001923</t>
  </si>
  <si>
    <t>Przedłużacz LINEA PRO 3gn+4USB/1USB-C/3m/Zu+W biały Kobi</t>
  </si>
  <si>
    <t>001924</t>
  </si>
  <si>
    <t>Przedłużacz LINEA PRO 3gn+4USB/1USB-C/3m/Zu+W czarny Kobi</t>
  </si>
  <si>
    <t>001925</t>
  </si>
  <si>
    <t>Oprawa hermetyczna LED CORTEZ 18W 4000K IP65 LED2B</t>
  </si>
  <si>
    <t>003671</t>
  </si>
  <si>
    <t>Przedłużacz LINEA PRO 3gn+4USB/1USB-C/5m/Zu+W biały Kobi</t>
  </si>
  <si>
    <t>001926</t>
  </si>
  <si>
    <t>Oprawa hermetyczna LED CORTEZ 36W 4000K IP65 LED2B</t>
  </si>
  <si>
    <t>003672</t>
  </si>
  <si>
    <t>Przedłużacz LINEA PRO 3gn+4USB/1USB-C/5m/Zu+W czarny Kobi</t>
  </si>
  <si>
    <t>001927</t>
  </si>
  <si>
    <t>Oprawa hermetyczna LED CORTEZ 48W 4000K IP65 LED2B</t>
  </si>
  <si>
    <t>003673</t>
  </si>
  <si>
    <t>Oprawa kanałowa SOMA PC 1xE27 60 siatka metal Kobi</t>
  </si>
  <si>
    <t>001947</t>
  </si>
  <si>
    <t>Oprawy techniczne</t>
  </si>
  <si>
    <t>Oprawa kanałowa SOMA PC 1xE27 60 siatka plastik Kobi</t>
  </si>
  <si>
    <t>001948</t>
  </si>
  <si>
    <t>Oprawa kanałowa SOMA PC 1xE27 100 siatka metal Kobi</t>
  </si>
  <si>
    <t>001945</t>
  </si>
  <si>
    <t>Plafon ROMERO 2xE27 chrom Kobi</t>
  </si>
  <si>
    <t>001942</t>
  </si>
  <si>
    <t>Oprawa kanałowa SOMA PC 1xE27 100 siatka plastik Kobi</t>
  </si>
  <si>
    <t>001946</t>
  </si>
  <si>
    <t>Plafon RUTO 1xE27 biały Kobi</t>
  </si>
  <si>
    <t>001943</t>
  </si>
  <si>
    <t>Plafon ROMERO 2xE27 czarna Kobi</t>
  </si>
  <si>
    <t>001944</t>
  </si>
  <si>
    <t>Plafon SAMIRA B 2xE27 chrom Kobi</t>
  </si>
  <si>
    <t>001949</t>
  </si>
  <si>
    <t>Plafon SAMIRA S 2xE27 chrom Kobi</t>
  </si>
  <si>
    <t>001951</t>
  </si>
  <si>
    <t>Plafon SAMIRA S 2xE27 czarny Kobi</t>
  </si>
  <si>
    <t>001952</t>
  </si>
  <si>
    <t>Plafon WEGA PC 1xE27 biała Kobi</t>
  </si>
  <si>
    <t>001953</t>
  </si>
  <si>
    <t>Oprawa liniowa LED KOLINE K2 20W  3CCT  czarna Kobi Pro</t>
  </si>
  <si>
    <t>003710</t>
  </si>
  <si>
    <t>Oprawa liniowa LED KOLINE K2 20W 3CCT biała Kobi Pro</t>
  </si>
  <si>
    <t>003709</t>
  </si>
  <si>
    <t>Oprawa liniowa LED KOLINE K2 30W  3CCT  UGR&lt;19 biała Kobi Pro</t>
  </si>
  <si>
    <t>003713</t>
  </si>
  <si>
    <t>Oprawa liniowa LED KOLINE K2 30W  3CCT  UGR&lt;19 czarna Kobi Pro</t>
  </si>
  <si>
    <t>003714</t>
  </si>
  <si>
    <t>Oprawa liniowa LED KOLINE K2 40W  3CCT  biała Kobi Pro</t>
  </si>
  <si>
    <t>003711</t>
  </si>
  <si>
    <t>Oprawa liniowa LED KOLINE K2 40W  3CCT  czarna Kobi Pro</t>
  </si>
  <si>
    <t>003712</t>
  </si>
  <si>
    <t>Oprawa meblowa LED CORREA 3,4W 3000K LX Kobi</t>
  </si>
  <si>
    <t>001984</t>
  </si>
  <si>
    <t>Meblowe</t>
  </si>
  <si>
    <t>Oprawa meblowa LED CLICK 1,5W CCT Kobi Premium</t>
  </si>
  <si>
    <t>001986</t>
  </si>
  <si>
    <t>Oprawa meblowa LED WL 10W 4000K Kobi</t>
  </si>
  <si>
    <t>001994</t>
  </si>
  <si>
    <t>Oprawa meblowa LED WL 14W 4000K Kobi</t>
  </si>
  <si>
    <t>001996</t>
  </si>
  <si>
    <t>Oprawa meblowa LED WL 8W 3CCT Kobi</t>
  </si>
  <si>
    <t>003831</t>
  </si>
  <si>
    <t>Oprawa meblowa LED WL 14W 3000K Kobi</t>
  </si>
  <si>
    <t>001997</t>
  </si>
  <si>
    <t>Oprawa najazdowa ENTRADA 1 1xGU10 kwadrat Kobi</t>
  </si>
  <si>
    <t>002332</t>
  </si>
  <si>
    <t>Oprawa najazdowa ENTRADA 2 1xGU10 okragła Kobi</t>
  </si>
  <si>
    <t>002333</t>
  </si>
  <si>
    <t>Pierścień ozdobny OH14 biały Kobi</t>
  </si>
  <si>
    <t>002034</t>
  </si>
  <si>
    <t>Oprawa najazdowa INGRESS 1xGU10 kwadratowa IP67 LED2B</t>
  </si>
  <si>
    <t>002243</t>
  </si>
  <si>
    <t>Pierścień ozdobny OH14 chrom Kobi</t>
  </si>
  <si>
    <t>002035</t>
  </si>
  <si>
    <t>Oprawa najazdowa INGRESS 1xGU10 okrągła IP67 LED2B</t>
  </si>
  <si>
    <t>002242</t>
  </si>
  <si>
    <t>Pierścień ozdobny OH14 mat chrom Kobi</t>
  </si>
  <si>
    <t>002037</t>
  </si>
  <si>
    <t>Pierścień ozdobny OH14 mat czarny Kobi</t>
  </si>
  <si>
    <t>002038</t>
  </si>
  <si>
    <t>Pierścień ozdobny OH14 patyna Kobi</t>
  </si>
  <si>
    <t>002039</t>
  </si>
  <si>
    <t>Pierścień ozdobny OH15 biały Kobi</t>
  </si>
  <si>
    <t>002040</t>
  </si>
  <si>
    <t>Pierścień ozdobny OH15 chrom Kobi</t>
  </si>
  <si>
    <t>002041</t>
  </si>
  <si>
    <t>Pierścień ozdobny OH15 mat chrom Kobi</t>
  </si>
  <si>
    <t>002043</t>
  </si>
  <si>
    <t>Pierścień ozdobny OH15 mat czarny Kobi</t>
  </si>
  <si>
    <t>002044</t>
  </si>
  <si>
    <t>Pierścień ozdobny OH15 patyna Kobi</t>
  </si>
  <si>
    <t>002046</t>
  </si>
  <si>
    <t>Pierścień ozdobny OH21 chrom Kobi</t>
  </si>
  <si>
    <t>002051</t>
  </si>
  <si>
    <t>Pierścień ozdobny OH21 czarny Kobi</t>
  </si>
  <si>
    <t>002052</t>
  </si>
  <si>
    <t>Pierścień ozdobny OH228 czarny Kobi</t>
  </si>
  <si>
    <t>002056</t>
  </si>
  <si>
    <t>Pierścień ozdobny OH26 czarny Kobi</t>
  </si>
  <si>
    <t>002064</t>
  </si>
  <si>
    <t>Pierścień ozdobny OH26N przeźroczysty Kobi</t>
  </si>
  <si>
    <t>002065</t>
  </si>
  <si>
    <t>Pierścień ozdobny OH26N czarny Kobi</t>
  </si>
  <si>
    <t>002066</t>
  </si>
  <si>
    <t>Pierścień ozdobny OH27 czarny Kobi</t>
  </si>
  <si>
    <t>002068</t>
  </si>
  <si>
    <t>Pierścień ozdobny OH27N przeźroczysty Kobi</t>
  </si>
  <si>
    <t>002069</t>
  </si>
  <si>
    <t>Pierścień ozdobny OH27N czarny Kobi</t>
  </si>
  <si>
    <t>002070</t>
  </si>
  <si>
    <t>Pierścień ozdobny OH28 chrom Kobi</t>
  </si>
  <si>
    <t>002071</t>
  </si>
  <si>
    <t>Pierścień ozdobny OH28 czarny Kobi</t>
  </si>
  <si>
    <t>002072</t>
  </si>
  <si>
    <t>Pierścień ozdobny OH28 mat biały Kobi</t>
  </si>
  <si>
    <t>002073</t>
  </si>
  <si>
    <t>Pierścień ozdobny OH28 mat czarny Kobi</t>
  </si>
  <si>
    <t>002074</t>
  </si>
  <si>
    <t>Pierścień ozdobny OH29 chrom Kobi</t>
  </si>
  <si>
    <t>002075</t>
  </si>
  <si>
    <t>Pierścień ozdobny OH29 czarny Kobi</t>
  </si>
  <si>
    <t>002076</t>
  </si>
  <si>
    <t>Pierścień ozdobny OH29 mat biały Kobi</t>
  </si>
  <si>
    <t>002077</t>
  </si>
  <si>
    <t>Pierścień ozdobny OH29 mat czarny Kobi</t>
  </si>
  <si>
    <t>002078</t>
  </si>
  <si>
    <t>Oprawka halogenowa OH33 biały Kobi</t>
  </si>
  <si>
    <t>002081</t>
  </si>
  <si>
    <t>Pierścień ozdobny OH34 IP44 chrom Kobi</t>
  </si>
  <si>
    <t>002083</t>
  </si>
  <si>
    <t>Pierścień ozdobny OH34 IP44 mat czarny Kobi</t>
  </si>
  <si>
    <t>002085</t>
  </si>
  <si>
    <t>Oprawka porcelanowa z blaszką K003 E27 Kobi</t>
  </si>
  <si>
    <t>002369</t>
  </si>
  <si>
    <t>Osłona do LED ANICA 100W Kobi</t>
  </si>
  <si>
    <t>003680</t>
  </si>
  <si>
    <t>Pierścień ozdobny OH50 czarny Kobi</t>
  </si>
  <si>
    <t>002116</t>
  </si>
  <si>
    <t>Osłona do LED ANICA 150W Kobi</t>
  </si>
  <si>
    <t>003681</t>
  </si>
  <si>
    <t>Pierścień ozdobny OH51 przeźroczysty Kobi</t>
  </si>
  <si>
    <t>002117</t>
  </si>
  <si>
    <t>Osłona do LED ANICA 200W Kobi</t>
  </si>
  <si>
    <t>003682</t>
  </si>
  <si>
    <t>Pierścień ozdobny OH51 czarny Kobi</t>
  </si>
  <si>
    <t>002118</t>
  </si>
  <si>
    <t>Osłona do NEO 150W/200W Kobi Pro</t>
  </si>
  <si>
    <t>002772</t>
  </si>
  <si>
    <t>Panel LED CAPRI G2 25-36-40W 60x60 3CCT IP44 Kobi Pro</t>
  </si>
  <si>
    <t>003821</t>
  </si>
  <si>
    <t>Panel LED CAPRI G2 25-36-40W 60x60 3CCT IP44 UGR&lt;19 Kobi Pro</t>
  </si>
  <si>
    <t>003822</t>
  </si>
  <si>
    <t>Pilot do czujnika ruchu ZHAGA HD05R</t>
  </si>
  <si>
    <t>002345</t>
  </si>
  <si>
    <t>Programator PC24 Kobi</t>
  </si>
  <si>
    <t>002350</t>
  </si>
  <si>
    <t>SMART</t>
  </si>
  <si>
    <t>Programator SMART SOCKET 16A WiFi Kobi</t>
  </si>
  <si>
    <t>002355</t>
  </si>
  <si>
    <t>Ramka 45mm do panelu LED 30x60 klik Kobi</t>
  </si>
  <si>
    <t>001786</t>
  </si>
  <si>
    <t>Ramka 45mm do panelu LED 30x120 klik Kobi</t>
  </si>
  <si>
    <t>001785</t>
  </si>
  <si>
    <t>Ramka 45mm do panelu LED 60x60 klik Kobi</t>
  </si>
  <si>
    <t>001787</t>
  </si>
  <si>
    <t>Ramka 63mm do panelu LED 30x120 klik Kobi</t>
  </si>
  <si>
    <t>001782</t>
  </si>
  <si>
    <t>Ramka 63mm do panelu LED 60x60 klik czarna Kobi</t>
  </si>
  <si>
    <t>001784</t>
  </si>
  <si>
    <t>Ramka 63mm do panelu LED 60x60 klik Kobi</t>
  </si>
  <si>
    <t>001783</t>
  </si>
  <si>
    <t>Ramka 70mm do panelu LED 60x60 klik Kobi</t>
  </si>
  <si>
    <t>001780</t>
  </si>
  <si>
    <t>OPRAWY NA SZYNOPRZEWÓD</t>
  </si>
  <si>
    <t>Reflektor szynowy 3-obwodowy NEXTRACK S-LINE 1xGU10 biały Kobi</t>
  </si>
  <si>
    <t>001729</t>
  </si>
  <si>
    <t>Oprawy na szynoprzewód</t>
  </si>
  <si>
    <t>Reflektor szynowy 3-obwodowy NEXTRACK S-LINE 1xGU10 czarny Kobi</t>
  </si>
  <si>
    <t>001730</t>
  </si>
  <si>
    <t>Art Of Light</t>
  </si>
  <si>
    <t>Reflektor szynowy LED MOSS 10W 3000K czarny Art Of Light</t>
  </si>
  <si>
    <t>001685</t>
  </si>
  <si>
    <t>Reflektor szynowy LED NEXTRACK CORE 10W 3CCT 36° biały Kobi Pro</t>
  </si>
  <si>
    <t>001720</t>
  </si>
  <si>
    <t>Reflektor szynowy LED NEXTRACK CORE 10W 3CCT 36° czarny Kobi Pro</t>
  </si>
  <si>
    <t>001721</t>
  </si>
  <si>
    <t>Reflektor szynowy LED NEXTRACK CORE 20W 3CCT 36° biały Kobi Pro</t>
  </si>
  <si>
    <t>001722</t>
  </si>
  <si>
    <t>Reflektor szynowy LED NEXTRACK CORE 20W 3CCT 36° czarny Kobi Pro</t>
  </si>
  <si>
    <t>001723</t>
  </si>
  <si>
    <t>Reflektor szynowy LED NEXTRACK CORE 35W 3CCT 36° biały Kobi Pro</t>
  </si>
  <si>
    <t>001724</t>
  </si>
  <si>
    <t>Reflektor szynowy LED NEXTRACK CORE 35W 3CCT 36° czarny Kobi Pro</t>
  </si>
  <si>
    <t>001725</t>
  </si>
  <si>
    <t>Reflektor szynowy LED NEXTRACK VISION 10W 3CCT 10-60° biały Kobi Pro</t>
  </si>
  <si>
    <t>001824</t>
  </si>
  <si>
    <t>Reflektor szynowy LED NEXTRACK VISION 10W 3CCT 10-60° czarny Kobi Pro</t>
  </si>
  <si>
    <t>001825</t>
  </si>
  <si>
    <t>Reflektor szynowy LED NEXTRACK VISION 20W 3CCT 10-60° biały Kobi Pro</t>
  </si>
  <si>
    <t>001826</t>
  </si>
  <si>
    <t>Reflektor szynowy LED NEXTRACK VISION 20W 3CCT 10-60° czarny Kobi Pro</t>
  </si>
  <si>
    <t>001827</t>
  </si>
  <si>
    <t>Reflektor szynowy LED NEXTRACK VISION 30W 3CCT 10-60° biały Kobi Pro</t>
  </si>
  <si>
    <t>001828</t>
  </si>
  <si>
    <t>Reflektor szynowy LED NEXTRACK VISION 30W 3CCT 10-60° czarny Kobi Pro</t>
  </si>
  <si>
    <t>001829</t>
  </si>
  <si>
    <t>ZEWNĘTRZNE</t>
  </si>
  <si>
    <t>Słup BASE SG 3m Fi 60mm Kobi</t>
  </si>
  <si>
    <t>003691</t>
  </si>
  <si>
    <t>Słup BASE SG 4m Fi 60mm Kobi</t>
  </si>
  <si>
    <t>003692</t>
  </si>
  <si>
    <t>Słupek ogrodowy LO4104 1xE27 IP44 złoty Kobi</t>
  </si>
  <si>
    <t>002258</t>
  </si>
  <si>
    <t>Słupek ogrodowy QUAZAR 12 1xGU10 IP44 czarny Kobi</t>
  </si>
  <si>
    <t>002267</t>
  </si>
  <si>
    <t>Słupek ogrodowy QUAZAR 12 1xGU10 IP44 szary Kobi</t>
  </si>
  <si>
    <t>002268</t>
  </si>
  <si>
    <t>Słupek ogrodowy QUAZAR 15S 1xGU10 IP44 czarny Kobi</t>
  </si>
  <si>
    <t>002276</t>
  </si>
  <si>
    <t>Słupek ogrodowy QUAZAR 15S 1xGU10 IP44 szary Kobi</t>
  </si>
  <si>
    <t>002277</t>
  </si>
  <si>
    <t>Słupek ogrodowy solar LED AURORA 6000K IP44 4-pak LED2B</t>
  </si>
  <si>
    <t>002231</t>
  </si>
  <si>
    <t>Słupek ogrodowy solar LED ECLIPSE 6000K IP44 10-pak LED2B</t>
  </si>
  <si>
    <t>002236</t>
  </si>
  <si>
    <t>Słupek ogrodowy solar LED FUSION 6500K IP44 12-pak LED2B</t>
  </si>
  <si>
    <t>002237</t>
  </si>
  <si>
    <t>Słupek ogrodowy solar LED GLEAM 3000K IP44 5-pak LED2B</t>
  </si>
  <si>
    <t>002239</t>
  </si>
  <si>
    <t>Słupek ogrodowy solar LED GLOBE 3000K IP44 5-pak LED2B</t>
  </si>
  <si>
    <t>002238</t>
  </si>
  <si>
    <t>Słupek ogrodowy solar LED LANCE 6000K IP44 LED2B</t>
  </si>
  <si>
    <t>002246</t>
  </si>
  <si>
    <t>Słupek ogrodowy solar LED SPHERE 6500K IP44 10-pak LED2B</t>
  </si>
  <si>
    <t>002312</t>
  </si>
  <si>
    <t>Słupek ogrodowy solar LED SPIKE 6500K IP44 LED2B</t>
  </si>
  <si>
    <t>002311</t>
  </si>
  <si>
    <t>Słupek ogrodowy solar LED ZEN 6000K IP44 10-pak LED2B</t>
  </si>
  <si>
    <t>002319</t>
  </si>
  <si>
    <t>Słupek ogrodowy TEVIO S 1xE27 IP54 czarny LED2B</t>
  </si>
  <si>
    <t>003703</t>
  </si>
  <si>
    <t>STARTERY</t>
  </si>
  <si>
    <t>Starter do LED T8 Kobi</t>
  </si>
  <si>
    <t>002401</t>
  </si>
  <si>
    <t>Sterownik LED ST06FP 5-24V 6A z pilotem Kobi</t>
  </si>
  <si>
    <t>002403</t>
  </si>
  <si>
    <t>Szynoprzewód 3-obwodowy 1m biały Kobi</t>
  </si>
  <si>
    <t>003657</t>
  </si>
  <si>
    <t>Szynoprzewód 3-obwodowy 1m czarny Kobi</t>
  </si>
  <si>
    <t>003658</t>
  </si>
  <si>
    <t>Szynoprzewód 3-obwodowy 2m biały Kobi</t>
  </si>
  <si>
    <t>002830</t>
  </si>
  <si>
    <t>Szynoprzewód 3-obwodowy 2m czarny Kobi</t>
  </si>
  <si>
    <t>002831</t>
  </si>
  <si>
    <t>Ściemniacz LED SC02DP 5-24V 6A z pilotem Kobi</t>
  </si>
  <si>
    <t>002387</t>
  </si>
  <si>
    <t>TRZONKOWE</t>
  </si>
  <si>
    <t>001386</t>
  </si>
  <si>
    <t>Tuby LED T8</t>
  </si>
  <si>
    <t>Świetlówka LED T8 9W 60CM 4000K LED2B</t>
  </si>
  <si>
    <t>001319</t>
  </si>
  <si>
    <t>Świetlówka LED T8 9W 60CM 4000K LED2B RED</t>
  </si>
  <si>
    <t>001318</t>
  </si>
  <si>
    <t>Świetlówka LED T8 9W 60CM 6500K LED2B</t>
  </si>
  <si>
    <t>001321</t>
  </si>
  <si>
    <t>Świetlówka LED T8 9W 60CM 6500K LED2B RED</t>
  </si>
  <si>
    <t>001320</t>
  </si>
  <si>
    <t>Świetlówka LED T8 18W 120cm 3000K Kobi Premium</t>
  </si>
  <si>
    <t>001380</t>
  </si>
  <si>
    <t>Świetlówka LED T8 18W 120cm 4000K Kobi Premium</t>
  </si>
  <si>
    <t>001381</t>
  </si>
  <si>
    <t>Świetlówka LED T8 18W 120CM 4000K LED2B</t>
  </si>
  <si>
    <t>001308</t>
  </si>
  <si>
    <t>Świetlówka LED T8 18W 120CM 4000K LED2B RED</t>
  </si>
  <si>
    <t>001309</t>
  </si>
  <si>
    <t>Świetlówka LED T8 18W 120CM 6500K LED2B</t>
  </si>
  <si>
    <t>001311</t>
  </si>
  <si>
    <t>Świetlówka LED T8 18W 120CM 6500K LED2B RED</t>
  </si>
  <si>
    <t>001310</t>
  </si>
  <si>
    <t>Świetlówka LED T8 22W 150CM 4000K LED2B</t>
  </si>
  <si>
    <t>001312</t>
  </si>
  <si>
    <t>Świetlówka LED T8 22W 150CM 4000K LED2B RED</t>
  </si>
  <si>
    <t>001313</t>
  </si>
  <si>
    <t>Świetlówka LED T8 22W 150cm 6500K Kobi Premium</t>
  </si>
  <si>
    <t>001384</t>
  </si>
  <si>
    <t>Świetlówka LED T8 22W 150CM 6500K LED2B</t>
  </si>
  <si>
    <t>001314</t>
  </si>
  <si>
    <t>Świetlówka LED T8 22W 150CM 6500K LED2B RED</t>
  </si>
  <si>
    <t>001315</t>
  </si>
  <si>
    <t>Świetlówka LED T8 G2 9W 60cm 4000K Kobi Premium</t>
  </si>
  <si>
    <t>003924</t>
  </si>
  <si>
    <t>Świetlówka LED T8 G2 9W 60cm 6500K Kobi Premium</t>
  </si>
  <si>
    <t>003925</t>
  </si>
  <si>
    <t>Świetlówka LED T8 G2 18W 120cm 3000K Kobi Premium</t>
  </si>
  <si>
    <t>003926</t>
  </si>
  <si>
    <t>Świetlówka LED T8 G2 18W 120cm 4000K Kobi Premium</t>
  </si>
  <si>
    <t>003927</t>
  </si>
  <si>
    <t>Świetlówka LED T8 G2 18W 120cm 6500K Kobi Premium</t>
  </si>
  <si>
    <t>003928</t>
  </si>
  <si>
    <t>Świetlówka LED T8 G2 22W 150cm 4000K Kobi Premium</t>
  </si>
  <si>
    <t>003929</t>
  </si>
  <si>
    <t>Świetlówka LED T8 G2 22W 150cm 6500K Kobi Premium</t>
  </si>
  <si>
    <t>003930</t>
  </si>
  <si>
    <t>Taśma LED PLAY SET 5m RGB CCT IP20 Kobi Design</t>
  </si>
  <si>
    <t>001446</t>
  </si>
  <si>
    <t>Taśmy LED</t>
  </si>
  <si>
    <t>Taśma LED PLAY SET 10m RGB CCT IP20 Kobi Design</t>
  </si>
  <si>
    <t>001447</t>
  </si>
  <si>
    <t>Taśma LED PLAY SET 15m RGB CCT IP20 Kobi Design</t>
  </si>
  <si>
    <t>001448</t>
  </si>
  <si>
    <t>Taśma LED PLAY SET 20m RGB CCT IP20 Kobi Design</t>
  </si>
  <si>
    <t>001449</t>
  </si>
  <si>
    <t>Taśma LED TRAMO 300 2835 5m 3000K IP65 Kobi Premium</t>
  </si>
  <si>
    <t>001397</t>
  </si>
  <si>
    <t>Taśma LED TRAMO 300 2835 5m czerwona IP65 Kobi</t>
  </si>
  <si>
    <t>001401</t>
  </si>
  <si>
    <t>Taśma LED TRAMO 300 2835 5m zielona IP20 Kobi</t>
  </si>
  <si>
    <t>001408</t>
  </si>
  <si>
    <t>Taśma LED TRAMO 300 2835 5m zielona IP65 Kobi</t>
  </si>
  <si>
    <t>001398</t>
  </si>
  <si>
    <t>Taśma LED TRAMO 300 2835 5m żółta IP20 Kobi</t>
  </si>
  <si>
    <t>001410</t>
  </si>
  <si>
    <t>Taśma LED TRAMO 300 2835 5m żółta IP65 Kobi</t>
  </si>
  <si>
    <t>001402</t>
  </si>
  <si>
    <t>Taśma LED TRAMO 320 COB 5m 3000K IP20 Kobi Premium</t>
  </si>
  <si>
    <t>001423</t>
  </si>
  <si>
    <t>Taśma LED TRAMO 320 COB 5m 3000K IP65 Kobi Premium</t>
  </si>
  <si>
    <t>001420</t>
  </si>
  <si>
    <t>Taśma LED TRAMO 320 COB 5m 4000K IP20 Kobi Premium</t>
  </si>
  <si>
    <t>001424</t>
  </si>
  <si>
    <t>Taśma LED TRAMO 320 COB 5m 4000K IP65 Kobi Premium</t>
  </si>
  <si>
    <t>001421</t>
  </si>
  <si>
    <t>Taśma LED TRAMO 320 COB 5m 6500K IP20 Kobi Premium</t>
  </si>
  <si>
    <t>001425</t>
  </si>
  <si>
    <t>Taśma LED TRAMO 320 COB 5m 6500K IP65 Kobi Premium</t>
  </si>
  <si>
    <t>001422</t>
  </si>
  <si>
    <t>Uchwyt do LED NINA HB 100W Kobi</t>
  </si>
  <si>
    <t>001717</t>
  </si>
  <si>
    <t>Uchwyt do LED NINA HB 150W Kobi</t>
  </si>
  <si>
    <t>001718</t>
  </si>
  <si>
    <t>Uchwyt do LED NINA HB 200W Kobi</t>
  </si>
  <si>
    <t>001719</t>
  </si>
  <si>
    <t>Uchwyt do LED RIO PRO 100W Kobi</t>
  </si>
  <si>
    <t>001844</t>
  </si>
  <si>
    <t>Uchwyt do LED RIO PRO 150W Kobi</t>
  </si>
  <si>
    <t>001845</t>
  </si>
  <si>
    <t>Uchwyt do LED RIO PRO 200W Kobi</t>
  </si>
  <si>
    <t>001846</t>
  </si>
  <si>
    <t>Uchwyt do NEO 150W/200W Kobi Pro</t>
  </si>
  <si>
    <t>002779</t>
  </si>
  <si>
    <t>Uchwyt montażowy BASE TP 360mm Fi 60mm Kobi</t>
  </si>
  <si>
    <t>003698</t>
  </si>
  <si>
    <t>Uchwyt ścienny BASE SE 500mm Fi 48mm LED2B</t>
  </si>
  <si>
    <t>003689</t>
  </si>
  <si>
    <t>Uchwyty do kartongipsu NELIO 30x120 Kobi</t>
  </si>
  <si>
    <t>001789</t>
  </si>
  <si>
    <t>Uchwyty do kartongipsu NELIO 60x60 Kobi</t>
  </si>
  <si>
    <t>001788</t>
  </si>
  <si>
    <t>Uniwersalny uchwyt do High Bay M10 Kobi Pro</t>
  </si>
  <si>
    <t>001558</t>
  </si>
  <si>
    <t>Wkład LED INSERT 5W 3000K mleczny Kobi</t>
  </si>
  <si>
    <t>001239</t>
  </si>
  <si>
    <t>Żarówki LED</t>
  </si>
  <si>
    <t>Wkład LED INSERT 5W 4000K mleczny Kobi</t>
  </si>
  <si>
    <t>001240</t>
  </si>
  <si>
    <t>Wkład LED INSERT 5W 6000K mleczny Kobi</t>
  </si>
  <si>
    <t>001241</t>
  </si>
  <si>
    <t>Wkład LED INSERT 6,5W 3000K mleczny Kobi</t>
  </si>
  <si>
    <t>001242</t>
  </si>
  <si>
    <t>Wkład LED INSERT 6,5W 4000K mleczny Kobi</t>
  </si>
  <si>
    <t>001243</t>
  </si>
  <si>
    <t>Wkład LED INSERT 6,5W 6000K mleczny Kobi</t>
  </si>
  <si>
    <t>001244</t>
  </si>
  <si>
    <t>Wzmacniacz LED ST07F 5-24V 12A z pilotem Kobi</t>
  </si>
  <si>
    <t>002404</t>
  </si>
  <si>
    <t>002405</t>
  </si>
  <si>
    <t>002410</t>
  </si>
  <si>
    <t>002411</t>
  </si>
  <si>
    <t>002413</t>
  </si>
  <si>
    <t>002398</t>
  </si>
  <si>
    <t>002399</t>
  </si>
  <si>
    <t>Zasilacz desktop 12V 30W 2,5A</t>
  </si>
  <si>
    <t>002409</t>
  </si>
  <si>
    <t>002390</t>
  </si>
  <si>
    <t>Zasilacz do Panelu LED 36W LF-GIF040YS900H</t>
  </si>
  <si>
    <t>001891</t>
  </si>
  <si>
    <t>Zasilacz do Panelu LED 40W LF-GIF040YS1000H</t>
  </si>
  <si>
    <t>001892</t>
  </si>
  <si>
    <t>Zasilacz hermetyczny IP67 12V 10W 0,83A</t>
  </si>
  <si>
    <t>002414</t>
  </si>
  <si>
    <t>002384</t>
  </si>
  <si>
    <t>002382</t>
  </si>
  <si>
    <t>002377</t>
  </si>
  <si>
    <t>002378</t>
  </si>
  <si>
    <t>002379</t>
  </si>
  <si>
    <t>002381</t>
  </si>
  <si>
    <t>001419</t>
  </si>
  <si>
    <t>002415</t>
  </si>
  <si>
    <t>Zasilacz LF-GSD020YC LIFUD DALI</t>
  </si>
  <si>
    <t>001893</t>
  </si>
  <si>
    <t>Zasilacz LF-GSD040YC DALI Lifud</t>
  </si>
  <si>
    <t>001579</t>
  </si>
  <si>
    <t>002397</t>
  </si>
  <si>
    <t>002393</t>
  </si>
  <si>
    <t>002395</t>
  </si>
  <si>
    <t>002396</t>
  </si>
  <si>
    <t>002388</t>
  </si>
  <si>
    <t>Zasilacz montażowy 12V 150W 12,5A</t>
  </si>
  <si>
    <t>002391</t>
  </si>
  <si>
    <t>002383</t>
  </si>
  <si>
    <t>002392</t>
  </si>
  <si>
    <t>002394</t>
  </si>
  <si>
    <t>Zasilanie do szynoprzewodu 3-obwodowego LEWE białe Kobi</t>
  </si>
  <si>
    <t>002834</t>
  </si>
  <si>
    <t>Zasilanie do szynoprzewodu 3-obwodowego LEWE czarne Kobi</t>
  </si>
  <si>
    <t>002835</t>
  </si>
  <si>
    <t>Zasilanie do szynoprzewodu 3-obwodowego PRAWE białe Kobi</t>
  </si>
  <si>
    <t>002836</t>
  </si>
  <si>
    <t>Zasilanie do szynoprzewodu 3-obwodowego PRAWE czarne Kobi</t>
  </si>
  <si>
    <t>002837</t>
  </si>
  <si>
    <t>Zaślepka do szynoprzewodu 3-obwodowego biała Kobi</t>
  </si>
  <si>
    <t>002832</t>
  </si>
  <si>
    <t>Zaślepka do szynoprzewodu 3-obwodowego czarna Kobi</t>
  </si>
  <si>
    <t>002833</t>
  </si>
  <si>
    <t>Zestaw do zwieszania szynoprzewodu 3-obwodowego biały Kobi</t>
  </si>
  <si>
    <t>002838</t>
  </si>
  <si>
    <t>Zestaw do zwieszania szynoprzewodu 3-obwodowego czarny Kobi</t>
  </si>
  <si>
    <t>002839</t>
  </si>
  <si>
    <t>Zestaw HERMETIC 1x120 + LED T8 18W 4000K IP65 Kobi</t>
  </si>
  <si>
    <t>001597</t>
  </si>
  <si>
    <t>Zestaw HERMETIC 2x60 + LED T8 9W 4000K IP65 Kobi</t>
  </si>
  <si>
    <t>001601</t>
  </si>
  <si>
    <t>Zestaw HERMETIC 2x120 + LED T8 18W 4000K IP65 Kobi</t>
  </si>
  <si>
    <t>001599</t>
  </si>
  <si>
    <t>Zestaw HERMETIC 2x120 + LED T8 18W 6500K IP65 Kobi</t>
  </si>
  <si>
    <t>001600</t>
  </si>
  <si>
    <t>Zestaw hermetyczny HERMETIC G2 + 2x LED T8 18W 120cm 4000K KOBI</t>
  </si>
  <si>
    <t>003678</t>
  </si>
  <si>
    <t>Zestaw hermetyczny HERMETIC G2 + 2x LED T8 18W 120cm 6500K KOBI</t>
  </si>
  <si>
    <t>003679</t>
  </si>
  <si>
    <t>Żarówka do roślin LED PLANTY 24W E27 1200K Kobi design</t>
  </si>
  <si>
    <t>001508</t>
  </si>
  <si>
    <t>Żarówka do roślin LED PLANTY 40W E27 1200K Kobi design</t>
  </si>
  <si>
    <t>001509</t>
  </si>
  <si>
    <t>Żarówka do roślin LED PLANTY B 9W E27 1200K czarna Kobi Design</t>
  </si>
  <si>
    <t>001505</t>
  </si>
  <si>
    <t>Żarówka do roślin LED PLANTY FGS 8W E27 1200K Kobi Design</t>
  </si>
  <si>
    <t>001512</t>
  </si>
  <si>
    <t>Żarówka do roślin LED PLANTY W 9W E27 1200K biała Kobi Design</t>
  </si>
  <si>
    <t>001504</t>
  </si>
  <si>
    <t>GWINTOWE</t>
  </si>
  <si>
    <t>Kobi 360 Line</t>
  </si>
  <si>
    <t>Żarówka filamentowa LED FDE 4W E14 3000K Kobi 360 Line</t>
  </si>
  <si>
    <t>001134</t>
  </si>
  <si>
    <t>Żarówka filamentowa LED FGS 7W E27 3000K Kobi 360 Line</t>
  </si>
  <si>
    <t>001138</t>
  </si>
  <si>
    <t>Żarówka filamentowa LED FGS 7W E27 4000K Kobi 360 Line</t>
  </si>
  <si>
    <t>001139</t>
  </si>
  <si>
    <t>Żarówka filamentowa LED FGS 11,5W E27 3000K Kobi 360 Line</t>
  </si>
  <si>
    <t>001136</t>
  </si>
  <si>
    <t>Żarówka filamentowa LED FGS 11,5W E27 4000K Kobi 360 Line</t>
  </si>
  <si>
    <t>001137</t>
  </si>
  <si>
    <t>Żarówka filamentowa LED FMB 1,3W E27 2700K Kobi 360 Line</t>
  </si>
  <si>
    <t>001145</t>
  </si>
  <si>
    <t>Żarówka filamentowa LED FMB 4W E14 3000K Kobi 360 Line</t>
  </si>
  <si>
    <t>001144</t>
  </si>
  <si>
    <t>Żarówka filamentowa LED FMB 4W E27 3000K Kobi 360 Line</t>
  </si>
  <si>
    <t>001146</t>
  </si>
  <si>
    <t>Żarówka filamentowa LED FSW 4W E14 3000K Kobi 360 Line</t>
  </si>
  <si>
    <t>001149</t>
  </si>
  <si>
    <t>Żarówka LED ES111 15W GU10 4000K Kobi</t>
  </si>
  <si>
    <t>001133</t>
  </si>
  <si>
    <t>Żarówka LED G4 1,5W 3000K Kobi</t>
  </si>
  <si>
    <t>001152</t>
  </si>
  <si>
    <t>Żarówka LED G4 1,5W 4000K Kobi</t>
  </si>
  <si>
    <t>001153</t>
  </si>
  <si>
    <t>Żarówka LED G4 2W 3000K Kobi</t>
  </si>
  <si>
    <t>001158</t>
  </si>
  <si>
    <t>Żarówka LED G4 2W 4000K Kobi</t>
  </si>
  <si>
    <t>001159</t>
  </si>
  <si>
    <t>Żarówka LED G9 3W 3000K Kobi</t>
  </si>
  <si>
    <t>001161</t>
  </si>
  <si>
    <t>Żarówka LED G9 3W 4000K Kobi</t>
  </si>
  <si>
    <t>001162</t>
  </si>
  <si>
    <t>Żarówka LED G9 3W 6000K Kobi</t>
  </si>
  <si>
    <t>001163</t>
  </si>
  <si>
    <t>Żarówka LED G9 4W 3000K Kobi</t>
  </si>
  <si>
    <t>001164</t>
  </si>
  <si>
    <t>Żarówka LED G9 4W 4000K Kobi</t>
  </si>
  <si>
    <t>001165</t>
  </si>
  <si>
    <t>Żarówka LED G9 4W 6000K Kobi</t>
  </si>
  <si>
    <t>001166</t>
  </si>
  <si>
    <t>Żarówka LED G9 6W 3000K Kobi</t>
  </si>
  <si>
    <t>001167</t>
  </si>
  <si>
    <t>Żarówka LED G9 6W 4000K Kobi</t>
  </si>
  <si>
    <t>001168</t>
  </si>
  <si>
    <t>Żarówka LED G9 6W 6000K Kobi</t>
  </si>
  <si>
    <t>001169</t>
  </si>
  <si>
    <t>Żarówka LED G120 24W E27 3000K Kobi</t>
  </si>
  <si>
    <t>001150</t>
  </si>
  <si>
    <t>Żarówka LED G120 24W E27 4000K Kobi</t>
  </si>
  <si>
    <t>001151</t>
  </si>
  <si>
    <t>Żarówka LED GS 7W E27 3000K Kobi</t>
  </si>
  <si>
    <t>001190</t>
  </si>
  <si>
    <t>Żarówka LED GS 7W E27 3000K LED2B</t>
  </si>
  <si>
    <t>001268</t>
  </si>
  <si>
    <t>Żarówka LED GS 7W E27 4000K Kobi</t>
  </si>
  <si>
    <t>001191</t>
  </si>
  <si>
    <t>Żarówka LED GS 7W E27 4000K LED2B</t>
  </si>
  <si>
    <t>001269</t>
  </si>
  <si>
    <t>Żarówka LED GS 7W E27 6000K Kobi</t>
  </si>
  <si>
    <t>001192</t>
  </si>
  <si>
    <t>Żarówka LED GS 7W E27 6500K LED2B</t>
  </si>
  <si>
    <t>001270</t>
  </si>
  <si>
    <t>Żarówka LED GS 8,5W E27 3000K LED2B</t>
  </si>
  <si>
    <t>001271</t>
  </si>
  <si>
    <t>Żarówka LED GS 8,5W E27 4000K LED2B</t>
  </si>
  <si>
    <t>001272</t>
  </si>
  <si>
    <t>Żarówka LED GS 8,5W E27 6500K LED2B</t>
  </si>
  <si>
    <t>001273</t>
  </si>
  <si>
    <t>Żarówka LED GS 10,5W E27 3000K LED2B</t>
  </si>
  <si>
    <t>001254</t>
  </si>
  <si>
    <t>Żarówka LED GS 10,5W E27 4000K LED2B</t>
  </si>
  <si>
    <t>001255</t>
  </si>
  <si>
    <t>Żarówka LED GS 10,5W E27 6500K LED2B</t>
  </si>
  <si>
    <t>001256</t>
  </si>
  <si>
    <t>Żarówka LED GS 10W E27 3000K Kobi</t>
  </si>
  <si>
    <t>001171</t>
  </si>
  <si>
    <t>Żarówka LED GS 10W E27 4000K Kobi</t>
  </si>
  <si>
    <t>001172</t>
  </si>
  <si>
    <t>Żarówka LED GS 10W E27 6000K Kobi</t>
  </si>
  <si>
    <t>001173</t>
  </si>
  <si>
    <t>Żarówka LED GS 11W E27 3000K LED2B</t>
  </si>
  <si>
    <t>001262</t>
  </si>
  <si>
    <t>Żarówka LED GS 13W E27 3000K Kobi</t>
  </si>
  <si>
    <t>001178</t>
  </si>
  <si>
    <t>Żarówka LED GS 13W E27 4000K Kobi</t>
  </si>
  <si>
    <t>001180</t>
  </si>
  <si>
    <t>Żarówka LED GS 13W E27 6000K Kobi</t>
  </si>
  <si>
    <t>001181</t>
  </si>
  <si>
    <t>Żarówka LED GS 15W E27 3000K Kobi</t>
  </si>
  <si>
    <t>001182</t>
  </si>
  <si>
    <t>Żarówka LED GS 15W E27 4000K Kobi</t>
  </si>
  <si>
    <t>001184</t>
  </si>
  <si>
    <t>Żarówka LED GS 15W E27 6000K Kobi</t>
  </si>
  <si>
    <t>001186</t>
  </si>
  <si>
    <t>Żarówka LED GS 18W E27 3000K Kobi</t>
  </si>
  <si>
    <t>001187</t>
  </si>
  <si>
    <t>Żarówka LED GS 18W E27 4000K Kobi</t>
  </si>
  <si>
    <t>001188</t>
  </si>
  <si>
    <t>Żarówka LED GS 18W E27 6000K Kobi</t>
  </si>
  <si>
    <t>001189</t>
  </si>
  <si>
    <t>Żarówka LED GU10 1W 3000K Kobi</t>
  </si>
  <si>
    <t>001199</t>
  </si>
  <si>
    <t>Żarówka LED GU10 1W 4000K Kobi</t>
  </si>
  <si>
    <t>001200</t>
  </si>
  <si>
    <t>Żarówka LED GU10 1W 6000K Kobi</t>
  </si>
  <si>
    <t>001201</t>
  </si>
  <si>
    <t>Żarówka LED GU10 3W 3000K Kobi Premium</t>
  </si>
  <si>
    <t>001205</t>
  </si>
  <si>
    <t>Żarówka LED GU10 3W 4000K Kobi Premium</t>
  </si>
  <si>
    <t>001206</t>
  </si>
  <si>
    <t>Żarówka LED GU10 3W 6200K Kobi Premium</t>
  </si>
  <si>
    <t>001208</t>
  </si>
  <si>
    <t>Żarówka LED GU10 5W 3000K Kobi</t>
  </si>
  <si>
    <t>001215</t>
  </si>
  <si>
    <t>Żarówka LED GU10 5W 3000K Kobi Premium</t>
  </si>
  <si>
    <t>001216</t>
  </si>
  <si>
    <t>Żarówka LED GU10 5W 4000K  Kobi Premium</t>
  </si>
  <si>
    <t>001218</t>
  </si>
  <si>
    <t>Żarówka LED GU10 5W 4000K Kobi</t>
  </si>
  <si>
    <t>001217</t>
  </si>
  <si>
    <t>Żarówka LED GU10 5W 6000K Kobi</t>
  </si>
  <si>
    <t>001220</t>
  </si>
  <si>
    <t>Żarówka LED GU10 5W 6500K Kobi Premium</t>
  </si>
  <si>
    <t>001221</t>
  </si>
  <si>
    <t>Żarówka LED GU10 7W 3000K Kobi</t>
  </si>
  <si>
    <t>001226</t>
  </si>
  <si>
    <t>Żarówka LED GU10 7W 3000K Kobi Premium</t>
  </si>
  <si>
    <t>001227</t>
  </si>
  <si>
    <t>Żarówka LED GU10 7W 4000K Kobi</t>
  </si>
  <si>
    <t>001228</t>
  </si>
  <si>
    <t>Żarówka LED GU10 7W 4000K Kobi Premium</t>
  </si>
  <si>
    <t>001229</t>
  </si>
  <si>
    <t>Żarówka LED GU10 7W 6000K Kobi</t>
  </si>
  <si>
    <t>001230</t>
  </si>
  <si>
    <t>Żarówka LED GU10 7W 6500K Kobi Premium</t>
  </si>
  <si>
    <t>001231</t>
  </si>
  <si>
    <t>Żarówka LED GU10 8,5W 3000K LED2B</t>
  </si>
  <si>
    <t>003810</t>
  </si>
  <si>
    <t>Żarówka LED GU10 8,5W 4000K LED2B</t>
  </si>
  <si>
    <t>003811</t>
  </si>
  <si>
    <t>Żarówka LED GU10 8,5W 6500K LED2B</t>
  </si>
  <si>
    <t>003812</t>
  </si>
  <si>
    <t>Żarówka LED GU10 9W 3000K Kobi Premium</t>
  </si>
  <si>
    <t>001235</t>
  </si>
  <si>
    <t>Żarówka LED GU10 9W 4000K Kobi Premium</t>
  </si>
  <si>
    <t>001236</t>
  </si>
  <si>
    <t>Żarówka LED GU10 9W 6000K Kobi Premium</t>
  </si>
  <si>
    <t>001237</t>
  </si>
  <si>
    <t>Żarówka LED J78 8W R7S 3000K Kobi</t>
  </si>
  <si>
    <t>001249</t>
  </si>
  <si>
    <t>Żarówka LED J78 8W R7S 4000K Kobi</t>
  </si>
  <si>
    <t>001250</t>
  </si>
  <si>
    <t>Żarówka LED J118 15W R7S 3000K Kobi</t>
  </si>
  <si>
    <t>001246</t>
  </si>
  <si>
    <t>Żarówka LED J118 15W R7S 4000K Kobi</t>
  </si>
  <si>
    <t>001247</t>
  </si>
  <si>
    <t>Żarówka LED MB 4,5W E14 3000K Kobi</t>
  </si>
  <si>
    <t>001325</t>
  </si>
  <si>
    <t>Żarówka LED MB 4,5W E14 4000K Kobi</t>
  </si>
  <si>
    <t>001326</t>
  </si>
  <si>
    <t>Żarówka LED MB 4,5W E14 6000K Kobi</t>
  </si>
  <si>
    <t>001327</t>
  </si>
  <si>
    <t>Żarówka LED MB 4,5W E27 3000K Kobi</t>
  </si>
  <si>
    <t>001334</t>
  </si>
  <si>
    <t>Żarówka LED MB 4,5W E27 4000K Kobi</t>
  </si>
  <si>
    <t>001335</t>
  </si>
  <si>
    <t>Żarówka LED MB 4,5W E27 6000K Kobi</t>
  </si>
  <si>
    <t>001336</t>
  </si>
  <si>
    <t>Żarówka LED MB 6W E14 3000K Kobi</t>
  </si>
  <si>
    <t>001328</t>
  </si>
  <si>
    <t>Żarówka LED MB 6W E14 4000K Kobi</t>
  </si>
  <si>
    <t>001329</t>
  </si>
  <si>
    <t>Żarówka LED MB 6W E14 6000K Kobi</t>
  </si>
  <si>
    <t>001330</t>
  </si>
  <si>
    <t>Żarówka LED MB 6W E27 3000K Kobi</t>
  </si>
  <si>
    <t>001337</t>
  </si>
  <si>
    <t>Żarówka LED MB 6W E27 4000K Kobi</t>
  </si>
  <si>
    <t>001338</t>
  </si>
  <si>
    <t>Żarówka LED MB 6W E27 6000K Kobi</t>
  </si>
  <si>
    <t>001339</t>
  </si>
  <si>
    <t>Żarówka LED MB 7W E14 3000K LED2B</t>
  </si>
  <si>
    <t>001281</t>
  </si>
  <si>
    <t>Żarówka LED MB 7W E14 6500K LED2B</t>
  </si>
  <si>
    <t>001283</t>
  </si>
  <si>
    <t>Żarówka LED MB 7W E27 3000K LED2B</t>
  </si>
  <si>
    <t>001289</t>
  </si>
  <si>
    <t>Żarówka LED MB 7W E27 4000K LED2B</t>
  </si>
  <si>
    <t>001290</t>
  </si>
  <si>
    <t>Żarówka LED MB 7W E27 6500K LED2B</t>
  </si>
  <si>
    <t>001291</t>
  </si>
  <si>
    <t>Żarówka LED MB 8,5W E14 3000K LED2B</t>
  </si>
  <si>
    <t>001284</t>
  </si>
  <si>
    <t>Żarówka LED MB 8,5W E14 4000K LED2B</t>
  </si>
  <si>
    <t>001285</t>
  </si>
  <si>
    <t>Żarówka LED MB 8,5W E14 6500K LED2B</t>
  </si>
  <si>
    <t>001286</t>
  </si>
  <si>
    <t>Żarówka LED MB 8,5W E27 3000K LED2B</t>
  </si>
  <si>
    <t>001292</t>
  </si>
  <si>
    <t>Żarówka LED MB 8,5W E27 4000K LED2B</t>
  </si>
  <si>
    <t>001293</t>
  </si>
  <si>
    <t>Żarówka LED MB 8,5W E27 6500K LED2B</t>
  </si>
  <si>
    <t>001294</t>
  </si>
  <si>
    <t>Żarówka LED MB 9W E14 3000K Kobi Premium</t>
  </si>
  <si>
    <t>001331</t>
  </si>
  <si>
    <t>Żarówka LED MB 9W E14 4000K Kobi Premium</t>
  </si>
  <si>
    <t>001332</t>
  </si>
  <si>
    <t>Żarówka LED MB 9W E14 6000K Kobi Premium</t>
  </si>
  <si>
    <t>001333</t>
  </si>
  <si>
    <t>Żarówka LED MB 9W E27 3000K Kobi Premium</t>
  </si>
  <si>
    <t>001340</t>
  </si>
  <si>
    <t>Żarówka LED MB 9W E27 4000K Kobi Premium</t>
  </si>
  <si>
    <t>001341</t>
  </si>
  <si>
    <t>Żarówka LED MB 9W E27 6000K Kobi Premium</t>
  </si>
  <si>
    <t>001342</t>
  </si>
  <si>
    <t>Żarówka LED MR11 4W GU10 3000K Kobi</t>
  </si>
  <si>
    <t>001322</t>
  </si>
  <si>
    <t>Żarówka LED MR11 4W GU10 4000K Kobi</t>
  </si>
  <si>
    <t>001323</t>
  </si>
  <si>
    <t>Żarówka LED MR11 4W GU10 6000K Kobi</t>
  </si>
  <si>
    <t>001324</t>
  </si>
  <si>
    <t>Żarówka LED R50 5W E14 3000K Kobi</t>
  </si>
  <si>
    <t>001352</t>
  </si>
  <si>
    <t>Żarówka LED R50 5W E14 4000K Kobi</t>
  </si>
  <si>
    <t>001353</t>
  </si>
  <si>
    <t>Żarówka LED R63 8W E27 3000K Kobi</t>
  </si>
  <si>
    <t>001355</t>
  </si>
  <si>
    <t>Żarówka LED R63 8W E27 4000K Kobi</t>
  </si>
  <si>
    <t>001356</t>
  </si>
  <si>
    <t>Żarówka LED R63 8W E27 6000K Kobi</t>
  </si>
  <si>
    <t>001357</t>
  </si>
  <si>
    <t>Żarówka LED ST45 1W E27 2700K LED2B</t>
  </si>
  <si>
    <t>001251</t>
  </si>
  <si>
    <t>Żarówka LED SW 1,5W E14 4000K Kobi</t>
  </si>
  <si>
    <t>001359</t>
  </si>
  <si>
    <t>Żarówka LED SW 1,5W E14 6000K Kobi</t>
  </si>
  <si>
    <t>001360</t>
  </si>
  <si>
    <t>Żarówka LED SW 3W E14 3000K Kobi</t>
  </si>
  <si>
    <t>001361</t>
  </si>
  <si>
    <t>Żarówka LED SW 4,5W E14 3000K Kobi</t>
  </si>
  <si>
    <t>001362</t>
  </si>
  <si>
    <t>Żarówka LED SW 4,5W E14 4000K Kobi</t>
  </si>
  <si>
    <t>001363</t>
  </si>
  <si>
    <t>Żarówka LED SW 4,5W E14 6000K Kobi</t>
  </si>
  <si>
    <t>001364</t>
  </si>
  <si>
    <t>Żarówka LED SW 4,5W E27 3000K Kobi</t>
  </si>
  <si>
    <t>001373</t>
  </si>
  <si>
    <t>Żarówka LED SW 6W E14 3000K Kobi</t>
  </si>
  <si>
    <t>001365</t>
  </si>
  <si>
    <t>Żarówka LED SW 6W E14 4000K Kobi</t>
  </si>
  <si>
    <t>001366</t>
  </si>
  <si>
    <t>Żarówka LED SW 6W E14 6000K Kobi</t>
  </si>
  <si>
    <t>001367</t>
  </si>
  <si>
    <t>Żarówka LED SW 6W E27 3000K Kobi</t>
  </si>
  <si>
    <t>001374</t>
  </si>
  <si>
    <t>Żarówka LED SW 6W E27 4000K Kobi</t>
  </si>
  <si>
    <t>001375</t>
  </si>
  <si>
    <t>Żarówka LED SW 6W E27 6000K Kobi</t>
  </si>
  <si>
    <t>001376</t>
  </si>
  <si>
    <t>Żarówka LED SW 7W E14 3000K LED2B</t>
  </si>
  <si>
    <t>001295</t>
  </si>
  <si>
    <t>Żarówka LED SW 7W E14 6500K LED2B</t>
  </si>
  <si>
    <t>001297</t>
  </si>
  <si>
    <t>Żarówka LED SW 7W E27 3000K LED2B</t>
  </si>
  <si>
    <t>001301</t>
  </si>
  <si>
    <t>Żarówka LED SW 7W E27 4000K LED2B</t>
  </si>
  <si>
    <t>001302</t>
  </si>
  <si>
    <t>Żarówka LED SW 7W E27 6500K LED2B</t>
  </si>
  <si>
    <t>001303</t>
  </si>
  <si>
    <t>Żarówka LED SW 8,5W E14 3000K LED2B</t>
  </si>
  <si>
    <t>001298</t>
  </si>
  <si>
    <t>Żarówka LED SW 8,5W E14 4000K LED2B</t>
  </si>
  <si>
    <t>001299</t>
  </si>
  <si>
    <t>Żarówka LED SW 8,5W E14 6500K LED2B</t>
  </si>
  <si>
    <t>001300</t>
  </si>
  <si>
    <t>Żarówka LED SW 8,5W E27 3000K LED2B</t>
  </si>
  <si>
    <t>001304</t>
  </si>
  <si>
    <t>Żarówka LED SW 8,5W E27 4000K LED2B</t>
  </si>
  <si>
    <t>001305</t>
  </si>
  <si>
    <t>Żarówka LED SW 8,5W E27 6500K LED2B</t>
  </si>
  <si>
    <t>001306</t>
  </si>
  <si>
    <t>Żarówka LED SW 9W E14 3000K Kobi Premium</t>
  </si>
  <si>
    <t>001370</t>
  </si>
  <si>
    <t>Żarówka LED SW 9W E14 4000K Kobi Premium</t>
  </si>
  <si>
    <t>001371</t>
  </si>
  <si>
    <t>Żarówka LED SW 9W E14 6000K Kobi Premium</t>
  </si>
  <si>
    <t>001372</t>
  </si>
  <si>
    <t>Żarówka LED SW 9W E27 3000K Kobi Premium</t>
  </si>
  <si>
    <t>001377</t>
  </si>
  <si>
    <t>Żarówka LED SW 9W E27 4000K Kobi Premium</t>
  </si>
  <si>
    <t>001378</t>
  </si>
  <si>
    <t>Żarówka LED SW 9W E27 6000K Kobi Premium</t>
  </si>
  <si>
    <t>001379</t>
  </si>
  <si>
    <t>Żarówka LED T 2W E14 4000K Kobi</t>
  </si>
  <si>
    <t>001388</t>
  </si>
  <si>
    <t>Żarówka LED T 4,2W E14 4000K Kobi</t>
  </si>
  <si>
    <t>001389</t>
  </si>
  <si>
    <t>Smarthome</t>
  </si>
  <si>
    <t>Żarówka Smart LED 14W E27 RGB CCT WIFI Kobi</t>
  </si>
  <si>
    <t>001170</t>
  </si>
  <si>
    <t>Żarówka LED GS 9W E27 3000K LX Kobi Premium</t>
  </si>
  <si>
    <t>001195</t>
  </si>
  <si>
    <t>Żarówka LED GS 9W E27 4000K LX Kobi Premium</t>
  </si>
  <si>
    <t>001197</t>
  </si>
  <si>
    <t>Żarówka LED GS 9W E27 6500K LX Kobi Premium</t>
  </si>
  <si>
    <t>001198</t>
  </si>
  <si>
    <t>Oprawa liniowa LED NEXLINE1 31W P Kobi Pro</t>
  </si>
  <si>
    <t>000051</t>
  </si>
  <si>
    <t>Oprawa liniowa LED NEXLINE2 62W P Kobi Pro</t>
  </si>
  <si>
    <t>000052</t>
  </si>
  <si>
    <t>Oprawa liniowa LED NEXLINE SLIM 42W 120cm 4000K Kobi Pro</t>
  </si>
  <si>
    <t>000090</t>
  </si>
  <si>
    <t>JVS</t>
  </si>
  <si>
    <t>DECORO B-0001R</t>
  </si>
  <si>
    <t>000866</t>
  </si>
  <si>
    <t>DECORO C-0001R</t>
  </si>
  <si>
    <t>000867</t>
  </si>
  <si>
    <t>Żarówka filamentowa LED FG125 7W E27 2700K Kobi 360 Line</t>
  </si>
  <si>
    <t>001135</t>
  </si>
  <si>
    <t>Żarówka LED GU10 4W 4000K Kobi</t>
  </si>
  <si>
    <t>001213</t>
  </si>
  <si>
    <t>Żarówka LED GS 10W E27 6000K LED2B</t>
  </si>
  <si>
    <t>001261</t>
  </si>
  <si>
    <t>Żarówka LED GS 12W E27 6000K LED2B</t>
  </si>
  <si>
    <t>001267</t>
  </si>
  <si>
    <t>Taśma LED TRAMO 300 2835 5m 4000K IP20 Kobi Premium</t>
  </si>
  <si>
    <t>001407</t>
  </si>
  <si>
    <t>Taśma LED TRAMO 300 2835 5m 6500K IP20 Kobi</t>
  </si>
  <si>
    <t>001411</t>
  </si>
  <si>
    <t>Taśma LED TRAMO 150 5050 5m RGB IP20 Kobi</t>
  </si>
  <si>
    <t>001416</t>
  </si>
  <si>
    <t>Lampa podłogowa BOHO BONN ST 1xE27 Kobi Design</t>
  </si>
  <si>
    <t>001466</t>
  </si>
  <si>
    <t>Lampka biurkowa BOHO BONN MINI 1xE27 Kobi Design</t>
  </si>
  <si>
    <t>001467</t>
  </si>
  <si>
    <t>Lampka biurkowa BOHO BONN ST MINI 1xE27 Kobi Design</t>
  </si>
  <si>
    <t>001468</t>
  </si>
  <si>
    <t>Lampa wisząca BOHO BERN M 1xE27 Kobi Design</t>
  </si>
  <si>
    <t>001476</t>
  </si>
  <si>
    <t>Lampa wisząca BOHO BITAVIA S 1xE27 Kobi Design</t>
  </si>
  <si>
    <t>001477</t>
  </si>
  <si>
    <t>Lampa wisząca BOHO BITAVIA M 1xE27 Kobi Design</t>
  </si>
  <si>
    <t>001478</t>
  </si>
  <si>
    <t>Lampa wisząca BOHO BOSU 1xE27 Kobi Design</t>
  </si>
  <si>
    <t>001481</t>
  </si>
  <si>
    <t>Lampa wisząca BOHO RENNI N 1xE27 Kobi Design</t>
  </si>
  <si>
    <t>001484</t>
  </si>
  <si>
    <t>Lampa wisząca BOHO BAYOS 1xE27 Kobi Design</t>
  </si>
  <si>
    <t>001485</t>
  </si>
  <si>
    <t>Lampa wisząca BOHO BARSO 1xE27 Kobi Design</t>
  </si>
  <si>
    <t>001487</t>
  </si>
  <si>
    <t>Lampa sufitowa BOHO BULI M 1xE27 Kobi Design</t>
  </si>
  <si>
    <t>001489</t>
  </si>
  <si>
    <t>Lampa wisząca BOHO BEMIDI S 1xE27 Kobi Design</t>
  </si>
  <si>
    <t>001490</t>
  </si>
  <si>
    <t>Lampa sufitowa BOHO RENNI B 1xE27 Kobi Design</t>
  </si>
  <si>
    <t>001493</t>
  </si>
  <si>
    <t>Lampa sufitowa BOHO SIBU LONG 1xE27 Kobi Design</t>
  </si>
  <si>
    <t>001495</t>
  </si>
  <si>
    <t>Kinkiet BOHO SIBU WALL 1xE27 Kobi Design</t>
  </si>
  <si>
    <t>001496</t>
  </si>
  <si>
    <t>Lampka biurkowa BOHO SIMBU LS 1xE27 Kobi Design</t>
  </si>
  <si>
    <t>001498</t>
  </si>
  <si>
    <t>Lampka biurkowa BOHO SIBU ST 1xE27 Kobi Design</t>
  </si>
  <si>
    <t>001500</t>
  </si>
  <si>
    <t>Lampa sufitowa BOHO SONTI 1xE27 Kobi Design</t>
  </si>
  <si>
    <t>001503</t>
  </si>
  <si>
    <t>Naświetlacz LED MHN 10W 4000K IP65 Kobi Premium</t>
  </si>
  <si>
    <t>001735</t>
  </si>
  <si>
    <t>Plafon LED NAIROS 24W CCT LX IP65 czarny Kobi Premium</t>
  </si>
  <si>
    <t>001835</t>
  </si>
  <si>
    <t>Kinkiet CURVE-36 1xR7s JVS</t>
  </si>
  <si>
    <t>001982</t>
  </si>
  <si>
    <t>Downlight ESF-001-R 1xGU10 mat chrom JVS</t>
  </si>
  <si>
    <t>002022</t>
  </si>
  <si>
    <t>Pierścień ozdobny OH20 czarny Kobi</t>
  </si>
  <si>
    <t>002050</t>
  </si>
  <si>
    <t>Pierścień ozdobny OH228 chrom Kobi</t>
  </si>
  <si>
    <t>002055</t>
  </si>
  <si>
    <t>Oprawa do nadbudowania OH36 L chrom  Kobi</t>
  </si>
  <si>
    <t>002093</t>
  </si>
  <si>
    <t>Oprawa sufitowa NUUK PT 1xGU10 biały Kobi</t>
  </si>
  <si>
    <t>002191</t>
  </si>
  <si>
    <t>Kinkiet ogrodowy QUAZAR 13 1xGU10 LX IP44 szary Kobi</t>
  </si>
  <si>
    <t>002270</t>
  </si>
  <si>
    <t>Słupek ogrodowy QUAZAR 14 1xGU10 IP44 czarny Kobi</t>
  </si>
  <si>
    <t>002271</t>
  </si>
  <si>
    <t>Kinkiet ogrodowy QUAZAR 4 2xGU10 IP44 czarny Kobi</t>
  </si>
  <si>
    <t>002285</t>
  </si>
  <si>
    <t>Kinkiet ogrodowy QUAZAR 8 1xGU10 IP44 czarny Kobi</t>
  </si>
  <si>
    <t>002289</t>
  </si>
  <si>
    <t>Kinkiet ogrodowy QUAZAR 8 1xGU10 IP44 szary Kobi</t>
  </si>
  <si>
    <t>002290</t>
  </si>
  <si>
    <t>Kinkiet ogrodowy QUAZAR 9 2xGU10 IP44 czarny Kobi</t>
  </si>
  <si>
    <t>002291</t>
  </si>
  <si>
    <t>002400</t>
  </si>
  <si>
    <t>Lampka biurkowa BOHO BITAVIA MINI 1xE27 Kobi Design</t>
  </si>
  <si>
    <t>001479</t>
  </si>
  <si>
    <t>Lampa wisząca BOHO BONTI 1xE27 Kobi Design</t>
  </si>
  <si>
    <t>001482</t>
  </si>
  <si>
    <t>Lampa wisząca BOHO BINDUM 1xE27 Kobi Design</t>
  </si>
  <si>
    <t>001483</t>
  </si>
  <si>
    <t>Lampa wisząca BOHO BANDIGO 1xE27 Kobi Design</t>
  </si>
  <si>
    <t>001486</t>
  </si>
  <si>
    <t>Lampa wisząca BOHO BEMIDI M 1xE27 Kobi Design</t>
  </si>
  <si>
    <t>001491</t>
  </si>
  <si>
    <t>Lampa sufitowa BOHO REDDI 1xE27 Kobi Design</t>
  </si>
  <si>
    <t>001494</t>
  </si>
  <si>
    <t>Lampka biurkowa BOHO SIMBU HS 1xE27 Kobi Design</t>
  </si>
  <si>
    <t>001497</t>
  </si>
  <si>
    <t>Lampa wisząca BOHO SILVON 1xE27 Kobi Design</t>
  </si>
  <si>
    <t>001499</t>
  </si>
  <si>
    <t>Czujnik ruchu i zmierzchu ZHAGA</t>
  </si>
  <si>
    <t>002346</t>
  </si>
  <si>
    <t>Oprawa drogowa Solar LED URBI 11W 6500K IP54 LED2B</t>
  </si>
  <si>
    <t>003688</t>
  </si>
  <si>
    <t>Oprawa parkowa Solar LED LUVIA 15W 6500K IP54 LED2B</t>
  </si>
  <si>
    <t>003690</t>
  </si>
  <si>
    <t>Kinkiet ogrodowy LED LENTERO 12W 4000K LX IP54 czarny LED2B</t>
  </si>
  <si>
    <t>003705</t>
  </si>
  <si>
    <t>Oprawa liniowa hermetyczna LED HPL2 90W IP65 120° Kobi Pro</t>
  </si>
  <si>
    <t>004134</t>
  </si>
  <si>
    <t>E</t>
  </si>
  <si>
    <t>szt</t>
  </si>
  <si>
    <t>5 lat</t>
  </si>
  <si>
    <t>nie dotyczy</t>
  </si>
  <si>
    <t>1 rok</t>
  </si>
  <si>
    <t>F</t>
  </si>
  <si>
    <t>C</t>
  </si>
  <si>
    <t>2 lata</t>
  </si>
  <si>
    <t>3 lata</t>
  </si>
  <si>
    <t>G</t>
  </si>
  <si>
    <t>B</t>
  </si>
  <si>
    <t>7 lat</t>
  </si>
  <si>
    <t>D</t>
  </si>
  <si>
    <t>5902201308358</t>
  </si>
  <si>
    <t>5902201391404</t>
  </si>
  <si>
    <t>5902201391442</t>
  </si>
  <si>
    <t>5902201382334</t>
  </si>
  <si>
    <t>5902201382327</t>
  </si>
  <si>
    <t>5902846013211</t>
  </si>
  <si>
    <t>5902201391428</t>
  </si>
  <si>
    <t>5902201391435</t>
  </si>
  <si>
    <t>5902201391374</t>
  </si>
  <si>
    <t>5902201391350</t>
  </si>
  <si>
    <t>5902201391367</t>
  </si>
  <si>
    <t>kpl</t>
  </si>
  <si>
    <t>5902201390940</t>
  </si>
  <si>
    <t>5902201390957</t>
  </si>
  <si>
    <t>5902201390933</t>
  </si>
  <si>
    <t>5902201389081</t>
  </si>
  <si>
    <t>5902201389104</t>
  </si>
  <si>
    <t>5902201389111</t>
  </si>
  <si>
    <t>5902201381696</t>
  </si>
  <si>
    <t>5902201381825</t>
  </si>
  <si>
    <t>5902201381849</t>
  </si>
  <si>
    <t>5902201381733</t>
  </si>
  <si>
    <t>5902201381559</t>
  </si>
  <si>
    <t>5902201381610</t>
  </si>
  <si>
    <t>5902201381498</t>
  </si>
  <si>
    <t>5902201381504</t>
  </si>
  <si>
    <t>5902201381535</t>
  </si>
  <si>
    <t>5902201381542</t>
  </si>
  <si>
    <t>5902201381511</t>
  </si>
  <si>
    <t>5902201381528</t>
  </si>
  <si>
    <t>5902201382341</t>
  </si>
  <si>
    <t>5900605094921</t>
  </si>
  <si>
    <t>5902201391381</t>
  </si>
  <si>
    <t>5902201393583</t>
  </si>
  <si>
    <t>5902201393576</t>
  </si>
  <si>
    <t>5902201393538</t>
  </si>
  <si>
    <t>5902201393545</t>
  </si>
  <si>
    <t>5902201393514</t>
  </si>
  <si>
    <t>5902201393521</t>
  </si>
  <si>
    <t>5902201380729</t>
  </si>
  <si>
    <t>5902201390919</t>
  </si>
  <si>
    <t>5902201368642</t>
  </si>
  <si>
    <t>5900605098745</t>
  </si>
  <si>
    <t>5902201390926</t>
  </si>
  <si>
    <t>5902201389241</t>
  </si>
  <si>
    <t>5902201390858</t>
  </si>
  <si>
    <t>5902201393460</t>
  </si>
  <si>
    <t>5902201393453</t>
  </si>
  <si>
    <t>5902201393491</t>
  </si>
  <si>
    <t>5902201393507</t>
  </si>
  <si>
    <t>5902201393477</t>
  </si>
  <si>
    <t>5902201393484</t>
  </si>
  <si>
    <t>5902201397888</t>
  </si>
  <si>
    <t>5900605095744</t>
  </si>
  <si>
    <t>5902201389265</t>
  </si>
  <si>
    <t>5902846011385</t>
  </si>
  <si>
    <t>5902201389272</t>
  </si>
  <si>
    <t>5902201389289</t>
  </si>
  <si>
    <t>5902201396324</t>
  </si>
  <si>
    <t>5902201396331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</si>
  <si>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</si>
  <si>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</si>
  <si>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</si>
  <si>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</si>
  <si>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</si>
  <si>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</si>
  <si>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</si>
  <si>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</si>
  <si>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</si>
  <si>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</si>
  <si>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</si>
  <si>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</si>
  <si>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5902201390896</t>
  </si>
  <si>
    <t>5902201390902</t>
  </si>
  <si>
    <t>5906340214983</t>
  </si>
  <si>
    <t>5902201391398</t>
  </si>
  <si>
    <t>5902201384390</t>
  </si>
  <si>
    <t>5902201384406</t>
  </si>
  <si>
    <t>5902201396683</t>
  </si>
  <si>
    <t>5902201396690</t>
  </si>
  <si>
    <t>5907178000809</t>
  </si>
  <si>
    <t>5902201396706</t>
  </si>
  <si>
    <t>5902201396713</t>
  </si>
  <si>
    <t>5902201396720</t>
  </si>
  <si>
    <t>5902201396737</t>
  </si>
  <si>
    <t>5902201391343</t>
  </si>
  <si>
    <t>5902201390872</t>
  </si>
  <si>
    <t>5902201364606</t>
  </si>
  <si>
    <t>5902201387537</t>
  </si>
  <si>
    <t>5902201387544</t>
  </si>
  <si>
    <t>5902201394955</t>
  </si>
  <si>
    <t>5902201394962</t>
  </si>
  <si>
    <t>5902201394979</t>
  </si>
  <si>
    <t>5902846013983</t>
  </si>
  <si>
    <t>4251292458741</t>
  </si>
  <si>
    <t>4260379589964</t>
  </si>
  <si>
    <t>5900605097748</t>
  </si>
  <si>
    <t>5902846018773</t>
  </si>
  <si>
    <t>5902846018780</t>
  </si>
  <si>
    <t>5902846010760</t>
  </si>
  <si>
    <t>5900605096987</t>
  </si>
  <si>
    <t>5902201381443</t>
  </si>
  <si>
    <t>5902201381467</t>
  </si>
  <si>
    <t>5902201381474</t>
  </si>
  <si>
    <t>5902201381566</t>
  </si>
  <si>
    <t>5902201381573</t>
  </si>
  <si>
    <t>5902201381580</t>
  </si>
  <si>
    <t>5902201381627</t>
  </si>
  <si>
    <t>5902201381658</t>
  </si>
  <si>
    <t>5902201381665</t>
  </si>
  <si>
    <t>5902201381689</t>
  </si>
  <si>
    <t>5902201381702</t>
  </si>
  <si>
    <t>5902201381719</t>
  </si>
  <si>
    <t>5902201381740</t>
  </si>
  <si>
    <t>5902201381764</t>
  </si>
  <si>
    <t>5902201381771</t>
  </si>
  <si>
    <t>5902201381795</t>
  </si>
  <si>
    <t>5902201381818</t>
  </si>
  <si>
    <t>5902201381863</t>
  </si>
  <si>
    <t>5902201368659</t>
  </si>
  <si>
    <t>4260379586765</t>
  </si>
  <si>
    <t>4251292406766</t>
  </si>
  <si>
    <t>5900605093634</t>
  </si>
  <si>
    <t>5900605094778</t>
  </si>
  <si>
    <t>5900605098721</t>
  </si>
  <si>
    <t>5900605098387</t>
  </si>
  <si>
    <t>5900605098356</t>
  </si>
  <si>
    <t>5900605097380</t>
  </si>
  <si>
    <t>5900605097397</t>
  </si>
  <si>
    <t>5902201381597</t>
  </si>
  <si>
    <t>5902201381634</t>
  </si>
  <si>
    <t>5902201381641</t>
  </si>
  <si>
    <t>5902201381672</t>
  </si>
  <si>
    <t>5902201381726</t>
  </si>
  <si>
    <t>5902201381757</t>
  </si>
  <si>
    <t>5902201381788</t>
  </si>
  <si>
    <t>5902201381801</t>
  </si>
  <si>
    <t>5902201390865</t>
  </si>
  <si>
    <t>5902201390889</t>
  </si>
  <si>
    <t>5902201391411</t>
  </si>
  <si>
    <t>Świetlówka LED T8 9W 60cm 6500K Kobi Premium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</si>
  <si>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</si>
  <si>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</si>
  <si>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</si>
  <si>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</si>
  <si>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</si>
  <si>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</si>
  <si>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</si>
  <si>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</si>
  <si>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</si>
  <si>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do wyczerpania zapasów</t>
  </si>
  <si>
    <t>Uwagi</t>
  </si>
  <si>
    <t>Panel LED CAPRI G2 25-36- 40W 30x120 3CCT IP44 Kobi Pro</t>
  </si>
  <si>
    <t>003823</t>
  </si>
  <si>
    <t>Panel LED CAPRI G2 25-36-40W 30x120 3CCT IP44 UGR&lt;19 Kobi Pro</t>
  </si>
  <si>
    <t>003824</t>
  </si>
  <si>
    <t>Panel LED CAPRI G3 25-36-40W 60x60 3CCT IP44 UGR &lt;19 Kobi Pro</t>
  </si>
  <si>
    <t>003825</t>
  </si>
  <si>
    <t>High Bay LED ANICA 150W 4000K IP65 90° Kobi Pro</t>
  </si>
  <si>
    <t>001555</t>
  </si>
  <si>
    <t>High Bay LED ANICA 150W 4000K IP65 120° Kobi Pro</t>
  </si>
  <si>
    <t>001554</t>
  </si>
  <si>
    <t>5902201396348</t>
  </si>
  <si>
    <t>5902201396355</t>
  </si>
  <si>
    <t>5902201396362</t>
  </si>
  <si>
    <t>5902201386240</t>
  </si>
  <si>
    <t>5902201386257</t>
  </si>
  <si>
    <t>Kinkiet ogrodowy QUAZAR 15 1xGU10 LX IP44 czarny Kobi</t>
  </si>
  <si>
    <t>Kinkiet ogrodowy QUAZAR 15 1xGU10 LX IP44 szary Kobi</t>
  </si>
  <si>
    <t>Naświetlacz Solar LED GLOW G2 2,5W 6500K LED2B</t>
  </si>
  <si>
    <t>Naświetlacz LED MHC 10W 4000K IP65 czarny LED2B</t>
  </si>
  <si>
    <t>Naświetlacz LED MHC 30W 6500K IP65 czarny LED2B</t>
  </si>
  <si>
    <t>Oprawa meblowa LED WL 4W 3CCT Kobi</t>
  </si>
  <si>
    <t>003830</t>
  </si>
  <si>
    <t>Oprawa meblowa LED WL 12W 3CCT Kobi</t>
  </si>
  <si>
    <t>003832</t>
  </si>
  <si>
    <t>Oprawa meblowa LED WL 16W 3CCT Kobi</t>
  </si>
  <si>
    <t>003833</t>
  </si>
  <si>
    <t>Taśma LED TRAMO 320 COB 50m 3000K Kobi Premium</t>
  </si>
  <si>
    <t>003817</t>
  </si>
  <si>
    <t>Taśma LED TRAMO 320 COB 50m 4000K Kobi Premium</t>
  </si>
  <si>
    <t>003818</t>
  </si>
  <si>
    <t>Taśma LED TRAMO 320 COB 50m 6500K Kobi Premium</t>
  </si>
  <si>
    <t>003819</t>
  </si>
  <si>
    <t>Łącznik I taśmy LED COB 8mm Kobi</t>
  </si>
  <si>
    <t>003931</t>
  </si>
  <si>
    <t>Łącznik 10 cm taśmy LED COB 8mm Kobi</t>
  </si>
  <si>
    <t>003932</t>
  </si>
  <si>
    <t>Łącznik dwustronny 10 cm taśmy LED COB 8mm Kobi</t>
  </si>
  <si>
    <t>003933</t>
  </si>
  <si>
    <t>Łącznik L taśmy LED COB 8mm Kobi</t>
  </si>
  <si>
    <t>003934</t>
  </si>
  <si>
    <t>Moduł zasilacza montażowy 24V 24W 1,00A</t>
  </si>
  <si>
    <t>004359</t>
  </si>
  <si>
    <t>Moduł zasilacza montażowy 24V 36W 1.50A</t>
  </si>
  <si>
    <t>004360</t>
  </si>
  <si>
    <t>Moduł zasilacza montażowy 24V 60W 2,50A</t>
  </si>
  <si>
    <t>004361</t>
  </si>
  <si>
    <t>Moduł zasilacza montażowy 24V 100W 4,16A</t>
  </si>
  <si>
    <t>004362</t>
  </si>
  <si>
    <t>Moduł zasilacza montażowy 24V 150W 6,25A</t>
  </si>
  <si>
    <t>004363</t>
  </si>
  <si>
    <t>Moduł zasilacza montażowy 24V 200W 8.30A</t>
  </si>
  <si>
    <t>004364</t>
  </si>
  <si>
    <t>Moduł zasilacza montażowy 24V 250W 10,40A</t>
  </si>
  <si>
    <t>004365</t>
  </si>
  <si>
    <t>Moduł zasilacza montażowy 24V 300W 12,50A</t>
  </si>
  <si>
    <t>004366</t>
  </si>
  <si>
    <t>Moduł zasilacza wodoodporny 24V 30W 1.25A</t>
  </si>
  <si>
    <t>004367</t>
  </si>
  <si>
    <t>Moduł zasilacza wodoodporny 24V 60W 2.50A</t>
  </si>
  <si>
    <t>004368</t>
  </si>
  <si>
    <t>Moduł zasilacza wodoodporny 24V 100W 4.17A</t>
  </si>
  <si>
    <t>004369</t>
  </si>
  <si>
    <t>Moduł zasilacza wodoodporny 24V 150W 6,25A</t>
  </si>
  <si>
    <t>004370</t>
  </si>
  <si>
    <t>Moduł zasilacza wodoodporny 24V 200W 8.30A</t>
  </si>
  <si>
    <t>004371</t>
  </si>
  <si>
    <t>Zasilacz desktop 24V 24W 1,00A wtyk DC 2,1x5,5</t>
  </si>
  <si>
    <t>004372</t>
  </si>
  <si>
    <t>Zasilacz desktop 24V 48W 2,00A wtyk DC 2,1x5,5</t>
  </si>
  <si>
    <t>Zasilacz desktop 24V 60W 2,50A wtyk DC 2,1x5,5</t>
  </si>
  <si>
    <t>004374</t>
  </si>
  <si>
    <t>Zasilacz desktop 24V 72W 3,00A wtyk DC 2,1x5,5</t>
  </si>
  <si>
    <t>Zasilacz desktop 24V 96W 4,00A wtyk DC 2,1x5,5</t>
  </si>
  <si>
    <t>Zasilacz desktop 24V 120W 5,00A wtyk DC 2,1x5,5</t>
  </si>
  <si>
    <t>004378</t>
  </si>
  <si>
    <t>5902201397871</t>
  </si>
  <si>
    <t>5902201397895</t>
  </si>
  <si>
    <t>5902201397901</t>
  </si>
  <si>
    <t>5907178001394</t>
  </si>
  <si>
    <t>5907178001400</t>
  </si>
  <si>
    <t>5907178001417</t>
  </si>
  <si>
    <t>5907178001424</t>
  </si>
  <si>
    <t>5907178001431</t>
  </si>
  <si>
    <t>5907178001448</t>
  </si>
  <si>
    <t>5907178001455</t>
  </si>
  <si>
    <t>Naświetlacz LED MHC 10W 6500K IP65 czarny LED2B</t>
  </si>
  <si>
    <t>Naświetlacz LED MH 20W 4000K IP65 czarny LED2B</t>
  </si>
  <si>
    <t>001648</t>
  </si>
  <si>
    <t>Naświetlacz LED MH 30W 4000K IP65 czarny LED2B</t>
  </si>
  <si>
    <t>001653</t>
  </si>
  <si>
    <t>Naświetlacz LED MH 30W 6500K IP65 czarny LED2B</t>
  </si>
  <si>
    <t>001655</t>
  </si>
  <si>
    <t>Naświetlacz LED MH 50W 4000K IP65 czarny LED2B</t>
  </si>
  <si>
    <t>001658</t>
  </si>
  <si>
    <t>Naświetlacz LED MH 50W 6500K IP65 czarny LED2B</t>
  </si>
  <si>
    <t>001660</t>
  </si>
  <si>
    <t>Naświetlacz LED MH 100W 4000K IP65 czarny LED2B</t>
  </si>
  <si>
    <t>001638</t>
  </si>
  <si>
    <t>Naświetlacz LED MH 100W 6500K IP65 czarny LED2B</t>
  </si>
  <si>
    <t>001640</t>
  </si>
  <si>
    <t>Naświetlacz LED MHC 20W 4000K IP65 czarny LED2B</t>
  </si>
  <si>
    <t>001669</t>
  </si>
  <si>
    <t>Naświetlacz LED MHC 20W 6500K IP65 czarny LED2B</t>
  </si>
  <si>
    <t>001671</t>
  </si>
  <si>
    <t>Naświetlacz LED MHC 30W 4000K IP65 czarny LED2B</t>
  </si>
  <si>
    <t>001674</t>
  </si>
  <si>
    <t>Naświetlacz LED MHC 50W 4000K IP65 czarny LED2B</t>
  </si>
  <si>
    <t>001679</t>
  </si>
  <si>
    <t>Naświetlacz LED MHC 50W 6500K IP65 czarny LED2B</t>
  </si>
  <si>
    <t>001681</t>
  </si>
  <si>
    <t>002406</t>
  </si>
  <si>
    <t>002407</t>
  </si>
  <si>
    <t>002408</t>
  </si>
  <si>
    <t>Lampka biurkowa LED TENUIX 14W CCT biała LED2B</t>
  </si>
  <si>
    <t>003935</t>
  </si>
  <si>
    <t>Lampka biurkowa LED TENUIX DUO 28W CCT biała LED2B</t>
  </si>
  <si>
    <t>003936</t>
  </si>
  <si>
    <t>Lampka biurkowa LED AURIQ LOUPE 10W czarna LED2B</t>
  </si>
  <si>
    <t>004022</t>
  </si>
  <si>
    <t>Lampka biurkowa LED NOBLITE 7W RGB czarna LED2B</t>
  </si>
  <si>
    <t>004023</t>
  </si>
  <si>
    <t>Lampka biurkowa LED NOBLITE 7W RGB biała LED2B</t>
  </si>
  <si>
    <t>004024</t>
  </si>
  <si>
    <t>Lampka biurkowa LED NOBLITE N 7W czarna LED2B</t>
  </si>
  <si>
    <t>004026</t>
  </si>
  <si>
    <t>Lampka biurkowa LED NOBLITE N 7W biała LED2B</t>
  </si>
  <si>
    <t>004027</t>
  </si>
  <si>
    <t>Lampka biurkowa LED LUSIA 5W biała LED2B</t>
  </si>
  <si>
    <t>004028</t>
  </si>
  <si>
    <t>Lampka biurkowa LED LUSIA 5W czarna LED2B</t>
  </si>
  <si>
    <t>004029</t>
  </si>
  <si>
    <t>Lampa podłogowa LED TEILO 10W 3CCT LED2B</t>
  </si>
  <si>
    <t>004030</t>
  </si>
  <si>
    <t>Lampka biurkowa LED TENUIX FOLD 20W CCT LED2B</t>
  </si>
  <si>
    <t>004032</t>
  </si>
  <si>
    <t>5902201300475</t>
  </si>
  <si>
    <t>5902201300482</t>
  </si>
  <si>
    <t>5902846018179</t>
  </si>
  <si>
    <t>5902201300499</t>
  </si>
  <si>
    <t>5902846018193</t>
  </si>
  <si>
    <t>5902201304251</t>
  </si>
  <si>
    <t>5902846018209</t>
  </si>
  <si>
    <t>5902201300512</t>
  </si>
  <si>
    <t>5902846018247</t>
  </si>
  <si>
    <t>5902201300529</t>
  </si>
  <si>
    <t>5902201300536</t>
  </si>
  <si>
    <t>5902846018285</t>
  </si>
  <si>
    <t>5902479642888</t>
  </si>
  <si>
    <t>5902479642895</t>
  </si>
  <si>
    <t>5902479642901</t>
  </si>
  <si>
    <t>5907178002506</t>
  </si>
  <si>
    <t>5907178002513</t>
  </si>
  <si>
    <t>5907178001462</t>
  </si>
  <si>
    <t>5907178001479</t>
  </si>
  <si>
    <t>5907178001486</t>
  </si>
  <si>
    <t>5907178001509</t>
  </si>
  <si>
    <t>5907178001516</t>
  </si>
  <si>
    <t>5907178001523</t>
  </si>
  <si>
    <t>5907178001530</t>
  </si>
  <si>
    <t>5907178001547</t>
  </si>
  <si>
    <t>5907178001561</t>
  </si>
  <si>
    <t>5902479640839</t>
  </si>
  <si>
    <t>5902479641386</t>
  </si>
  <si>
    <t>5902479643281</t>
  </si>
  <si>
    <t>5902479643298</t>
  </si>
  <si>
    <t>5902479643311</t>
  </si>
  <si>
    <t>5902479643304</t>
  </si>
  <si>
    <t>5902479641843</t>
  </si>
  <si>
    <t>5902479641799</t>
  </si>
  <si>
    <t>5902479641805</t>
  </si>
  <si>
    <t>5902479641812</t>
  </si>
  <si>
    <t>5902479641829</t>
  </si>
  <si>
    <t>5902479641836</t>
  </si>
  <si>
    <t>5902479642871</t>
  </si>
  <si>
    <t>5902479641720</t>
  </si>
  <si>
    <t>5902479641737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</si>
</sst>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9" fontId="1" fillId="2" borderId="9" xfId="1" applyFill="1" applyBorder="1" applyAlignment="1" applyProtection="1">
      <alignment horizontal="center" vertical="center"/>
      <protection locked="0"/>
    </xf>
    <xf numFmtId="9" fontId="1" fillId="2" borderId="8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" fontId="8" fillId="2" borderId="0" xfId="0" applyNumberFormat="1" applyFont="1" applyFill="1" applyProtection="1">
      <protection hidden="1"/>
    </xf>
    <xf numFmtId="0" fontId="3" fillId="0" borderId="0" xfId="2" applyProtection="1">
      <protection hidden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color theme="0"/>
      </font>
    </dxf>
    <dxf>
      <font>
        <b/>
        <i/>
        <color theme="3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K46"/>
  <sheetViews>
    <sheetView workbookViewId="0">
      <selection activeCell="N17" sqref="N17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8" width="9.140625" style="1"/>
    <col min="9" max="9" width="11.7109375" style="1" bestFit="1" customWidth="1"/>
    <col min="10" max="16384" width="9.140625" style="1"/>
  </cols>
  <sheetData>
    <row r="3" spans="3:5" x14ac:dyDescent="0.25">
      <c r="D3" s="2" t="s">
        <v>0</v>
      </c>
    </row>
    <row r="4" spans="3:5" x14ac:dyDescent="0.25">
      <c r="D4" s="2" t="s">
        <v>15</v>
      </c>
    </row>
    <row r="6" spans="3:5" x14ac:dyDescent="0.25">
      <c r="C6" s="2" t="s">
        <v>1</v>
      </c>
      <c r="D6" s="3">
        <v>45797</v>
      </c>
    </row>
    <row r="7" spans="3:5" x14ac:dyDescent="0.25">
      <c r="C7" s="2"/>
      <c r="D7" s="4"/>
    </row>
    <row r="9" spans="3:5" x14ac:dyDescent="0.25">
      <c r="C9" s="5"/>
      <c r="D9" s="6" t="s">
        <v>2</v>
      </c>
      <c r="E9" s="6" t="s">
        <v>3</v>
      </c>
    </row>
    <row r="10" spans="3:5" x14ac:dyDescent="0.25">
      <c r="C10" s="41" t="s">
        <v>13</v>
      </c>
      <c r="D10" s="7" t="s">
        <v>1922</v>
      </c>
      <c r="E10" s="8">
        <v>0</v>
      </c>
    </row>
    <row r="11" spans="3:5" x14ac:dyDescent="0.25">
      <c r="C11" s="42"/>
      <c r="D11" s="9" t="s">
        <v>1969</v>
      </c>
      <c r="E11" s="10">
        <v>0</v>
      </c>
    </row>
    <row r="12" spans="3:5" x14ac:dyDescent="0.25">
      <c r="C12" s="43"/>
      <c r="D12" s="9" t="s">
        <v>2026</v>
      </c>
      <c r="E12" s="10">
        <v>0</v>
      </c>
    </row>
    <row r="13" spans="3:5" x14ac:dyDescent="0.25">
      <c r="C13" s="40" t="s">
        <v>4</v>
      </c>
      <c r="D13" s="32" t="s">
        <v>795</v>
      </c>
      <c r="E13" s="8">
        <v>0</v>
      </c>
    </row>
    <row r="14" spans="3:5" x14ac:dyDescent="0.25">
      <c r="C14" s="40"/>
      <c r="D14" s="33" t="s">
        <v>798</v>
      </c>
      <c r="E14" s="10">
        <v>0</v>
      </c>
    </row>
    <row r="15" spans="3:5" x14ac:dyDescent="0.25">
      <c r="C15" s="40"/>
      <c r="D15" s="33" t="s">
        <v>803</v>
      </c>
      <c r="E15" s="10">
        <v>0</v>
      </c>
    </row>
    <row r="16" spans="3:5" x14ac:dyDescent="0.25">
      <c r="C16" s="40"/>
      <c r="D16" s="34" t="s">
        <v>810</v>
      </c>
      <c r="E16" s="12">
        <v>0</v>
      </c>
    </row>
    <row r="17" spans="3:11" x14ac:dyDescent="0.25">
      <c r="C17" s="40"/>
      <c r="D17" s="32" t="s">
        <v>817</v>
      </c>
      <c r="E17" s="8">
        <v>0</v>
      </c>
    </row>
    <row r="18" spans="3:11" x14ac:dyDescent="0.25">
      <c r="C18" s="40"/>
      <c r="D18" s="33" t="s">
        <v>844</v>
      </c>
      <c r="E18" s="10">
        <v>0</v>
      </c>
    </row>
    <row r="19" spans="3:11" x14ac:dyDescent="0.25">
      <c r="C19" s="40"/>
      <c r="D19" s="33" t="s">
        <v>1280</v>
      </c>
      <c r="E19" s="10">
        <v>0</v>
      </c>
    </row>
    <row r="20" spans="3:11" x14ac:dyDescent="0.25">
      <c r="C20" s="40"/>
      <c r="D20" s="33" t="s">
        <v>1312</v>
      </c>
      <c r="E20" s="10">
        <v>0</v>
      </c>
    </row>
    <row r="21" spans="3:11" x14ac:dyDescent="0.25">
      <c r="C21" s="40"/>
      <c r="D21" s="33" t="s">
        <v>1324</v>
      </c>
      <c r="E21" s="10">
        <v>0</v>
      </c>
      <c r="K21" s="1" t="s">
        <v>16</v>
      </c>
    </row>
    <row r="22" spans="3:11" x14ac:dyDescent="0.25">
      <c r="C22" s="40"/>
      <c r="D22" s="33" t="s">
        <v>1344</v>
      </c>
      <c r="E22" s="10">
        <v>0</v>
      </c>
    </row>
    <row r="23" spans="3:11" x14ac:dyDescent="0.25">
      <c r="C23" s="40"/>
      <c r="D23" s="33" t="s">
        <v>1393</v>
      </c>
      <c r="E23" s="10">
        <v>0</v>
      </c>
    </row>
    <row r="24" spans="3:11" x14ac:dyDescent="0.25">
      <c r="C24" s="40"/>
      <c r="D24" s="33" t="s">
        <v>1617</v>
      </c>
      <c r="E24" s="10">
        <v>0</v>
      </c>
    </row>
    <row r="25" spans="3:11" x14ac:dyDescent="0.25">
      <c r="C25" s="40"/>
      <c r="D25" s="32" t="s">
        <v>1682</v>
      </c>
      <c r="E25" s="8">
        <v>0</v>
      </c>
    </row>
    <row r="26" spans="3:11" x14ac:dyDescent="0.25">
      <c r="C26" s="40"/>
      <c r="D26" s="33" t="s">
        <v>1840</v>
      </c>
      <c r="E26" s="10">
        <v>0</v>
      </c>
    </row>
    <row r="27" spans="3:11" x14ac:dyDescent="0.25">
      <c r="C27" s="38" t="s">
        <v>5</v>
      </c>
      <c r="D27" s="9" t="s">
        <v>885</v>
      </c>
      <c r="E27" s="10">
        <v>0</v>
      </c>
    </row>
    <row r="28" spans="3:11" x14ac:dyDescent="0.25">
      <c r="C28" s="38"/>
      <c r="D28" s="9" t="s">
        <v>892</v>
      </c>
      <c r="E28" s="10">
        <v>0</v>
      </c>
    </row>
    <row r="29" spans="3:11" x14ac:dyDescent="0.25">
      <c r="C29" s="38"/>
      <c r="D29" s="11" t="s">
        <v>942</v>
      </c>
      <c r="E29" s="12">
        <v>0</v>
      </c>
    </row>
    <row r="30" spans="3:11" ht="15" customHeight="1" x14ac:dyDescent="0.25">
      <c r="C30" s="38"/>
      <c r="D30" s="9" t="s">
        <v>962</v>
      </c>
      <c r="E30" s="10">
        <v>0</v>
      </c>
    </row>
    <row r="31" spans="3:11" x14ac:dyDescent="0.25">
      <c r="C31" s="38"/>
      <c r="D31" s="11" t="s">
        <v>1013</v>
      </c>
      <c r="E31" s="28">
        <v>0</v>
      </c>
    </row>
    <row r="32" spans="3:11" x14ac:dyDescent="0.25">
      <c r="C32" s="38"/>
      <c r="D32" s="7" t="s">
        <v>1034</v>
      </c>
      <c r="E32" s="27">
        <v>0</v>
      </c>
    </row>
    <row r="33" spans="2:5" x14ac:dyDescent="0.25">
      <c r="C33" s="38"/>
      <c r="D33" s="9" t="s">
        <v>1082</v>
      </c>
      <c r="E33" s="10">
        <v>0</v>
      </c>
    </row>
    <row r="34" spans="2:5" x14ac:dyDescent="0.25">
      <c r="C34" s="38"/>
      <c r="D34" s="9" t="s">
        <v>1545</v>
      </c>
      <c r="E34" s="10">
        <v>0</v>
      </c>
    </row>
    <row r="35" spans="2:5" x14ac:dyDescent="0.25">
      <c r="C35" s="39"/>
      <c r="D35" s="9" t="s">
        <v>1717</v>
      </c>
      <c r="E35" s="10">
        <v>0</v>
      </c>
    </row>
    <row r="36" spans="2:5" x14ac:dyDescent="0.25">
      <c r="C36" s="35" t="s">
        <v>6</v>
      </c>
      <c r="D36" s="36" t="s">
        <v>860</v>
      </c>
      <c r="E36" s="28">
        <v>0</v>
      </c>
    </row>
    <row r="39" spans="2:5" x14ac:dyDescent="0.25">
      <c r="C39"/>
      <c r="D39"/>
      <c r="E39"/>
    </row>
    <row r="41" spans="2:5" x14ac:dyDescent="0.25">
      <c r="B41" s="16" t="s">
        <v>7</v>
      </c>
      <c r="C41" s="13"/>
      <c r="D41" s="14"/>
      <c r="E41" s="15"/>
    </row>
    <row r="42" spans="2:5" x14ac:dyDescent="0.25">
      <c r="B42" s="16" t="s">
        <v>8</v>
      </c>
    </row>
    <row r="44" spans="2:5" x14ac:dyDescent="0.25">
      <c r="B44" s="17" t="s">
        <v>9</v>
      </c>
    </row>
    <row r="46" spans="2:5" ht="18.75" x14ac:dyDescent="0.3">
      <c r="D46" s="18" t="s">
        <v>10</v>
      </c>
    </row>
  </sheetData>
  <sheetProtection algorithmName="SHA-512" hashValue="oP60wMaNcJa7lNHdRvC3Dy1BqypjGhSo/n7DWb0jZjluu4cL1WPlH4wqX7u2ThwWKmQ3hsTylhw67YTYA34PVA==" saltValue="5RCopYvforA3s/9CyrXxTg==" spinCount="100000" sheet="1" objects="1" scenarios="1"/>
  <mergeCells count="3">
    <mergeCell ref="C27:C35"/>
    <mergeCell ref="C13:C26"/>
    <mergeCell ref="C10:C12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Q920"/>
  <sheetViews>
    <sheetView showGridLines="0" tabSelected="1" zoomScale="90" zoomScaleNormal="90" workbookViewId="0">
      <pane ySplit="2" topLeftCell="A825" activePane="bottomLeft" state="frozen"/>
      <selection pane="bottomLeft" activeCell="O902" sqref="O902"/>
    </sheetView>
  </sheetViews>
  <sheetFormatPr defaultColWidth="9.140625" defaultRowHeight="12.75" x14ac:dyDescent="0.2"/>
  <cols>
    <col min="1" max="1" width="25.140625" style="19" bestFit="1" customWidth="1"/>
    <col min="2" max="2" width="27.85546875" style="19" bestFit="1" customWidth="1"/>
    <col min="3" max="3" width="19.42578125" style="19" bestFit="1" customWidth="1"/>
    <col min="4" max="4" width="47.85546875" style="19" bestFit="1" customWidth="1"/>
    <col min="5" max="5" width="16.5703125" style="19" bestFit="1" customWidth="1"/>
    <col min="6" max="6" width="13.5703125" style="19" bestFit="1" customWidth="1"/>
    <col min="7" max="7" width="13.85546875" style="20" bestFit="1" customWidth="1"/>
    <col min="8" max="8" width="13.85546875" style="20" customWidth="1"/>
    <col min="9" max="9" width="10.5703125" style="19" bestFit="1" customWidth="1"/>
    <col min="10" max="10" width="17.42578125" style="19" customWidth="1"/>
    <col min="11" max="11" width="13.42578125" style="19" bestFit="1" customWidth="1"/>
    <col min="12" max="12" width="13.5703125" style="19" customWidth="1"/>
    <col min="13" max="13" width="12.5703125" style="19" customWidth="1"/>
    <col min="14" max="14" width="18" style="19" customWidth="1"/>
    <col min="15" max="15" width="126.5703125" style="19" bestFit="1" customWidth="1"/>
    <col min="16" max="16" width="36.28515625" style="19" bestFit="1" customWidth="1"/>
    <col min="17" max="16384" width="9.140625" style="19"/>
  </cols>
  <sheetData>
    <row r="1" spans="1:17" ht="45" customHeight="1" x14ac:dyDescent="0.2">
      <c r="B1" s="25" t="s">
        <v>11</v>
      </c>
      <c r="C1" s="26" t="s">
        <v>10</v>
      </c>
      <c r="J1" s="21"/>
      <c r="N1" s="22"/>
    </row>
    <row r="2" spans="1:17" ht="38.25" x14ac:dyDescent="0.2">
      <c r="A2" s="23" t="s">
        <v>780</v>
      </c>
      <c r="B2" s="23" t="s">
        <v>781</v>
      </c>
      <c r="C2" s="23" t="s">
        <v>778</v>
      </c>
      <c r="D2" s="23" t="s">
        <v>782</v>
      </c>
      <c r="E2" s="23" t="s">
        <v>779</v>
      </c>
      <c r="F2" s="23" t="s">
        <v>783</v>
      </c>
      <c r="G2" s="24" t="s">
        <v>784</v>
      </c>
      <c r="H2" s="24" t="s">
        <v>785</v>
      </c>
      <c r="I2" s="23" t="s">
        <v>14</v>
      </c>
      <c r="J2" s="23" t="s">
        <v>786</v>
      </c>
      <c r="K2" s="23" t="s">
        <v>787</v>
      </c>
      <c r="L2" s="23" t="s">
        <v>788</v>
      </c>
      <c r="M2" s="23" t="s">
        <v>789</v>
      </c>
      <c r="N2" s="23" t="s">
        <v>790</v>
      </c>
      <c r="O2" s="23" t="s">
        <v>12</v>
      </c>
      <c r="P2" s="23" t="s">
        <v>791</v>
      </c>
      <c r="Q2" s="23" t="s">
        <v>2701</v>
      </c>
    </row>
    <row r="3" spans="1:17" ht="15" x14ac:dyDescent="0.25">
      <c r="A3" t="s">
        <v>13</v>
      </c>
      <c r="B3" t="s">
        <v>1920</v>
      </c>
      <c r="C3" t="s">
        <v>1392</v>
      </c>
      <c r="D3" t="s">
        <v>1925</v>
      </c>
      <c r="E3" t="s">
        <v>1926</v>
      </c>
      <c r="F3" t="s">
        <v>1922</v>
      </c>
      <c r="G3" s="30">
        <v>10.220000000000001</v>
      </c>
      <c r="H3" s="29">
        <f>G3*(1-IFERROR(VLOOKUP(F3,Rabat!$D$10:$E$41,2,FALSE),0))</f>
        <v>10.220000000000001</v>
      </c>
      <c r="I3" t="s">
        <v>2542</v>
      </c>
      <c r="J3" t="s">
        <v>194</v>
      </c>
      <c r="K3" t="s">
        <v>2538</v>
      </c>
      <c r="L3">
        <v>25</v>
      </c>
      <c r="M3">
        <v>2160</v>
      </c>
      <c r="N3" t="s">
        <v>2544</v>
      </c>
      <c r="O3" s="31" t="str">
        <f>HYPERLINK("https://b2b.kobi.pl/pl/product/12247,swietlowka-led-t8-9w-60cm-4000k-led2b-red?currency=PLN")</f>
        <v>https://b2b.kobi.pl/pl/product/12247,swietlowka-led-t8-9w-60cm-4000k-led2b-red?currency=PLN</v>
      </c>
      <c r="P3" s="31" t="str">
        <f>HYPERLINK("https://eprel.ec.europa.eu/qr/1694474")</f>
        <v>https://eprel.ec.europa.eu/qr/1694474</v>
      </c>
      <c r="Q3"/>
    </row>
    <row r="4" spans="1:17" ht="15" x14ac:dyDescent="0.25">
      <c r="A4" t="s">
        <v>13</v>
      </c>
      <c r="B4" t="s">
        <v>1920</v>
      </c>
      <c r="C4" t="s">
        <v>1392</v>
      </c>
      <c r="D4" t="s">
        <v>1929</v>
      </c>
      <c r="E4" t="s">
        <v>1930</v>
      </c>
      <c r="F4" t="s">
        <v>1922</v>
      </c>
      <c r="G4" s="30">
        <v>10.220000000000001</v>
      </c>
      <c r="H4" s="29">
        <f>G4*(1-IFERROR(VLOOKUP(F4,Rabat!$D$10:$E$41,2,FALSE),0))</f>
        <v>10.220000000000001</v>
      </c>
      <c r="I4" t="s">
        <v>2542</v>
      </c>
      <c r="J4" t="s">
        <v>195</v>
      </c>
      <c r="K4" t="s">
        <v>2538</v>
      </c>
      <c r="L4">
        <v>25</v>
      </c>
      <c r="M4">
        <v>2160</v>
      </c>
      <c r="N4" t="s">
        <v>2544</v>
      </c>
      <c r="O4" s="31" t="str">
        <f>HYPERLINK("https://b2b.kobi.pl/pl/product/12248,swietlowka-led-t8-9w-60cm-6500k-led2b-red?currency=PLN")</f>
        <v>https://b2b.kobi.pl/pl/product/12248,swietlowka-led-t8-9w-60cm-6500k-led2b-red?currency=PLN</v>
      </c>
      <c r="P4" s="31" t="str">
        <f>HYPERLINK("https://eprel.ec.europa.eu/qr/1694534")</f>
        <v>https://eprel.ec.europa.eu/qr/1694534</v>
      </c>
      <c r="Q4"/>
    </row>
    <row r="5" spans="1:17" ht="15" x14ac:dyDescent="0.25">
      <c r="A5" t="s">
        <v>13</v>
      </c>
      <c r="B5" t="s">
        <v>1920</v>
      </c>
      <c r="C5" t="s">
        <v>1392</v>
      </c>
      <c r="D5" t="s">
        <v>1937</v>
      </c>
      <c r="E5" t="s">
        <v>1938</v>
      </c>
      <c r="F5" t="s">
        <v>1922</v>
      </c>
      <c r="G5" s="30">
        <v>13.39</v>
      </c>
      <c r="H5" s="29">
        <f>G5*(1-IFERROR(VLOOKUP(F5,Rabat!$D$10:$E$41,2,FALSE),0))</f>
        <v>13.39</v>
      </c>
      <c r="I5" t="s">
        <v>2542</v>
      </c>
      <c r="J5" t="s">
        <v>199</v>
      </c>
      <c r="K5" t="s">
        <v>2538</v>
      </c>
      <c r="L5">
        <v>25</v>
      </c>
      <c r="M5">
        <v>1080</v>
      </c>
      <c r="N5" t="s">
        <v>2544</v>
      </c>
      <c r="O5" s="31" t="str">
        <f>HYPERLINK("https://b2b.kobi.pl/pl/product/12243,swietlowka-led-t8-18w-120cm-4000k-led2b-red?currency=PLN")</f>
        <v>https://b2b.kobi.pl/pl/product/12243,swietlowka-led-t8-18w-120cm-4000k-led2b-red?currency=PLN</v>
      </c>
      <c r="P5" s="31" t="str">
        <f>HYPERLINK("https://eprel.ec.europa.eu/qr/1694581")</f>
        <v>https://eprel.ec.europa.eu/qr/1694581</v>
      </c>
      <c r="Q5"/>
    </row>
    <row r="6" spans="1:17" ht="15" x14ac:dyDescent="0.25">
      <c r="A6" t="s">
        <v>13</v>
      </c>
      <c r="B6" t="s">
        <v>1920</v>
      </c>
      <c r="C6" t="s">
        <v>1392</v>
      </c>
      <c r="D6" t="s">
        <v>1941</v>
      </c>
      <c r="E6" t="s">
        <v>1942</v>
      </c>
      <c r="F6" t="s">
        <v>1922</v>
      </c>
      <c r="G6" s="30">
        <v>13.39</v>
      </c>
      <c r="H6" s="29">
        <f>G6*(1-IFERROR(VLOOKUP(F6,Rabat!$D$10:$E$41,2,FALSE),0))</f>
        <v>13.39</v>
      </c>
      <c r="I6" t="s">
        <v>2542</v>
      </c>
      <c r="J6" t="s">
        <v>200</v>
      </c>
      <c r="K6" t="s">
        <v>2538</v>
      </c>
      <c r="L6">
        <v>25</v>
      </c>
      <c r="M6">
        <v>1080</v>
      </c>
      <c r="N6" t="s">
        <v>2544</v>
      </c>
      <c r="O6" s="31" t="str">
        <f>HYPERLINK("https://b2b.kobi.pl/pl/product/12244,swietlowka-led-t8-18w-120cm-6500k-led2b-red?currency=PLN")</f>
        <v>https://b2b.kobi.pl/pl/product/12244,swietlowka-led-t8-18w-120cm-6500k-led2b-red?currency=PLN</v>
      </c>
      <c r="P6" s="31" t="str">
        <f>HYPERLINK("https://eprel.ec.europa.eu/qr/1694744")</f>
        <v>https://eprel.ec.europa.eu/qr/1694744</v>
      </c>
      <c r="Q6"/>
    </row>
    <row r="7" spans="1:17" ht="15" x14ac:dyDescent="0.25">
      <c r="A7" t="s">
        <v>13</v>
      </c>
      <c r="B7" t="s">
        <v>1920</v>
      </c>
      <c r="C7" t="s">
        <v>1392</v>
      </c>
      <c r="D7" t="s">
        <v>1945</v>
      </c>
      <c r="E7" t="s">
        <v>1946</v>
      </c>
      <c r="F7" t="s">
        <v>1922</v>
      </c>
      <c r="G7" s="30">
        <v>17.22</v>
      </c>
      <c r="H7" s="29">
        <f>G7*(1-IFERROR(VLOOKUP(F7,Rabat!$D$10:$E$41,2,FALSE),0))</f>
        <v>17.22</v>
      </c>
      <c r="I7" t="s">
        <v>2542</v>
      </c>
      <c r="J7" t="s">
        <v>205</v>
      </c>
      <c r="K7" t="s">
        <v>2538</v>
      </c>
      <c r="L7">
        <v>25</v>
      </c>
      <c r="M7">
        <v>840</v>
      </c>
      <c r="N7" t="s">
        <v>2544</v>
      </c>
      <c r="O7" s="31" t="str">
        <f>HYPERLINK("https://b2b.kobi.pl/pl/product/12245,swietlowka-led-t8-22w-150cm-4000k-led2b-red?currency=PLN")</f>
        <v>https://b2b.kobi.pl/pl/product/12245,swietlowka-led-t8-22w-150cm-4000k-led2b-red?currency=PLN</v>
      </c>
      <c r="P7" s="31" t="str">
        <f>HYPERLINK("https://eprel.ec.europa.eu/qr/1694757")</f>
        <v>https://eprel.ec.europa.eu/qr/1694757</v>
      </c>
      <c r="Q7"/>
    </row>
    <row r="8" spans="1:17" ht="15" x14ac:dyDescent="0.25">
      <c r="A8" t="s">
        <v>13</v>
      </c>
      <c r="B8" t="s">
        <v>1920</v>
      </c>
      <c r="C8" t="s">
        <v>1392</v>
      </c>
      <c r="D8" t="s">
        <v>1951</v>
      </c>
      <c r="E8" t="s">
        <v>1952</v>
      </c>
      <c r="F8" t="s">
        <v>1922</v>
      </c>
      <c r="G8" s="30">
        <v>17.22</v>
      </c>
      <c r="H8" s="29">
        <f>G8*(1-IFERROR(VLOOKUP(F8,Rabat!$D$10:$E$41,2,FALSE),0))</f>
        <v>17.22</v>
      </c>
      <c r="I8" t="s">
        <v>2542</v>
      </c>
      <c r="J8" t="s">
        <v>206</v>
      </c>
      <c r="K8" t="s">
        <v>2538</v>
      </c>
      <c r="L8">
        <v>25</v>
      </c>
      <c r="M8">
        <v>700</v>
      </c>
      <c r="N8" t="s">
        <v>2544</v>
      </c>
      <c r="O8" s="31" t="str">
        <f>HYPERLINK("https://b2b.kobi.pl/pl/product/12246,swietlowka-led-t8-22w-150cm-6500k-led2b-red?currency=PLN")</f>
        <v>https://b2b.kobi.pl/pl/product/12246,swietlowka-led-t8-22w-150cm-6500k-led2b-red?currency=PLN</v>
      </c>
      <c r="P8" s="31" t="str">
        <f>HYPERLINK("https://eprel.ec.europa.eu/qr/1694771")</f>
        <v>https://eprel.ec.europa.eu/qr/1694771</v>
      </c>
      <c r="Q8"/>
    </row>
    <row r="9" spans="1:17" ht="15" x14ac:dyDescent="0.25">
      <c r="A9" t="s">
        <v>13</v>
      </c>
      <c r="B9" t="s">
        <v>1920</v>
      </c>
      <c r="C9" t="s">
        <v>44</v>
      </c>
      <c r="D9" t="s">
        <v>1923</v>
      </c>
      <c r="E9" t="s">
        <v>1924</v>
      </c>
      <c r="F9" t="s">
        <v>1922</v>
      </c>
      <c r="G9" s="30">
        <v>14.72</v>
      </c>
      <c r="H9" s="29">
        <f>G9*(1-IFERROR(VLOOKUP(F9,Rabat!$D$10:$E$41,2,FALSE),0))</f>
        <v>14.72</v>
      </c>
      <c r="I9" t="s">
        <v>2542</v>
      </c>
      <c r="J9" t="s">
        <v>192</v>
      </c>
      <c r="K9" t="s">
        <v>2538</v>
      </c>
      <c r="L9">
        <v>25</v>
      </c>
      <c r="M9">
        <v>1575</v>
      </c>
      <c r="N9" t="s">
        <v>2544</v>
      </c>
      <c r="O9" s="31" t="str">
        <f>HYPERLINK("https://b2b.kobi.pl/pl/product/9656,swietlowka-led-t8-9w-60cm-4000k-led2b?currency=PLN")</f>
        <v>https://b2b.kobi.pl/pl/product/9656,swietlowka-led-t8-9w-60cm-4000k-led2b?currency=PLN</v>
      </c>
      <c r="P9" s="31" t="str">
        <f>HYPERLINK("https://eprel.ec.europa.eu/qr/821844")</f>
        <v>https://eprel.ec.europa.eu/qr/821844</v>
      </c>
      <c r="Q9" t="s">
        <v>2700</v>
      </c>
    </row>
    <row r="10" spans="1:17" ht="15" x14ac:dyDescent="0.25">
      <c r="A10" t="s">
        <v>13</v>
      </c>
      <c r="B10" t="s">
        <v>1920</v>
      </c>
      <c r="C10" t="s">
        <v>44</v>
      </c>
      <c r="D10" t="s">
        <v>1927</v>
      </c>
      <c r="E10" t="s">
        <v>1928</v>
      </c>
      <c r="F10" t="s">
        <v>1922</v>
      </c>
      <c r="G10" s="30">
        <v>14.72</v>
      </c>
      <c r="H10" s="29">
        <f>G10*(1-IFERROR(VLOOKUP(F10,Rabat!$D$10:$E$41,2,FALSE),0))</f>
        <v>14.72</v>
      </c>
      <c r="I10" t="s">
        <v>2542</v>
      </c>
      <c r="J10" t="s">
        <v>193</v>
      </c>
      <c r="K10" t="s">
        <v>2538</v>
      </c>
      <c r="L10">
        <v>25</v>
      </c>
      <c r="M10"/>
      <c r="N10" t="s">
        <v>2544</v>
      </c>
      <c r="O10" s="31" t="str">
        <f>HYPERLINK("https://b2b.kobi.pl/pl/product/9658,swietlowka-led-t8-9w-60cm-6500k-led2b?currency=PLN")</f>
        <v>https://b2b.kobi.pl/pl/product/9658,swietlowka-led-t8-9w-60cm-6500k-led2b?currency=PLN</v>
      </c>
      <c r="P10" s="31" t="str">
        <f>HYPERLINK("https://eprel.ec.europa.eu/qr/821851")</f>
        <v>https://eprel.ec.europa.eu/qr/821851</v>
      </c>
      <c r="Q10" t="s">
        <v>2700</v>
      </c>
    </row>
    <row r="11" spans="1:17" ht="15" x14ac:dyDescent="0.25">
      <c r="A11" t="s">
        <v>13</v>
      </c>
      <c r="B11" t="s">
        <v>1920</v>
      </c>
      <c r="C11" t="s">
        <v>44</v>
      </c>
      <c r="D11" t="s">
        <v>1935</v>
      </c>
      <c r="E11" t="s">
        <v>1936</v>
      </c>
      <c r="F11" t="s">
        <v>1922</v>
      </c>
      <c r="G11" s="30">
        <v>19.75</v>
      </c>
      <c r="H11" s="29">
        <f>G11*(1-IFERROR(VLOOKUP(F11,Rabat!$D$10:$E$41,2,FALSE),0))</f>
        <v>19.75</v>
      </c>
      <c r="I11" t="s">
        <v>2542</v>
      </c>
      <c r="J11" t="s">
        <v>198</v>
      </c>
      <c r="K11" t="s">
        <v>2538</v>
      </c>
      <c r="L11">
        <v>25</v>
      </c>
      <c r="M11">
        <v>900</v>
      </c>
      <c r="N11" t="s">
        <v>2544</v>
      </c>
      <c r="O11" s="31" t="str">
        <f>HYPERLINK("https://b2b.kobi.pl/pl/product/9645,swietlowka-led-t8-18w-120cm-4000k-led2b?currency=PLN")</f>
        <v>https://b2b.kobi.pl/pl/product/9645,swietlowka-led-t8-18w-120cm-4000k-led2b?currency=PLN</v>
      </c>
      <c r="P11" s="31" t="str">
        <f>HYPERLINK("https://eprel.ec.europa.eu/qr/821866")</f>
        <v>https://eprel.ec.europa.eu/qr/821866</v>
      </c>
      <c r="Q11" t="s">
        <v>2700</v>
      </c>
    </row>
    <row r="12" spans="1:17" ht="15" x14ac:dyDescent="0.25">
      <c r="A12" t="s">
        <v>13</v>
      </c>
      <c r="B12" t="s">
        <v>1920</v>
      </c>
      <c r="C12" t="s">
        <v>44</v>
      </c>
      <c r="D12" t="s">
        <v>1939</v>
      </c>
      <c r="E12" t="s">
        <v>1940</v>
      </c>
      <c r="F12" t="s">
        <v>1922</v>
      </c>
      <c r="G12" s="30">
        <v>19.75</v>
      </c>
      <c r="H12" s="29">
        <f>G12*(1-IFERROR(VLOOKUP(F12,Rabat!$D$10:$E$41,2,FALSE),0))</f>
        <v>19.75</v>
      </c>
      <c r="I12" t="s">
        <v>2542</v>
      </c>
      <c r="J12" t="s">
        <v>197</v>
      </c>
      <c r="K12" t="s">
        <v>2538</v>
      </c>
      <c r="L12">
        <v>25</v>
      </c>
      <c r="M12">
        <v>900</v>
      </c>
      <c r="N12" t="s">
        <v>2544</v>
      </c>
      <c r="O12" s="31" t="str">
        <f>HYPERLINK("https://b2b.kobi.pl/pl/product/9648,swietlowka-led-t8-18w-120cm-6500k-led2b?currency=PLN")</f>
        <v>https://b2b.kobi.pl/pl/product/9648,swietlowka-led-t8-18w-120cm-6500k-led2b?currency=PLN</v>
      </c>
      <c r="P12" s="31" t="str">
        <f>HYPERLINK("https://eprel.ec.europa.eu/qr/821876")</f>
        <v>https://eprel.ec.europa.eu/qr/821876</v>
      </c>
      <c r="Q12" t="s">
        <v>2700</v>
      </c>
    </row>
    <row r="13" spans="1:17" ht="15" x14ac:dyDescent="0.25">
      <c r="A13" t="s">
        <v>13</v>
      </c>
      <c r="B13" t="s">
        <v>1920</v>
      </c>
      <c r="C13" t="s">
        <v>44</v>
      </c>
      <c r="D13" t="s">
        <v>1943</v>
      </c>
      <c r="E13" t="s">
        <v>1944</v>
      </c>
      <c r="F13" t="s">
        <v>1922</v>
      </c>
      <c r="G13" s="30">
        <v>24.78</v>
      </c>
      <c r="H13" s="29">
        <f>G13*(1-IFERROR(VLOOKUP(F13,Rabat!$D$10:$E$41,2,FALSE),0))</f>
        <v>24.78</v>
      </c>
      <c r="I13" t="s">
        <v>2542</v>
      </c>
      <c r="J13" t="s">
        <v>203</v>
      </c>
      <c r="K13" t="s">
        <v>2538</v>
      </c>
      <c r="L13">
        <v>25</v>
      </c>
      <c r="M13">
        <v>700</v>
      </c>
      <c r="N13" t="s">
        <v>2544</v>
      </c>
      <c r="O13" s="31" t="str">
        <f>HYPERLINK("https://b2b.kobi.pl/pl/product/9649,swietlowka-led-t8-22w-150cm-4000k-led2b?currency=PLN")</f>
        <v>https://b2b.kobi.pl/pl/product/9649,swietlowka-led-t8-22w-150cm-4000k-led2b?currency=PLN</v>
      </c>
      <c r="P13" s="31" t="str">
        <f>HYPERLINK("https://eprel.ec.europa.eu/qr/914694")</f>
        <v>https://eprel.ec.europa.eu/qr/914694</v>
      </c>
      <c r="Q13" t="s">
        <v>2700</v>
      </c>
    </row>
    <row r="14" spans="1:17" ht="15" x14ac:dyDescent="0.25">
      <c r="A14" t="s">
        <v>13</v>
      </c>
      <c r="B14" t="s">
        <v>1920</v>
      </c>
      <c r="C14" t="s">
        <v>44</v>
      </c>
      <c r="D14" t="s">
        <v>1949</v>
      </c>
      <c r="E14" t="s">
        <v>1950</v>
      </c>
      <c r="F14" t="s">
        <v>1922</v>
      </c>
      <c r="G14" s="30">
        <v>24.78</v>
      </c>
      <c r="H14" s="29">
        <f>G14*(1-IFERROR(VLOOKUP(F14,Rabat!$D$10:$E$41,2,FALSE),0))</f>
        <v>24.78</v>
      </c>
      <c r="I14" t="s">
        <v>2542</v>
      </c>
      <c r="J14" t="s">
        <v>204</v>
      </c>
      <c r="K14" t="s">
        <v>2538</v>
      </c>
      <c r="L14">
        <v>25</v>
      </c>
      <c r="M14">
        <v>700</v>
      </c>
      <c r="N14" t="s">
        <v>2544</v>
      </c>
      <c r="O14" s="31" t="str">
        <f>HYPERLINK("https://b2b.kobi.pl/pl/product/9651,swietlowka-led-t8-22w-150cm-6500k-led2b?currency=PLN")</f>
        <v>https://b2b.kobi.pl/pl/product/9651,swietlowka-led-t8-22w-150cm-6500k-led2b?currency=PLN</v>
      </c>
      <c r="P14" s="31" t="str">
        <f>HYPERLINK("https://eprel.ec.europa.eu/qr/914714")</f>
        <v>https://eprel.ec.europa.eu/qr/914714</v>
      </c>
      <c r="Q14" t="s">
        <v>2700</v>
      </c>
    </row>
    <row r="15" spans="1:17" ht="15" x14ac:dyDescent="0.25">
      <c r="A15" t="s">
        <v>13</v>
      </c>
      <c r="B15" t="s">
        <v>1920</v>
      </c>
      <c r="C15" t="s">
        <v>840</v>
      </c>
      <c r="D15" t="s">
        <v>2690</v>
      </c>
      <c r="E15" t="s">
        <v>1921</v>
      </c>
      <c r="F15" t="s">
        <v>1922</v>
      </c>
      <c r="G15" s="30">
        <v>21.13</v>
      </c>
      <c r="H15" s="29">
        <f>G15*(1-IFERROR(VLOOKUP(F15,Rabat!$D$10:$E$41,2,FALSE),0))</f>
        <v>21.13</v>
      </c>
      <c r="I15" t="s">
        <v>2537</v>
      </c>
      <c r="J15" t="s">
        <v>196</v>
      </c>
      <c r="K15" t="s">
        <v>2538</v>
      </c>
      <c r="L15">
        <v>25</v>
      </c>
      <c r="M15">
        <v>1600</v>
      </c>
      <c r="N15" t="s">
        <v>2545</v>
      </c>
      <c r="O15" s="31" t="str">
        <f>HYPERLINK("https://b2b.kobi.pl/pl/product/9723,swietlowka-led-t8-9w-60cm-6500k-kobi-premium?currency=PLN")</f>
        <v>https://b2b.kobi.pl/pl/product/9723,swietlowka-led-t8-9w-60cm-6500k-kobi-premium?currency=PLN</v>
      </c>
      <c r="P15" s="31" t="str">
        <f>HYPERLINK("https://eprel.ec.europa.eu/qr/660799")</f>
        <v>https://eprel.ec.europa.eu/qr/660799</v>
      </c>
      <c r="Q15" t="s">
        <v>2700</v>
      </c>
    </row>
    <row r="16" spans="1:17" ht="15" x14ac:dyDescent="0.25">
      <c r="A16" t="s">
        <v>13</v>
      </c>
      <c r="B16" t="s">
        <v>1920</v>
      </c>
      <c r="C16" t="s">
        <v>840</v>
      </c>
      <c r="D16" t="s">
        <v>1953</v>
      </c>
      <c r="E16" t="s">
        <v>1954</v>
      </c>
      <c r="F16" t="s">
        <v>1922</v>
      </c>
      <c r="G16" s="30">
        <v>17.760000000000002</v>
      </c>
      <c r="H16" s="29">
        <f>G16*(1-IFERROR(VLOOKUP(F16,Rabat!$D$10:$E$41,2,FALSE),0))</f>
        <v>17.760000000000002</v>
      </c>
      <c r="I16" t="s">
        <v>2543</v>
      </c>
      <c r="J16" t="s">
        <v>2628</v>
      </c>
      <c r="K16" t="s">
        <v>2538</v>
      </c>
      <c r="L16">
        <v>25</v>
      </c>
      <c r="M16">
        <v>1575</v>
      </c>
      <c r="N16" t="s">
        <v>2545</v>
      </c>
      <c r="O16" s="31" t="str">
        <f>HYPERLINK("https://b2b.kobi.pl/pl/product/12367,swietlowka-led-t8-g2-9w-60cm-4000k-kobi-premium?currency=PLN")</f>
        <v>https://b2b.kobi.pl/pl/product/12367,swietlowka-led-t8-g2-9w-60cm-4000k-kobi-premium?currency=PLN</v>
      </c>
      <c r="P16" s="31" t="str">
        <f>HYPERLINK("https://eprel.ec.europa.eu/qr/2219283")</f>
        <v>https://eprel.ec.europa.eu/qr/2219283</v>
      </c>
      <c r="Q16"/>
    </row>
    <row r="17" spans="1:17" ht="15" x14ac:dyDescent="0.25">
      <c r="A17" t="s">
        <v>13</v>
      </c>
      <c r="B17" t="s">
        <v>1920</v>
      </c>
      <c r="C17" t="s">
        <v>840</v>
      </c>
      <c r="D17" t="s">
        <v>1955</v>
      </c>
      <c r="E17" t="s">
        <v>1956</v>
      </c>
      <c r="F17" t="s">
        <v>1922</v>
      </c>
      <c r="G17" s="30">
        <v>17.760000000000002</v>
      </c>
      <c r="H17" s="29">
        <f>G17*(1-IFERROR(VLOOKUP(F17,Rabat!$D$10:$E$41,2,FALSE),0))</f>
        <v>17.760000000000002</v>
      </c>
      <c r="I17" t="s">
        <v>2543</v>
      </c>
      <c r="J17" t="s">
        <v>2629</v>
      </c>
      <c r="K17" t="s">
        <v>2538</v>
      </c>
      <c r="L17">
        <v>25</v>
      </c>
      <c r="M17">
        <v>1575</v>
      </c>
      <c r="N17" t="s">
        <v>2545</v>
      </c>
      <c r="O17" s="31" t="str">
        <f>HYPERLINK("https://b2b.kobi.pl/pl/product/12368,swietlowka-led-t8-g2-9w-60cm-6500k-kobi-premium?currency=PLN")</f>
        <v>https://b2b.kobi.pl/pl/product/12368,swietlowka-led-t8-g2-9w-60cm-6500k-kobi-premium?currency=PLN</v>
      </c>
      <c r="P17" s="31" t="str">
        <f>HYPERLINK("https://eprel.ec.europa.eu/qr/2219314")</f>
        <v>https://eprel.ec.europa.eu/qr/2219314</v>
      </c>
      <c r="Q17"/>
    </row>
    <row r="18" spans="1:17" ht="15" x14ac:dyDescent="0.25">
      <c r="A18" t="s">
        <v>13</v>
      </c>
      <c r="B18" t="s">
        <v>1920</v>
      </c>
      <c r="C18" t="s">
        <v>840</v>
      </c>
      <c r="D18" t="s">
        <v>1931</v>
      </c>
      <c r="E18" t="s">
        <v>1932</v>
      </c>
      <c r="F18" t="s">
        <v>1922</v>
      </c>
      <c r="G18" s="30">
        <v>29.81</v>
      </c>
      <c r="H18" s="29">
        <f>G18*(1-IFERROR(VLOOKUP(F18,Rabat!$D$10:$E$41,2,FALSE),0))</f>
        <v>29.81</v>
      </c>
      <c r="I18" t="s">
        <v>2537</v>
      </c>
      <c r="J18" t="s">
        <v>201</v>
      </c>
      <c r="K18" t="s">
        <v>2538</v>
      </c>
      <c r="L18">
        <v>25</v>
      </c>
      <c r="M18">
        <v>900</v>
      </c>
      <c r="N18" t="s">
        <v>2545</v>
      </c>
      <c r="O18" s="31" t="str">
        <f>HYPERLINK("https://b2b.kobi.pl/pl/product/9717,swietlowka-led-t8-18w-120cm-3000k-kobi-premium?currency=PLN")</f>
        <v>https://b2b.kobi.pl/pl/product/9717,swietlowka-led-t8-18w-120cm-3000k-kobi-premium?currency=PLN</v>
      </c>
      <c r="P18" s="31" t="str">
        <f>HYPERLINK("https://eprel.ec.europa.eu/qr/1420718")</f>
        <v>https://eprel.ec.europa.eu/qr/1420718</v>
      </c>
      <c r="Q18" t="s">
        <v>2700</v>
      </c>
    </row>
    <row r="19" spans="1:17" ht="15" x14ac:dyDescent="0.25">
      <c r="A19" t="s">
        <v>13</v>
      </c>
      <c r="B19" t="s">
        <v>1920</v>
      </c>
      <c r="C19" t="s">
        <v>840</v>
      </c>
      <c r="D19" t="s">
        <v>1957</v>
      </c>
      <c r="E19" t="s">
        <v>1958</v>
      </c>
      <c r="F19" t="s">
        <v>1922</v>
      </c>
      <c r="G19" s="30">
        <v>24</v>
      </c>
      <c r="H19" s="29">
        <f>G19*(1-IFERROR(VLOOKUP(F19,Rabat!$D$10:$E$41,2,FALSE),0))</f>
        <v>24</v>
      </c>
      <c r="I19" t="s">
        <v>2549</v>
      </c>
      <c r="J19" t="s">
        <v>2630</v>
      </c>
      <c r="K19" t="s">
        <v>2538</v>
      </c>
      <c r="L19">
        <v>25</v>
      </c>
      <c r="M19">
        <v>900</v>
      </c>
      <c r="N19" t="s">
        <v>2545</v>
      </c>
      <c r="O19" s="31" t="str">
        <f>HYPERLINK("https://b2b.kobi.pl/pl/product/12369,swietlowka-led-t8-g2-18w-120cm-3000k-kobi-premium?currency=PLN")</f>
        <v>https://b2b.kobi.pl/pl/product/12369,swietlowka-led-t8-g2-18w-120cm-3000k-kobi-premium?currency=PLN</v>
      </c>
      <c r="P19" s="31" t="str">
        <f>HYPERLINK("https://eprel.ec.europa.eu/qr/2214880")</f>
        <v>https://eprel.ec.europa.eu/qr/2214880</v>
      </c>
      <c r="Q19"/>
    </row>
    <row r="20" spans="1:17" ht="15" x14ac:dyDescent="0.25">
      <c r="A20" t="s">
        <v>13</v>
      </c>
      <c r="B20" t="s">
        <v>1920</v>
      </c>
      <c r="C20" t="s">
        <v>840</v>
      </c>
      <c r="D20" t="s">
        <v>1933</v>
      </c>
      <c r="E20" t="s">
        <v>1934</v>
      </c>
      <c r="F20" t="s">
        <v>1922</v>
      </c>
      <c r="G20" s="30">
        <v>29.81</v>
      </c>
      <c r="H20" s="29">
        <f>G20*(1-IFERROR(VLOOKUP(F20,Rabat!$D$10:$E$41,2,FALSE),0))</f>
        <v>29.81</v>
      </c>
      <c r="I20" t="s">
        <v>2537</v>
      </c>
      <c r="J20" t="s">
        <v>202</v>
      </c>
      <c r="K20" t="s">
        <v>2538</v>
      </c>
      <c r="L20">
        <v>25</v>
      </c>
      <c r="M20">
        <v>900</v>
      </c>
      <c r="N20" t="s">
        <v>2545</v>
      </c>
      <c r="O20" s="31" t="str">
        <f>HYPERLINK("https://b2b.kobi.pl/pl/product/9718,swietlowka-led-t8-18w-120cm-4000k-kobi-premium?currency=PLN")</f>
        <v>https://b2b.kobi.pl/pl/product/9718,swietlowka-led-t8-18w-120cm-4000k-kobi-premium?currency=PLN</v>
      </c>
      <c r="P20" s="31" t="str">
        <f>HYPERLINK("https://eprel.ec.europa.eu/qr/792298")</f>
        <v>https://eprel.ec.europa.eu/qr/792298</v>
      </c>
      <c r="Q20" t="s">
        <v>2700</v>
      </c>
    </row>
    <row r="21" spans="1:17" ht="15" x14ac:dyDescent="0.25">
      <c r="A21" t="s">
        <v>13</v>
      </c>
      <c r="B21" t="s">
        <v>1920</v>
      </c>
      <c r="C21" t="s">
        <v>840</v>
      </c>
      <c r="D21" t="s">
        <v>1959</v>
      </c>
      <c r="E21" t="s">
        <v>1960</v>
      </c>
      <c r="F21" t="s">
        <v>1922</v>
      </c>
      <c r="G21" s="30">
        <v>24</v>
      </c>
      <c r="H21" s="29">
        <f>G21*(1-IFERROR(VLOOKUP(F21,Rabat!$D$10:$E$41,2,FALSE),0))</f>
        <v>24</v>
      </c>
      <c r="I21" t="s">
        <v>2543</v>
      </c>
      <c r="J21" t="s">
        <v>2631</v>
      </c>
      <c r="K21" t="s">
        <v>2538</v>
      </c>
      <c r="L21">
        <v>25</v>
      </c>
      <c r="M21">
        <v>900</v>
      </c>
      <c r="N21" t="s">
        <v>2545</v>
      </c>
      <c r="O21" s="31" t="str">
        <f>HYPERLINK("https://b2b.kobi.pl/pl/product/12370,swietlowka-led-t8-g2-18w-120cm-4000k-kobi-premium?currency=PLN")</f>
        <v>https://b2b.kobi.pl/pl/product/12370,swietlowka-led-t8-g2-18w-120cm-4000k-kobi-premium?currency=PLN</v>
      </c>
      <c r="P21" s="31" t="str">
        <f>HYPERLINK("https://eprel.ec.europa.eu/qr/2214801")</f>
        <v>https://eprel.ec.europa.eu/qr/2214801</v>
      </c>
      <c r="Q21"/>
    </row>
    <row r="22" spans="1:17" ht="15" x14ac:dyDescent="0.25">
      <c r="A22" t="s">
        <v>13</v>
      </c>
      <c r="B22" t="s">
        <v>1920</v>
      </c>
      <c r="C22" t="s">
        <v>840</v>
      </c>
      <c r="D22" t="s">
        <v>1961</v>
      </c>
      <c r="E22" t="s">
        <v>1962</v>
      </c>
      <c r="F22" t="s">
        <v>1922</v>
      </c>
      <c r="G22" s="30">
        <v>24</v>
      </c>
      <c r="H22" s="29">
        <f>G22*(1-IFERROR(VLOOKUP(F22,Rabat!$D$10:$E$41,2,FALSE),0))</f>
        <v>24</v>
      </c>
      <c r="I22" t="s">
        <v>2543</v>
      </c>
      <c r="J22" t="s">
        <v>2632</v>
      </c>
      <c r="K22" t="s">
        <v>2538</v>
      </c>
      <c r="L22">
        <v>25</v>
      </c>
      <c r="M22">
        <v>900</v>
      </c>
      <c r="N22" t="s">
        <v>2545</v>
      </c>
      <c r="O22" s="31" t="str">
        <f>HYPERLINK("https://b2b.kobi.pl/pl/product/12371,swietlowka-led-t8-g2-18w-120cm-6500k-kobi-premium?currency=PLN")</f>
        <v>https://b2b.kobi.pl/pl/product/12371,swietlowka-led-t8-g2-18w-120cm-6500k-kobi-premium?currency=PLN</v>
      </c>
      <c r="P22" s="31" t="str">
        <f>HYPERLINK("https://eprel.ec.europa.eu/qr/2214807")</f>
        <v>https://eprel.ec.europa.eu/qr/2214807</v>
      </c>
      <c r="Q22"/>
    </row>
    <row r="23" spans="1:17" ht="15" x14ac:dyDescent="0.25">
      <c r="A23" t="s">
        <v>13</v>
      </c>
      <c r="B23" t="s">
        <v>1920</v>
      </c>
      <c r="C23" t="s">
        <v>840</v>
      </c>
      <c r="D23" t="s">
        <v>1963</v>
      </c>
      <c r="E23" t="s">
        <v>1964</v>
      </c>
      <c r="F23" t="s">
        <v>1922</v>
      </c>
      <c r="G23" s="30">
        <v>32.89</v>
      </c>
      <c r="H23" s="29">
        <f>G23*(1-IFERROR(VLOOKUP(F23,Rabat!$D$10:$E$41,2,FALSE),0))</f>
        <v>32.89</v>
      </c>
      <c r="I23" t="s">
        <v>2543</v>
      </c>
      <c r="J23" t="s">
        <v>2633</v>
      </c>
      <c r="K23" t="s">
        <v>2538</v>
      </c>
      <c r="L23">
        <v>25</v>
      </c>
      <c r="M23">
        <v>700</v>
      </c>
      <c r="N23" t="s">
        <v>2545</v>
      </c>
      <c r="O23" s="31" t="str">
        <f>HYPERLINK("https://b2b.kobi.pl/pl/product/12372,swietlowka-led-t8-g2-22w-150cm-4000k-kobi-premium?currency=PLN")</f>
        <v>https://b2b.kobi.pl/pl/product/12372,swietlowka-led-t8-g2-22w-150cm-4000k-kobi-premium?currency=PLN</v>
      </c>
      <c r="P23" s="31" t="str">
        <f>HYPERLINK("https://eprel.ec.europa.eu/qr/2214816")</f>
        <v>https://eprel.ec.europa.eu/qr/2214816</v>
      </c>
      <c r="Q23"/>
    </row>
    <row r="24" spans="1:17" ht="15" x14ac:dyDescent="0.25">
      <c r="A24" t="s">
        <v>13</v>
      </c>
      <c r="B24" t="s">
        <v>1920</v>
      </c>
      <c r="C24" t="s">
        <v>840</v>
      </c>
      <c r="D24" t="s">
        <v>1947</v>
      </c>
      <c r="E24" t="s">
        <v>1948</v>
      </c>
      <c r="F24" t="s">
        <v>1922</v>
      </c>
      <c r="G24" s="30">
        <v>36.86</v>
      </c>
      <c r="H24" s="29">
        <f>G24*(1-IFERROR(VLOOKUP(F24,Rabat!$D$10:$E$41,2,FALSE),0))</f>
        <v>36.86</v>
      </c>
      <c r="I24" t="s">
        <v>2537</v>
      </c>
      <c r="J24" t="s">
        <v>207</v>
      </c>
      <c r="K24" t="s">
        <v>2538</v>
      </c>
      <c r="L24">
        <v>25</v>
      </c>
      <c r="M24">
        <v>700</v>
      </c>
      <c r="N24" t="s">
        <v>2545</v>
      </c>
      <c r="O24" s="31" t="str">
        <f>HYPERLINK("https://b2b.kobi.pl/pl/product/9721,swietlowka-led-t8-22w-150cm-6500k-kobi-premium?currency=PLN")</f>
        <v>https://b2b.kobi.pl/pl/product/9721,swietlowka-led-t8-22w-150cm-6500k-kobi-premium?currency=PLN</v>
      </c>
      <c r="P24" s="31" t="str">
        <f>HYPERLINK("https://eprel.ec.europa.eu/qr/660796")</f>
        <v>https://eprel.ec.europa.eu/qr/660796</v>
      </c>
      <c r="Q24" t="s">
        <v>2700</v>
      </c>
    </row>
    <row r="25" spans="1:17" ht="15" x14ac:dyDescent="0.25">
      <c r="A25" t="s">
        <v>13</v>
      </c>
      <c r="B25" t="s">
        <v>1920</v>
      </c>
      <c r="C25" t="s">
        <v>840</v>
      </c>
      <c r="D25" t="s">
        <v>1965</v>
      </c>
      <c r="E25" t="s">
        <v>1966</v>
      </c>
      <c r="F25" t="s">
        <v>1922</v>
      </c>
      <c r="G25" s="30">
        <v>32.89</v>
      </c>
      <c r="H25" s="29">
        <f>G25*(1-IFERROR(VLOOKUP(F25,Rabat!$D$10:$E$41,2,FALSE),0))</f>
        <v>32.89</v>
      </c>
      <c r="I25" t="s">
        <v>2543</v>
      </c>
      <c r="J25" t="s">
        <v>2634</v>
      </c>
      <c r="K25" t="s">
        <v>2538</v>
      </c>
      <c r="L25">
        <v>25</v>
      </c>
      <c r="M25">
        <v>700</v>
      </c>
      <c r="N25" t="s">
        <v>2545</v>
      </c>
      <c r="O25" s="31" t="str">
        <f>HYPERLINK("https://b2b.kobi.pl/pl/product/12373,swietlowka-led-t8-g2-22w-150cm-6500k-kobi-premium?currency=PLN")</f>
        <v>https://b2b.kobi.pl/pl/product/12373,swietlowka-led-t8-g2-22w-150cm-6500k-kobi-premium?currency=PLN</v>
      </c>
      <c r="P25" s="31" t="str">
        <f>HYPERLINK("https://eprel.ec.europa.eu/qr/2214839")</f>
        <v>https://eprel.ec.europa.eu/qr/2214839</v>
      </c>
      <c r="Q25"/>
    </row>
    <row r="26" spans="1:17" ht="15" x14ac:dyDescent="0.25">
      <c r="A26" t="s">
        <v>13</v>
      </c>
      <c r="B26" t="s">
        <v>1920</v>
      </c>
      <c r="C26" t="s">
        <v>858</v>
      </c>
      <c r="D26" t="s">
        <v>2216</v>
      </c>
      <c r="E26" t="s">
        <v>2217</v>
      </c>
      <c r="F26" t="s">
        <v>2026</v>
      </c>
      <c r="G26" s="30">
        <v>8.35</v>
      </c>
      <c r="H26" s="29">
        <f>G26*(1-IFERROR(VLOOKUP(F26,Rabat!$D$10:$E$41,2,FALSE),0))</f>
        <v>8.35</v>
      </c>
      <c r="I26" t="s">
        <v>2542</v>
      </c>
      <c r="J26" t="s">
        <v>110</v>
      </c>
      <c r="K26" t="s">
        <v>2538</v>
      </c>
      <c r="L26">
        <v>100</v>
      </c>
      <c r="M26">
        <v>6000</v>
      </c>
      <c r="N26" t="s">
        <v>2544</v>
      </c>
      <c r="O26" s="31" t="str">
        <f>HYPERLINK("https://b2b.kobi.pl/pl/product/9536,zarowka-led-gu10-1w-3000k-kobi?currency=PLN")</f>
        <v>https://b2b.kobi.pl/pl/product/9536,zarowka-led-gu10-1w-3000k-kobi?currency=PLN</v>
      </c>
      <c r="P26" s="31" t="str">
        <f>HYPERLINK("https://eprel.ec.europa.eu/qr/659854")</f>
        <v>https://eprel.ec.europa.eu/qr/659854</v>
      </c>
      <c r="Q26"/>
    </row>
    <row r="27" spans="1:17" ht="15" x14ac:dyDescent="0.25">
      <c r="A27" t="s">
        <v>13</v>
      </c>
      <c r="B27" t="s">
        <v>1920</v>
      </c>
      <c r="C27" t="s">
        <v>858</v>
      </c>
      <c r="D27" t="s">
        <v>2218</v>
      </c>
      <c r="E27" t="s">
        <v>2219</v>
      </c>
      <c r="F27" t="s">
        <v>2026</v>
      </c>
      <c r="G27" s="30">
        <v>8.35</v>
      </c>
      <c r="H27" s="29">
        <f>G27*(1-IFERROR(VLOOKUP(F27,Rabat!$D$10:$E$41,2,FALSE),0))</f>
        <v>8.35</v>
      </c>
      <c r="I27" t="s">
        <v>2542</v>
      </c>
      <c r="J27" t="s">
        <v>111</v>
      </c>
      <c r="K27" t="s">
        <v>2538</v>
      </c>
      <c r="L27">
        <v>100</v>
      </c>
      <c r="M27">
        <v>6000</v>
      </c>
      <c r="N27" t="s">
        <v>2544</v>
      </c>
      <c r="O27" s="31" t="str">
        <f>HYPERLINK("https://b2b.kobi.pl/pl/product/9537,zarowka-led-gu10-1w-4000k-kobi?currency=PLN")</f>
        <v>https://b2b.kobi.pl/pl/product/9537,zarowka-led-gu10-1w-4000k-kobi?currency=PLN</v>
      </c>
      <c r="P27" s="31" t="str">
        <f>HYPERLINK("https://eprel.ec.europa.eu/qr/659856")</f>
        <v>https://eprel.ec.europa.eu/qr/659856</v>
      </c>
      <c r="Q27"/>
    </row>
    <row r="28" spans="1:17" ht="15" x14ac:dyDescent="0.25">
      <c r="A28" t="s">
        <v>13</v>
      </c>
      <c r="B28" t="s">
        <v>1920</v>
      </c>
      <c r="C28" t="s">
        <v>858</v>
      </c>
      <c r="D28" t="s">
        <v>2220</v>
      </c>
      <c r="E28" t="s">
        <v>2221</v>
      </c>
      <c r="F28" t="s">
        <v>2026</v>
      </c>
      <c r="G28" s="30">
        <v>8.35</v>
      </c>
      <c r="H28" s="29">
        <f>G28*(1-IFERROR(VLOOKUP(F28,Rabat!$D$10:$E$41,2,FALSE),0))</f>
        <v>8.35</v>
      </c>
      <c r="I28" t="s">
        <v>2542</v>
      </c>
      <c r="J28" t="s">
        <v>112</v>
      </c>
      <c r="K28" t="s">
        <v>2538</v>
      </c>
      <c r="L28">
        <v>100</v>
      </c>
      <c r="M28">
        <v>6000</v>
      </c>
      <c r="N28" t="s">
        <v>2544</v>
      </c>
      <c r="O28" s="31" t="str">
        <f>HYPERLINK("https://b2b.kobi.pl/pl/product/9538,zarowka-led-gu10-1w-6000k-kobi?currency=PLN")</f>
        <v>https://b2b.kobi.pl/pl/product/9538,zarowka-led-gu10-1w-6000k-kobi?currency=PLN</v>
      </c>
      <c r="P28" s="31" t="str">
        <f>HYPERLINK("https://eprel.ec.europa.eu/qr/659858")</f>
        <v>https://eprel.ec.europa.eu/qr/659858</v>
      </c>
      <c r="Q28"/>
    </row>
    <row r="29" spans="1:17" ht="15" x14ac:dyDescent="0.25">
      <c r="A29" t="s">
        <v>13</v>
      </c>
      <c r="B29" t="s">
        <v>1920</v>
      </c>
      <c r="C29" t="s">
        <v>840</v>
      </c>
      <c r="D29" t="s">
        <v>2434</v>
      </c>
      <c r="E29" t="s">
        <v>2435</v>
      </c>
      <c r="F29" t="s">
        <v>2026</v>
      </c>
      <c r="G29" s="30">
        <v>17.329999999999998</v>
      </c>
      <c r="H29" s="29">
        <f>G29*(1-IFERROR(VLOOKUP(F29,Rabat!$D$10:$E$41,2,FALSE),0))</f>
        <v>17.329999999999998</v>
      </c>
      <c r="I29" t="s">
        <v>2542</v>
      </c>
      <c r="J29" t="s">
        <v>2646</v>
      </c>
      <c r="K29" t="s">
        <v>2538</v>
      </c>
      <c r="L29">
        <v>160</v>
      </c>
      <c r="M29">
        <v>5120</v>
      </c>
      <c r="N29" t="s">
        <v>2545</v>
      </c>
      <c r="O29"/>
      <c r="P29" s="31" t="str">
        <f>HYPERLINK("https://eprel.ec.europa.eu/qr/659885")</f>
        <v>https://eprel.ec.europa.eu/qr/659885</v>
      </c>
      <c r="Q29" t="s">
        <v>2700</v>
      </c>
    </row>
    <row r="30" spans="1:17" ht="15" x14ac:dyDescent="0.25">
      <c r="A30" t="s">
        <v>13</v>
      </c>
      <c r="B30" t="s">
        <v>1920</v>
      </c>
      <c r="C30" t="s">
        <v>858</v>
      </c>
      <c r="D30" t="s">
        <v>2228</v>
      </c>
      <c r="E30" t="s">
        <v>2229</v>
      </c>
      <c r="F30" t="s">
        <v>2026</v>
      </c>
      <c r="G30" s="30">
        <v>8.94</v>
      </c>
      <c r="H30" s="29">
        <f>G30*(1-IFERROR(VLOOKUP(F30,Rabat!$D$10:$E$41,2,FALSE),0))</f>
        <v>8.94</v>
      </c>
      <c r="I30" t="s">
        <v>2546</v>
      </c>
      <c r="J30" t="s">
        <v>116</v>
      </c>
      <c r="K30" t="s">
        <v>2538</v>
      </c>
      <c r="L30">
        <v>100</v>
      </c>
      <c r="M30">
        <v>6000</v>
      </c>
      <c r="N30" t="s">
        <v>2544</v>
      </c>
      <c r="O30" s="31" t="str">
        <f>HYPERLINK("https://b2b.kobi.pl/pl/product/9552,zarowka-led-gu10-5w-3000k-kobi?currency=PLN")</f>
        <v>https://b2b.kobi.pl/pl/product/9552,zarowka-led-gu10-5w-3000k-kobi?currency=PLN</v>
      </c>
      <c r="P30" s="31" t="str">
        <f>HYPERLINK("https://eprel.ec.europa.eu/qr/659894")</f>
        <v>https://eprel.ec.europa.eu/qr/659894</v>
      </c>
      <c r="Q30"/>
    </row>
    <row r="31" spans="1:17" ht="15" x14ac:dyDescent="0.25">
      <c r="A31" t="s">
        <v>13</v>
      </c>
      <c r="B31" t="s">
        <v>1920</v>
      </c>
      <c r="C31" t="s">
        <v>858</v>
      </c>
      <c r="D31" t="s">
        <v>2234</v>
      </c>
      <c r="E31" t="s">
        <v>2235</v>
      </c>
      <c r="F31" t="s">
        <v>2026</v>
      </c>
      <c r="G31" s="30">
        <v>8.94</v>
      </c>
      <c r="H31" s="29">
        <f>G31*(1-IFERROR(VLOOKUP(F31,Rabat!$D$10:$E$41,2,FALSE),0))</f>
        <v>8.94</v>
      </c>
      <c r="I31" t="s">
        <v>2546</v>
      </c>
      <c r="J31" t="s">
        <v>117</v>
      </c>
      <c r="K31" t="s">
        <v>2538</v>
      </c>
      <c r="L31">
        <v>100</v>
      </c>
      <c r="M31">
        <v>6600</v>
      </c>
      <c r="N31" t="s">
        <v>2544</v>
      </c>
      <c r="O31" s="31" t="str">
        <f>HYPERLINK("https://b2b.kobi.pl/pl/product/9554,zarowka-led-gu10-5w-4000k-kobi?currency=PLN")</f>
        <v>https://b2b.kobi.pl/pl/product/9554,zarowka-led-gu10-5w-4000k-kobi?currency=PLN</v>
      </c>
      <c r="P31" s="31" t="str">
        <f>HYPERLINK("https://eprel.ec.europa.eu/qr/659904")</f>
        <v>https://eprel.ec.europa.eu/qr/659904</v>
      </c>
      <c r="Q31"/>
    </row>
    <row r="32" spans="1:17" ht="15" x14ac:dyDescent="0.25">
      <c r="A32" t="s">
        <v>13</v>
      </c>
      <c r="B32" t="s">
        <v>1920</v>
      </c>
      <c r="C32" t="s">
        <v>858</v>
      </c>
      <c r="D32" t="s">
        <v>2236</v>
      </c>
      <c r="E32" t="s">
        <v>2237</v>
      </c>
      <c r="F32" t="s">
        <v>2026</v>
      </c>
      <c r="G32" s="30">
        <v>8.94</v>
      </c>
      <c r="H32" s="29">
        <f>G32*(1-IFERROR(VLOOKUP(F32,Rabat!$D$10:$E$41,2,FALSE),0))</f>
        <v>8.94</v>
      </c>
      <c r="I32" t="s">
        <v>2546</v>
      </c>
      <c r="J32" t="s">
        <v>118</v>
      </c>
      <c r="K32" t="s">
        <v>2538</v>
      </c>
      <c r="L32">
        <v>100</v>
      </c>
      <c r="M32">
        <v>6000</v>
      </c>
      <c r="N32" t="s">
        <v>2544</v>
      </c>
      <c r="O32" s="31" t="str">
        <f>HYPERLINK("https://b2b.kobi.pl/pl/product/9557,zarowka-led-gu10-5w-6000k-kobi?currency=PLN")</f>
        <v>https://b2b.kobi.pl/pl/product/9557,zarowka-led-gu10-5w-6000k-kobi?currency=PLN</v>
      </c>
      <c r="P32" s="31" t="str">
        <f>HYPERLINK("https://eprel.ec.europa.eu/qr/660091")</f>
        <v>https://eprel.ec.europa.eu/qr/660091</v>
      </c>
      <c r="Q32"/>
    </row>
    <row r="33" spans="1:17" ht="15" x14ac:dyDescent="0.25">
      <c r="A33" t="s">
        <v>13</v>
      </c>
      <c r="B33" t="s">
        <v>1920</v>
      </c>
      <c r="C33" t="s">
        <v>858</v>
      </c>
      <c r="D33" t="s">
        <v>2240</v>
      </c>
      <c r="E33" t="s">
        <v>2241</v>
      </c>
      <c r="F33" t="s">
        <v>2026</v>
      </c>
      <c r="G33" s="30">
        <v>11.85</v>
      </c>
      <c r="H33" s="29">
        <f>G33*(1-IFERROR(VLOOKUP(F33,Rabat!$D$10:$E$41,2,FALSE),0))</f>
        <v>11.85</v>
      </c>
      <c r="I33" t="s">
        <v>2542</v>
      </c>
      <c r="J33" t="s">
        <v>122</v>
      </c>
      <c r="K33" t="s">
        <v>2538</v>
      </c>
      <c r="L33">
        <v>100</v>
      </c>
      <c r="M33">
        <v>6000</v>
      </c>
      <c r="N33" t="s">
        <v>2544</v>
      </c>
      <c r="O33" s="31" t="str">
        <f>HYPERLINK("https://b2b.kobi.pl/pl/product/9563,zarowka-led-gu10-7w-3000k-kobi?currency=PLN")</f>
        <v>https://b2b.kobi.pl/pl/product/9563,zarowka-led-gu10-7w-3000k-kobi?currency=PLN</v>
      </c>
      <c r="P33" s="31" t="str">
        <f>HYPERLINK("https://eprel.ec.europa.eu/qr/660097")</f>
        <v>https://eprel.ec.europa.eu/qr/660097</v>
      </c>
      <c r="Q33"/>
    </row>
    <row r="34" spans="1:17" ht="15" x14ac:dyDescent="0.25">
      <c r="A34" t="s">
        <v>13</v>
      </c>
      <c r="B34" t="s">
        <v>1920</v>
      </c>
      <c r="C34" t="s">
        <v>858</v>
      </c>
      <c r="D34" t="s">
        <v>2244</v>
      </c>
      <c r="E34" t="s">
        <v>2245</v>
      </c>
      <c r="F34" t="s">
        <v>2026</v>
      </c>
      <c r="G34" s="30">
        <v>11.85</v>
      </c>
      <c r="H34" s="29">
        <f>G34*(1-IFERROR(VLOOKUP(F34,Rabat!$D$10:$E$41,2,FALSE),0))</f>
        <v>11.85</v>
      </c>
      <c r="I34" t="s">
        <v>2542</v>
      </c>
      <c r="J34" t="s">
        <v>123</v>
      </c>
      <c r="K34" t="s">
        <v>2538</v>
      </c>
      <c r="L34">
        <v>100</v>
      </c>
      <c r="M34">
        <v>6000</v>
      </c>
      <c r="N34" t="s">
        <v>2544</v>
      </c>
      <c r="O34" s="31" t="str">
        <f>HYPERLINK("https://b2b.kobi.pl/pl/product/9565,zarowka-led-gu10-7w-4000k-kobi?currency=PLN")</f>
        <v>https://b2b.kobi.pl/pl/product/9565,zarowka-led-gu10-7w-4000k-kobi?currency=PLN</v>
      </c>
      <c r="P34" s="31" t="str">
        <f>HYPERLINK("https://eprel.ec.europa.eu/qr/660103")</f>
        <v>https://eprel.ec.europa.eu/qr/660103</v>
      </c>
      <c r="Q34"/>
    </row>
    <row r="35" spans="1:17" ht="15" x14ac:dyDescent="0.25">
      <c r="A35" t="s">
        <v>13</v>
      </c>
      <c r="B35" t="s">
        <v>1920</v>
      </c>
      <c r="C35" t="s">
        <v>858</v>
      </c>
      <c r="D35" t="s">
        <v>2248</v>
      </c>
      <c r="E35" t="s">
        <v>2249</v>
      </c>
      <c r="F35" t="s">
        <v>2026</v>
      </c>
      <c r="G35" s="30">
        <v>11.85</v>
      </c>
      <c r="H35" s="29">
        <f>G35*(1-IFERROR(VLOOKUP(F35,Rabat!$D$10:$E$41,2,FALSE),0))</f>
        <v>11.85</v>
      </c>
      <c r="I35" t="s">
        <v>2542</v>
      </c>
      <c r="J35" t="s">
        <v>124</v>
      </c>
      <c r="K35" t="s">
        <v>2538</v>
      </c>
      <c r="L35">
        <v>100</v>
      </c>
      <c r="M35">
        <v>6000</v>
      </c>
      <c r="N35" t="s">
        <v>2544</v>
      </c>
      <c r="O35" s="31" t="str">
        <f>HYPERLINK("https://b2b.kobi.pl/pl/product/9567,zarowka-led-gu10-7w-6000k-kobi?currency=PLN")</f>
        <v>https://b2b.kobi.pl/pl/product/9567,zarowka-led-gu10-7w-6000k-kobi?currency=PLN</v>
      </c>
      <c r="P35" s="31" t="str">
        <f>HYPERLINK("https://eprel.ec.europa.eu/qr/660110")</f>
        <v>https://eprel.ec.europa.eu/qr/660110</v>
      </c>
      <c r="Q35"/>
    </row>
    <row r="36" spans="1:17" ht="15" x14ac:dyDescent="0.25">
      <c r="A36" t="s">
        <v>13</v>
      </c>
      <c r="B36" t="s">
        <v>1920</v>
      </c>
      <c r="C36" t="s">
        <v>840</v>
      </c>
      <c r="D36" t="s">
        <v>2222</v>
      </c>
      <c r="E36" t="s">
        <v>2223</v>
      </c>
      <c r="F36" t="s">
        <v>2026</v>
      </c>
      <c r="G36" s="30">
        <v>11.29</v>
      </c>
      <c r="H36" s="29">
        <f>G36*(1-IFERROR(VLOOKUP(F36,Rabat!$D$10:$E$41,2,FALSE),0))</f>
        <v>11.29</v>
      </c>
      <c r="I36" t="s">
        <v>2542</v>
      </c>
      <c r="J36" t="s">
        <v>113</v>
      </c>
      <c r="K36" t="s">
        <v>2538</v>
      </c>
      <c r="L36">
        <v>100</v>
      </c>
      <c r="M36">
        <v>7200</v>
      </c>
      <c r="N36" t="s">
        <v>2545</v>
      </c>
      <c r="O36" s="31" t="str">
        <f>HYPERLINK("https://b2b.kobi.pl/pl/product/9542,zarowka-led-gu10-3w-3000k-kobi-premium?currency=PLN")</f>
        <v>https://b2b.kobi.pl/pl/product/9542,zarowka-led-gu10-3w-3000k-kobi-premium?currency=PLN</v>
      </c>
      <c r="P36" s="31" t="str">
        <f>HYPERLINK("https://eprel.ec.europa.eu/qr/659875")</f>
        <v>https://eprel.ec.europa.eu/qr/659875</v>
      </c>
      <c r="Q36"/>
    </row>
    <row r="37" spans="1:17" ht="15" x14ac:dyDescent="0.25">
      <c r="A37" t="s">
        <v>13</v>
      </c>
      <c r="B37" t="s">
        <v>1920</v>
      </c>
      <c r="C37" t="s">
        <v>840</v>
      </c>
      <c r="D37" t="s">
        <v>2224</v>
      </c>
      <c r="E37" t="s">
        <v>2225</v>
      </c>
      <c r="F37" t="s">
        <v>2026</v>
      </c>
      <c r="G37" s="30">
        <v>11.29</v>
      </c>
      <c r="H37" s="29">
        <f>G37*(1-IFERROR(VLOOKUP(F37,Rabat!$D$10:$E$41,2,FALSE),0))</f>
        <v>11.29</v>
      </c>
      <c r="I37" t="s">
        <v>2542</v>
      </c>
      <c r="J37" t="s">
        <v>114</v>
      </c>
      <c r="K37" t="s">
        <v>2538</v>
      </c>
      <c r="L37">
        <v>100</v>
      </c>
      <c r="M37">
        <v>7200</v>
      </c>
      <c r="N37" t="s">
        <v>2545</v>
      </c>
      <c r="O37" s="31" t="str">
        <f>HYPERLINK("https://b2b.kobi.pl/pl/product/9543,zarowka-led-gu10-3w-4000k-kobi-premium?currency=PLN")</f>
        <v>https://b2b.kobi.pl/pl/product/9543,zarowka-led-gu10-3w-4000k-kobi-premium?currency=PLN</v>
      </c>
      <c r="P37" s="31" t="str">
        <f>HYPERLINK("https://eprel.ec.europa.eu/qr/659878")</f>
        <v>https://eprel.ec.europa.eu/qr/659878</v>
      </c>
      <c r="Q37"/>
    </row>
    <row r="38" spans="1:17" ht="15" x14ac:dyDescent="0.25">
      <c r="A38" t="s">
        <v>13</v>
      </c>
      <c r="B38" t="s">
        <v>1920</v>
      </c>
      <c r="C38" t="s">
        <v>840</v>
      </c>
      <c r="D38" t="s">
        <v>2226</v>
      </c>
      <c r="E38" t="s">
        <v>2227</v>
      </c>
      <c r="F38" t="s">
        <v>2026</v>
      </c>
      <c r="G38" s="30">
        <v>11.29</v>
      </c>
      <c r="H38" s="29">
        <f>G38*(1-IFERROR(VLOOKUP(F38,Rabat!$D$10:$E$41,2,FALSE),0))</f>
        <v>11.29</v>
      </c>
      <c r="I38" t="s">
        <v>2542</v>
      </c>
      <c r="J38" t="s">
        <v>115</v>
      </c>
      <c r="K38" t="s">
        <v>2538</v>
      </c>
      <c r="L38">
        <v>100</v>
      </c>
      <c r="M38">
        <v>7200</v>
      </c>
      <c r="N38" t="s">
        <v>2545</v>
      </c>
      <c r="O38" s="31" t="str">
        <f>HYPERLINK("https://b2b.kobi.pl/pl/product/9545,zarowka-led-gu10-3w-6200k-kobi-premium?currency=PLN")</f>
        <v>https://b2b.kobi.pl/pl/product/9545,zarowka-led-gu10-3w-6200k-kobi-premium?currency=PLN</v>
      </c>
      <c r="P38" s="31" t="str">
        <f>HYPERLINK("https://eprel.ec.europa.eu/qr/659881")</f>
        <v>https://eprel.ec.europa.eu/qr/659881</v>
      </c>
      <c r="Q38"/>
    </row>
    <row r="39" spans="1:17" ht="15" x14ac:dyDescent="0.25">
      <c r="A39" t="s">
        <v>13</v>
      </c>
      <c r="B39" t="s">
        <v>1920</v>
      </c>
      <c r="C39" t="s">
        <v>840</v>
      </c>
      <c r="D39" t="s">
        <v>2230</v>
      </c>
      <c r="E39" t="s">
        <v>2231</v>
      </c>
      <c r="F39" t="s">
        <v>2026</v>
      </c>
      <c r="G39" s="30">
        <v>11.51</v>
      </c>
      <c r="H39" s="29">
        <f>G39*(1-IFERROR(VLOOKUP(F39,Rabat!$D$10:$E$41,2,FALSE),0))</f>
        <v>11.51</v>
      </c>
      <c r="I39" t="s">
        <v>2542</v>
      </c>
      <c r="J39" t="s">
        <v>119</v>
      </c>
      <c r="K39" t="s">
        <v>2538</v>
      </c>
      <c r="L39">
        <v>100</v>
      </c>
      <c r="M39">
        <v>7200</v>
      </c>
      <c r="N39" t="s">
        <v>2545</v>
      </c>
      <c r="O39" s="31" t="str">
        <f>HYPERLINK("https://b2b.kobi.pl/pl/product/9553,zarowka-led-gu10-5w-3000k-kobi-premium?currency=PLN")</f>
        <v>https://b2b.kobi.pl/pl/product/9553,zarowka-led-gu10-5w-3000k-kobi-premium?currency=PLN</v>
      </c>
      <c r="P39" s="31" t="str">
        <f>HYPERLINK("https://eprel.ec.europa.eu/qr/659902")</f>
        <v>https://eprel.ec.europa.eu/qr/659902</v>
      </c>
      <c r="Q39"/>
    </row>
    <row r="40" spans="1:17" ht="15" x14ac:dyDescent="0.25">
      <c r="A40" t="s">
        <v>13</v>
      </c>
      <c r="B40" t="s">
        <v>1920</v>
      </c>
      <c r="C40" t="s">
        <v>840</v>
      </c>
      <c r="D40" t="s">
        <v>2232</v>
      </c>
      <c r="E40" t="s">
        <v>2233</v>
      </c>
      <c r="F40" t="s">
        <v>2026</v>
      </c>
      <c r="G40" s="30">
        <v>11.51</v>
      </c>
      <c r="H40" s="29">
        <f>G40*(1-IFERROR(VLOOKUP(F40,Rabat!$D$10:$E$41,2,FALSE),0))</f>
        <v>11.51</v>
      </c>
      <c r="I40" t="s">
        <v>2542</v>
      </c>
      <c r="J40" t="s">
        <v>120</v>
      </c>
      <c r="K40" t="s">
        <v>2538</v>
      </c>
      <c r="L40">
        <v>100</v>
      </c>
      <c r="M40">
        <v>7200</v>
      </c>
      <c r="N40" t="s">
        <v>2545</v>
      </c>
      <c r="O40" s="31" t="str">
        <f>HYPERLINK("https://b2b.kobi.pl/pl/product/9555,zarowka-led-gu10-5w-4000k-kobi-premium?currency=PLN")</f>
        <v>https://b2b.kobi.pl/pl/product/9555,zarowka-led-gu10-5w-4000k-kobi-premium?currency=PLN</v>
      </c>
      <c r="P40" s="31" t="str">
        <f>HYPERLINK("https://eprel.ec.europa.eu/qr/660087")</f>
        <v>https://eprel.ec.europa.eu/qr/660087</v>
      </c>
      <c r="Q40"/>
    </row>
    <row r="41" spans="1:17" ht="15" x14ac:dyDescent="0.25">
      <c r="A41" t="s">
        <v>13</v>
      </c>
      <c r="B41" t="s">
        <v>1920</v>
      </c>
      <c r="C41" t="s">
        <v>840</v>
      </c>
      <c r="D41" t="s">
        <v>2238</v>
      </c>
      <c r="E41" t="s">
        <v>2239</v>
      </c>
      <c r="F41" t="s">
        <v>2026</v>
      </c>
      <c r="G41" s="30">
        <v>11.51</v>
      </c>
      <c r="H41" s="29">
        <f>G41*(1-IFERROR(VLOOKUP(F41,Rabat!$D$10:$E$41,2,FALSE),0))</f>
        <v>11.51</v>
      </c>
      <c r="I41" t="s">
        <v>2542</v>
      </c>
      <c r="J41" t="s">
        <v>121</v>
      </c>
      <c r="K41" t="s">
        <v>2538</v>
      </c>
      <c r="L41">
        <v>100</v>
      </c>
      <c r="M41">
        <v>7200</v>
      </c>
      <c r="N41" t="s">
        <v>2545</v>
      </c>
      <c r="O41" s="31" t="str">
        <f>HYPERLINK("https://b2b.kobi.pl/pl/product/9558,zarowka-led-gu10-5w-6500k-kobi-premium?currency=PLN")</f>
        <v>https://b2b.kobi.pl/pl/product/9558,zarowka-led-gu10-5w-6500k-kobi-premium?currency=PLN</v>
      </c>
      <c r="P41" s="31" t="str">
        <f>HYPERLINK("https://eprel.ec.europa.eu/qr/660096")</f>
        <v>https://eprel.ec.europa.eu/qr/660096</v>
      </c>
      <c r="Q41"/>
    </row>
    <row r="42" spans="1:17" ht="15" x14ac:dyDescent="0.25">
      <c r="A42" t="s">
        <v>13</v>
      </c>
      <c r="B42" t="s">
        <v>1920</v>
      </c>
      <c r="C42" t="s">
        <v>840</v>
      </c>
      <c r="D42" t="s">
        <v>2242</v>
      </c>
      <c r="E42" t="s">
        <v>2243</v>
      </c>
      <c r="F42" t="s">
        <v>2026</v>
      </c>
      <c r="G42" s="30">
        <v>14.88</v>
      </c>
      <c r="H42" s="29">
        <f>G42*(1-IFERROR(VLOOKUP(F42,Rabat!$D$10:$E$41,2,FALSE),0))</f>
        <v>14.88</v>
      </c>
      <c r="I42" t="s">
        <v>2542</v>
      </c>
      <c r="J42" t="s">
        <v>125</v>
      </c>
      <c r="K42" t="s">
        <v>2538</v>
      </c>
      <c r="L42">
        <v>100</v>
      </c>
      <c r="M42">
        <v>7200</v>
      </c>
      <c r="N42" t="s">
        <v>2545</v>
      </c>
      <c r="O42" s="31" t="str">
        <f>HYPERLINK("https://b2b.kobi.pl/pl/product/9564,zarowka-led-gu10-7w-3000k-kobi-premium?currency=PLN")</f>
        <v>https://b2b.kobi.pl/pl/product/9564,zarowka-led-gu10-7w-3000k-kobi-premium?currency=PLN</v>
      </c>
      <c r="P42" s="31" t="str">
        <f>HYPERLINK("https://eprel.ec.europa.eu/qr/660099")</f>
        <v>https://eprel.ec.europa.eu/qr/660099</v>
      </c>
      <c r="Q42"/>
    </row>
    <row r="43" spans="1:17" ht="15" x14ac:dyDescent="0.25">
      <c r="A43" t="s">
        <v>13</v>
      </c>
      <c r="B43" t="s">
        <v>1920</v>
      </c>
      <c r="C43" t="s">
        <v>840</v>
      </c>
      <c r="D43" t="s">
        <v>2246</v>
      </c>
      <c r="E43" t="s">
        <v>2247</v>
      </c>
      <c r="F43" t="s">
        <v>2026</v>
      </c>
      <c r="G43" s="30">
        <v>14.88</v>
      </c>
      <c r="H43" s="29">
        <f>G43*(1-IFERROR(VLOOKUP(F43,Rabat!$D$10:$E$41,2,FALSE),0))</f>
        <v>14.88</v>
      </c>
      <c r="I43" t="s">
        <v>2542</v>
      </c>
      <c r="J43" t="s">
        <v>126</v>
      </c>
      <c r="K43" t="s">
        <v>2538</v>
      </c>
      <c r="L43">
        <v>100</v>
      </c>
      <c r="M43">
        <v>7200</v>
      </c>
      <c r="N43" t="s">
        <v>2545</v>
      </c>
      <c r="O43" s="31" t="str">
        <f>HYPERLINK("https://b2b.kobi.pl/pl/product/9566,zarowka-led-gu10-7w-4000k-kobi-premium?currency=PLN")</f>
        <v>https://b2b.kobi.pl/pl/product/9566,zarowka-led-gu10-7w-4000k-kobi-premium?currency=PLN</v>
      </c>
      <c r="P43" s="31" t="str">
        <f>HYPERLINK("https://eprel.ec.europa.eu/qr/660106")</f>
        <v>https://eprel.ec.europa.eu/qr/660106</v>
      </c>
      <c r="Q43"/>
    </row>
    <row r="44" spans="1:17" ht="15" x14ac:dyDescent="0.25">
      <c r="A44" t="s">
        <v>13</v>
      </c>
      <c r="B44" t="s">
        <v>1920</v>
      </c>
      <c r="C44" t="s">
        <v>840</v>
      </c>
      <c r="D44" t="s">
        <v>2250</v>
      </c>
      <c r="E44" t="s">
        <v>2251</v>
      </c>
      <c r="F44" t="s">
        <v>2026</v>
      </c>
      <c r="G44" s="30">
        <v>14.88</v>
      </c>
      <c r="H44" s="29">
        <f>G44*(1-IFERROR(VLOOKUP(F44,Rabat!$D$10:$E$41,2,FALSE),0))</f>
        <v>14.88</v>
      </c>
      <c r="I44" t="s">
        <v>2542</v>
      </c>
      <c r="J44" t="s">
        <v>127</v>
      </c>
      <c r="K44" t="s">
        <v>2538</v>
      </c>
      <c r="L44">
        <v>100</v>
      </c>
      <c r="M44">
        <v>7200</v>
      </c>
      <c r="N44" t="s">
        <v>2545</v>
      </c>
      <c r="O44" s="31" t="str">
        <f>HYPERLINK("https://b2b.kobi.pl/pl/product/9568,zarowka-led-gu10-7w-6500k-kobi-premium?currency=PLN")</f>
        <v>https://b2b.kobi.pl/pl/product/9568,zarowka-led-gu10-7w-6500k-kobi-premium?currency=PLN</v>
      </c>
      <c r="P44" s="31" t="str">
        <f>HYPERLINK("https://eprel.ec.europa.eu/qr/660149")</f>
        <v>https://eprel.ec.europa.eu/qr/660149</v>
      </c>
      <c r="Q44"/>
    </row>
    <row r="45" spans="1:17" ht="15" x14ac:dyDescent="0.25">
      <c r="A45" t="s">
        <v>13</v>
      </c>
      <c r="B45" t="s">
        <v>1920</v>
      </c>
      <c r="C45" t="s">
        <v>840</v>
      </c>
      <c r="D45" t="s">
        <v>2258</v>
      </c>
      <c r="E45" t="s">
        <v>2259</v>
      </c>
      <c r="F45" t="s">
        <v>2026</v>
      </c>
      <c r="G45" s="30">
        <v>24.12</v>
      </c>
      <c r="H45" s="29">
        <f>G45*(1-IFERROR(VLOOKUP(F45,Rabat!$D$10:$E$41,2,FALSE),0))</f>
        <v>24.12</v>
      </c>
      <c r="I45" t="s">
        <v>2537</v>
      </c>
      <c r="J45" t="s">
        <v>128</v>
      </c>
      <c r="K45" t="s">
        <v>2538</v>
      </c>
      <c r="L45">
        <v>100</v>
      </c>
      <c r="M45">
        <v>6000</v>
      </c>
      <c r="N45" t="s">
        <v>2544</v>
      </c>
      <c r="O45" s="31" t="str">
        <f>HYPERLINK("https://b2b.kobi.pl/pl/product/9572,zarowka-led-gu10-9w-3000k-kobi-premium?currency=PLN")</f>
        <v>https://b2b.kobi.pl/pl/product/9572,zarowka-led-gu10-9w-3000k-kobi-premium?currency=PLN</v>
      </c>
      <c r="P45" s="31" t="str">
        <f>HYPERLINK("https://eprel.ec.europa.eu/qr/793979")</f>
        <v>https://eprel.ec.europa.eu/qr/793979</v>
      </c>
      <c r="Q45"/>
    </row>
    <row r="46" spans="1:17" ht="15" x14ac:dyDescent="0.25">
      <c r="A46" t="s">
        <v>13</v>
      </c>
      <c r="B46" t="s">
        <v>1920</v>
      </c>
      <c r="C46" t="s">
        <v>840</v>
      </c>
      <c r="D46" t="s">
        <v>2260</v>
      </c>
      <c r="E46" t="s">
        <v>2261</v>
      </c>
      <c r="F46" t="s">
        <v>2026</v>
      </c>
      <c r="G46" s="30">
        <v>24.12</v>
      </c>
      <c r="H46" s="29">
        <f>G46*(1-IFERROR(VLOOKUP(F46,Rabat!$D$10:$E$41,2,FALSE),0))</f>
        <v>24.12</v>
      </c>
      <c r="I46" t="s">
        <v>2537</v>
      </c>
      <c r="J46" t="s">
        <v>129</v>
      </c>
      <c r="K46" t="s">
        <v>2538</v>
      </c>
      <c r="L46">
        <v>100</v>
      </c>
      <c r="M46">
        <v>6000</v>
      </c>
      <c r="N46" t="s">
        <v>2544</v>
      </c>
      <c r="O46" s="31" t="str">
        <f>HYPERLINK("https://b2b.kobi.pl/pl/product/9573,zarowka-led-gu10-9w-4000k-kobi-premium?currency=PLN")</f>
        <v>https://b2b.kobi.pl/pl/product/9573,zarowka-led-gu10-9w-4000k-kobi-premium?currency=PLN</v>
      </c>
      <c r="P46" s="31" t="str">
        <f>HYPERLINK("https://eprel.ec.europa.eu/qr/794019")</f>
        <v>https://eprel.ec.europa.eu/qr/794019</v>
      </c>
      <c r="Q46"/>
    </row>
    <row r="47" spans="1:17" ht="15" x14ac:dyDescent="0.25">
      <c r="A47" t="s">
        <v>13</v>
      </c>
      <c r="B47" t="s">
        <v>1920</v>
      </c>
      <c r="C47" t="s">
        <v>840</v>
      </c>
      <c r="D47" t="s">
        <v>2262</v>
      </c>
      <c r="E47" t="s">
        <v>2263</v>
      </c>
      <c r="F47" t="s">
        <v>2026</v>
      </c>
      <c r="G47" s="30">
        <v>24.12</v>
      </c>
      <c r="H47" s="29">
        <f>G47*(1-IFERROR(VLOOKUP(F47,Rabat!$D$10:$E$41,2,FALSE),0))</f>
        <v>24.12</v>
      </c>
      <c r="I47" t="s">
        <v>2537</v>
      </c>
      <c r="J47" t="s">
        <v>130</v>
      </c>
      <c r="K47" t="s">
        <v>2538</v>
      </c>
      <c r="L47">
        <v>100</v>
      </c>
      <c r="M47">
        <v>6000</v>
      </c>
      <c r="N47" t="s">
        <v>2544</v>
      </c>
      <c r="O47" s="31" t="str">
        <f>HYPERLINK("https://b2b.kobi.pl/pl/product/9574,zarowka-led-gu10-9w-6000k-kobi-premium?currency=PLN")</f>
        <v>https://b2b.kobi.pl/pl/product/9574,zarowka-led-gu10-9w-6000k-kobi-premium?currency=PLN</v>
      </c>
      <c r="P47" s="31" t="str">
        <f>HYPERLINK("https://eprel.ec.europa.eu/qr/794024")</f>
        <v>https://eprel.ec.europa.eu/qr/794024</v>
      </c>
      <c r="Q47"/>
    </row>
    <row r="48" spans="1:17" ht="15" x14ac:dyDescent="0.25">
      <c r="A48" t="s">
        <v>13</v>
      </c>
      <c r="B48" t="s">
        <v>1920</v>
      </c>
      <c r="C48" t="s">
        <v>44</v>
      </c>
      <c r="D48" t="s">
        <v>2252</v>
      </c>
      <c r="E48" t="s">
        <v>2253</v>
      </c>
      <c r="F48" t="s">
        <v>2026</v>
      </c>
      <c r="G48" s="30">
        <v>9.7799999999999994</v>
      </c>
      <c r="H48" s="29">
        <f>G48*(1-IFERROR(VLOOKUP(F48,Rabat!$D$10:$E$41,2,FALSE),0))</f>
        <v>9.7799999999999994</v>
      </c>
      <c r="I48" t="s">
        <v>2542</v>
      </c>
      <c r="J48" t="s">
        <v>2640</v>
      </c>
      <c r="K48" t="s">
        <v>2538</v>
      </c>
      <c r="L48">
        <v>100</v>
      </c>
      <c r="M48">
        <v>5000</v>
      </c>
      <c r="N48" t="s">
        <v>2544</v>
      </c>
      <c r="O48" s="31" t="str">
        <f>HYPERLINK("https://b2b.kobi.pl/pl/product/12253,zarowka-led-gu10-8-5w-3000k-led2b?currency=PLN")</f>
        <v>https://b2b.kobi.pl/pl/product/12253,zarowka-led-gu10-8-5w-3000k-led2b?currency=PLN</v>
      </c>
      <c r="P48" s="31" t="str">
        <f>HYPERLINK("https://eprel.ec.europa.eu/qr/2178052")</f>
        <v>https://eprel.ec.europa.eu/qr/2178052</v>
      </c>
      <c r="Q48"/>
    </row>
    <row r="49" spans="1:17" ht="15" x14ac:dyDescent="0.25">
      <c r="A49" t="s">
        <v>13</v>
      </c>
      <c r="B49" t="s">
        <v>1920</v>
      </c>
      <c r="C49" t="s">
        <v>44</v>
      </c>
      <c r="D49" t="s">
        <v>2254</v>
      </c>
      <c r="E49" t="s">
        <v>2255</v>
      </c>
      <c r="F49" t="s">
        <v>2026</v>
      </c>
      <c r="G49" s="30">
        <v>9.7799999999999994</v>
      </c>
      <c r="H49" s="29">
        <f>G49*(1-IFERROR(VLOOKUP(F49,Rabat!$D$10:$E$41,2,FALSE),0))</f>
        <v>9.7799999999999994</v>
      </c>
      <c r="I49" t="s">
        <v>2542</v>
      </c>
      <c r="J49" t="s">
        <v>2641</v>
      </c>
      <c r="K49" t="s">
        <v>2538</v>
      </c>
      <c r="L49">
        <v>100</v>
      </c>
      <c r="M49">
        <v>5000</v>
      </c>
      <c r="N49" t="s">
        <v>2544</v>
      </c>
      <c r="O49" s="31" t="str">
        <f>HYPERLINK("https://b2b.kobi.pl/pl/product/12254,zarowka-led-gu10-8-5w-4000k-led2b?currency=PLN")</f>
        <v>https://b2b.kobi.pl/pl/product/12254,zarowka-led-gu10-8-5w-4000k-led2b?currency=PLN</v>
      </c>
      <c r="P49" s="31" t="str">
        <f>HYPERLINK("https://eprel.ec.europa.eu/qr/2178058")</f>
        <v>https://eprel.ec.europa.eu/qr/2178058</v>
      </c>
      <c r="Q49"/>
    </row>
    <row r="50" spans="1:17" ht="15" x14ac:dyDescent="0.25">
      <c r="A50" t="s">
        <v>13</v>
      </c>
      <c r="B50" t="s">
        <v>1920</v>
      </c>
      <c r="C50" t="s">
        <v>44</v>
      </c>
      <c r="D50" t="s">
        <v>2256</v>
      </c>
      <c r="E50" t="s">
        <v>2257</v>
      </c>
      <c r="F50" t="s">
        <v>2026</v>
      </c>
      <c r="G50" s="30">
        <v>9.7799999999999994</v>
      </c>
      <c r="H50" s="29">
        <f>G50*(1-IFERROR(VLOOKUP(F50,Rabat!$D$10:$E$41,2,FALSE),0))</f>
        <v>9.7799999999999994</v>
      </c>
      <c r="I50" t="s">
        <v>2542</v>
      </c>
      <c r="J50" t="s">
        <v>2642</v>
      </c>
      <c r="K50" t="s">
        <v>2538</v>
      </c>
      <c r="L50">
        <v>100</v>
      </c>
      <c r="M50">
        <v>5000</v>
      </c>
      <c r="N50" t="s">
        <v>2544</v>
      </c>
      <c r="O50" s="31" t="str">
        <f>HYPERLINK("https://b2b.kobi.pl/pl/product/12255,zarowka-led-gu10-8-5w-6500k-led2b?currency=PLN")</f>
        <v>https://b2b.kobi.pl/pl/product/12255,zarowka-led-gu10-8-5w-6500k-led2b?currency=PLN</v>
      </c>
      <c r="P50" s="31" t="str">
        <f>HYPERLINK("https://eprel.ec.europa.eu/qr/2178065")</f>
        <v>https://eprel.ec.europa.eu/qr/2178065</v>
      </c>
      <c r="Q50"/>
    </row>
    <row r="51" spans="1:17" ht="15" x14ac:dyDescent="0.25">
      <c r="A51" t="s">
        <v>13</v>
      </c>
      <c r="B51" t="s">
        <v>1920</v>
      </c>
      <c r="C51" t="s">
        <v>858</v>
      </c>
      <c r="D51" t="s">
        <v>2144</v>
      </c>
      <c r="E51" t="s">
        <v>2145</v>
      </c>
      <c r="F51" t="s">
        <v>2026</v>
      </c>
      <c r="G51" s="30">
        <v>18.100000000000001</v>
      </c>
      <c r="H51" s="29">
        <f>G51*(1-IFERROR(VLOOKUP(F51,Rabat!$D$10:$E$41,2,FALSE),0))</f>
        <v>18.100000000000001</v>
      </c>
      <c r="I51" t="s">
        <v>2537</v>
      </c>
      <c r="J51" t="s">
        <v>73</v>
      </c>
      <c r="K51" t="s">
        <v>2538</v>
      </c>
      <c r="L51">
        <v>500</v>
      </c>
      <c r="M51"/>
      <c r="N51" t="s">
        <v>2544</v>
      </c>
      <c r="O51" s="31" t="str">
        <f>HYPERLINK("https://b2b.kobi.pl/pl/product/9498,zarowka-led-g9-3w-3000k-kobi?currency=PLN")</f>
        <v>https://b2b.kobi.pl/pl/product/9498,zarowka-led-g9-3w-3000k-kobi?currency=PLN</v>
      </c>
      <c r="P51" s="31" t="str">
        <f>HYPERLINK("https://eprel.ec.europa.eu/qr/1682098")</f>
        <v>https://eprel.ec.europa.eu/qr/1682098</v>
      </c>
      <c r="Q51"/>
    </row>
    <row r="52" spans="1:17" ht="15" x14ac:dyDescent="0.25">
      <c r="A52" t="s">
        <v>13</v>
      </c>
      <c r="B52" t="s">
        <v>1920</v>
      </c>
      <c r="C52" t="s">
        <v>858</v>
      </c>
      <c r="D52" t="s">
        <v>2146</v>
      </c>
      <c r="E52" t="s">
        <v>2147</v>
      </c>
      <c r="F52" t="s">
        <v>2026</v>
      </c>
      <c r="G52" s="30">
        <v>18.100000000000001</v>
      </c>
      <c r="H52" s="29">
        <f>G52*(1-IFERROR(VLOOKUP(F52,Rabat!$D$10:$E$41,2,FALSE),0))</f>
        <v>18.100000000000001</v>
      </c>
      <c r="I52" t="s">
        <v>2537</v>
      </c>
      <c r="J52" t="s">
        <v>74</v>
      </c>
      <c r="K52" t="s">
        <v>2538</v>
      </c>
      <c r="L52">
        <v>500</v>
      </c>
      <c r="M52"/>
      <c r="N52" t="s">
        <v>2544</v>
      </c>
      <c r="O52" s="31" t="str">
        <f>HYPERLINK("https://b2b.kobi.pl/pl/product/9499,zarowka-led-g9-3w-4000k-kobi?currency=PLN")</f>
        <v>https://b2b.kobi.pl/pl/product/9499,zarowka-led-g9-3w-4000k-kobi?currency=PLN</v>
      </c>
      <c r="P52" s="31" t="str">
        <f>HYPERLINK("https://eprel.ec.europa.eu/qr/1682160")</f>
        <v>https://eprel.ec.europa.eu/qr/1682160</v>
      </c>
      <c r="Q52"/>
    </row>
    <row r="53" spans="1:17" ht="15" x14ac:dyDescent="0.25">
      <c r="A53" t="s">
        <v>13</v>
      </c>
      <c r="B53" t="s">
        <v>1920</v>
      </c>
      <c r="C53" t="s">
        <v>858</v>
      </c>
      <c r="D53" t="s">
        <v>2148</v>
      </c>
      <c r="E53" t="s">
        <v>2149</v>
      </c>
      <c r="F53" t="s">
        <v>2026</v>
      </c>
      <c r="G53" s="30">
        <v>18.100000000000001</v>
      </c>
      <c r="H53" s="29">
        <f>G53*(1-IFERROR(VLOOKUP(F53,Rabat!$D$10:$E$41,2,FALSE),0))</f>
        <v>18.100000000000001</v>
      </c>
      <c r="I53" t="s">
        <v>2537</v>
      </c>
      <c r="J53" t="s">
        <v>75</v>
      </c>
      <c r="K53" t="s">
        <v>2538</v>
      </c>
      <c r="L53">
        <v>500</v>
      </c>
      <c r="M53"/>
      <c r="N53" t="s">
        <v>2544</v>
      </c>
      <c r="O53" s="31" t="str">
        <f>HYPERLINK("https://b2b.kobi.pl/pl/product/9500,zarowka-led-g9-3w-6000k-kobi?currency=PLN")</f>
        <v>https://b2b.kobi.pl/pl/product/9500,zarowka-led-g9-3w-6000k-kobi?currency=PLN</v>
      </c>
      <c r="P53" s="31" t="str">
        <f>HYPERLINK("https://eprel.ec.europa.eu/qr/1682294")</f>
        <v>https://eprel.ec.europa.eu/qr/1682294</v>
      </c>
      <c r="Q53"/>
    </row>
    <row r="54" spans="1:17" ht="15" x14ac:dyDescent="0.25">
      <c r="A54" t="s">
        <v>13</v>
      </c>
      <c r="B54" t="s">
        <v>1920</v>
      </c>
      <c r="C54" t="s">
        <v>858</v>
      </c>
      <c r="D54" t="s">
        <v>2150</v>
      </c>
      <c r="E54" t="s">
        <v>2151</v>
      </c>
      <c r="F54" t="s">
        <v>2026</v>
      </c>
      <c r="G54" s="30">
        <v>16.2</v>
      </c>
      <c r="H54" s="29">
        <f>G54*(1-IFERROR(VLOOKUP(F54,Rabat!$D$10:$E$41,2,FALSE),0))</f>
        <v>16.2</v>
      </c>
      <c r="I54" t="s">
        <v>2542</v>
      </c>
      <c r="J54" t="s">
        <v>76</v>
      </c>
      <c r="K54" t="s">
        <v>2538</v>
      </c>
      <c r="L54">
        <v>100</v>
      </c>
      <c r="M54">
        <v>6600</v>
      </c>
      <c r="N54" t="s">
        <v>2544</v>
      </c>
      <c r="O54" s="31" t="str">
        <f>HYPERLINK("https://b2b.kobi.pl/pl/product/9501,zarowka-led-g9-4w-3000k-kobi?currency=PLN")</f>
        <v>https://b2b.kobi.pl/pl/product/9501,zarowka-led-g9-4w-3000k-kobi?currency=PLN</v>
      </c>
      <c r="P54" s="31" t="str">
        <f>HYPERLINK("https://eprel.ec.europa.eu/qr/659766")</f>
        <v>https://eprel.ec.europa.eu/qr/659766</v>
      </c>
      <c r="Q54"/>
    </row>
    <row r="55" spans="1:17" ht="15" x14ac:dyDescent="0.25">
      <c r="A55" t="s">
        <v>13</v>
      </c>
      <c r="B55" t="s">
        <v>1920</v>
      </c>
      <c r="C55" t="s">
        <v>858</v>
      </c>
      <c r="D55" t="s">
        <v>2152</v>
      </c>
      <c r="E55" t="s">
        <v>2153</v>
      </c>
      <c r="F55" t="s">
        <v>2026</v>
      </c>
      <c r="G55" s="30">
        <v>16.2</v>
      </c>
      <c r="H55" s="29">
        <f>G55*(1-IFERROR(VLOOKUP(F55,Rabat!$D$10:$E$41,2,FALSE),0))</f>
        <v>16.2</v>
      </c>
      <c r="I55" t="s">
        <v>2542</v>
      </c>
      <c r="J55" t="s">
        <v>77</v>
      </c>
      <c r="K55" t="s">
        <v>2538</v>
      </c>
      <c r="L55">
        <v>100</v>
      </c>
      <c r="M55">
        <v>6600</v>
      </c>
      <c r="N55" t="s">
        <v>2544</v>
      </c>
      <c r="O55" s="31" t="str">
        <f>HYPERLINK("https://b2b.kobi.pl/pl/product/9502,zarowka-led-g9-4w-4000k-kobi?currency=PLN")</f>
        <v>https://b2b.kobi.pl/pl/product/9502,zarowka-led-g9-4w-4000k-kobi?currency=PLN</v>
      </c>
      <c r="P55" s="31" t="str">
        <f>HYPERLINK("https://eprel.ec.europa.eu/qr/659773")</f>
        <v>https://eprel.ec.europa.eu/qr/659773</v>
      </c>
      <c r="Q55"/>
    </row>
    <row r="56" spans="1:17" ht="15" x14ac:dyDescent="0.25">
      <c r="A56" t="s">
        <v>13</v>
      </c>
      <c r="B56" t="s">
        <v>1920</v>
      </c>
      <c r="C56" t="s">
        <v>858</v>
      </c>
      <c r="D56" t="s">
        <v>2154</v>
      </c>
      <c r="E56" t="s">
        <v>2155</v>
      </c>
      <c r="F56" t="s">
        <v>2026</v>
      </c>
      <c r="G56" s="30">
        <v>16.2</v>
      </c>
      <c r="H56" s="29">
        <f>G56*(1-IFERROR(VLOOKUP(F56,Rabat!$D$10:$E$41,2,FALSE),0))</f>
        <v>16.2</v>
      </c>
      <c r="I56" t="s">
        <v>2542</v>
      </c>
      <c r="J56" t="s">
        <v>78</v>
      </c>
      <c r="K56" t="s">
        <v>2538</v>
      </c>
      <c r="L56">
        <v>100</v>
      </c>
      <c r="M56">
        <v>3000</v>
      </c>
      <c r="N56" t="s">
        <v>2544</v>
      </c>
      <c r="O56" s="31" t="str">
        <f>HYPERLINK("https://b2b.kobi.pl/pl/product/9503,zarowka-led-g9-4w-6000k-kobi?currency=PLN")</f>
        <v>https://b2b.kobi.pl/pl/product/9503,zarowka-led-g9-4w-6000k-kobi?currency=PLN</v>
      </c>
      <c r="P56" s="31" t="str">
        <f>HYPERLINK("https://eprel.ec.europa.eu/qr/659777")</f>
        <v>https://eprel.ec.europa.eu/qr/659777</v>
      </c>
      <c r="Q56"/>
    </row>
    <row r="57" spans="1:17" ht="15" x14ac:dyDescent="0.25">
      <c r="A57" t="s">
        <v>13</v>
      </c>
      <c r="B57" t="s">
        <v>1920</v>
      </c>
      <c r="C57" t="s">
        <v>858</v>
      </c>
      <c r="D57" t="s">
        <v>2156</v>
      </c>
      <c r="E57" t="s">
        <v>2157</v>
      </c>
      <c r="F57" t="s">
        <v>2026</v>
      </c>
      <c r="G57" s="30">
        <v>21.99</v>
      </c>
      <c r="H57" s="29">
        <f>G57*(1-IFERROR(VLOOKUP(F57,Rabat!$D$10:$E$41,2,FALSE),0))</f>
        <v>21.99</v>
      </c>
      <c r="I57" t="s">
        <v>2542</v>
      </c>
      <c r="J57" t="s">
        <v>79</v>
      </c>
      <c r="K57" t="s">
        <v>2538</v>
      </c>
      <c r="L57">
        <v>200</v>
      </c>
      <c r="M57"/>
      <c r="N57" t="s">
        <v>2544</v>
      </c>
      <c r="O57" s="31" t="str">
        <f>HYPERLINK("https://b2b.kobi.pl/pl/product/9504,zarowka-led-g9-6w-3000k-kobi?currency=PLN")</f>
        <v>https://b2b.kobi.pl/pl/product/9504,zarowka-led-g9-6w-3000k-kobi?currency=PLN</v>
      </c>
      <c r="P57" s="31" t="str">
        <f>HYPERLINK("https://eprel.ec.europa.eu/qr/659786")</f>
        <v>https://eprel.ec.europa.eu/qr/659786</v>
      </c>
      <c r="Q57"/>
    </row>
    <row r="58" spans="1:17" ht="15" x14ac:dyDescent="0.25">
      <c r="A58" t="s">
        <v>13</v>
      </c>
      <c r="B58" t="s">
        <v>1920</v>
      </c>
      <c r="C58" t="s">
        <v>858</v>
      </c>
      <c r="D58" t="s">
        <v>2158</v>
      </c>
      <c r="E58" t="s">
        <v>2159</v>
      </c>
      <c r="F58" t="s">
        <v>2026</v>
      </c>
      <c r="G58" s="30">
        <v>21.99</v>
      </c>
      <c r="H58" s="29">
        <f>G58*(1-IFERROR(VLOOKUP(F58,Rabat!$D$10:$E$41,2,FALSE),0))</f>
        <v>21.99</v>
      </c>
      <c r="I58" t="s">
        <v>2542</v>
      </c>
      <c r="J58" t="s">
        <v>80</v>
      </c>
      <c r="K58" t="s">
        <v>2538</v>
      </c>
      <c r="L58">
        <v>200</v>
      </c>
      <c r="M58">
        <v>13200</v>
      </c>
      <c r="N58" t="s">
        <v>2544</v>
      </c>
      <c r="O58" s="31" t="str">
        <f>HYPERLINK("https://b2b.kobi.pl/pl/product/9505,zarowka-led-g9-6w-4000k-kobi?currency=PLN")</f>
        <v>https://b2b.kobi.pl/pl/product/9505,zarowka-led-g9-6w-4000k-kobi?currency=PLN</v>
      </c>
      <c r="P58" s="31" t="str">
        <f>HYPERLINK("https://eprel.ec.europa.eu/qr/659804")</f>
        <v>https://eprel.ec.europa.eu/qr/659804</v>
      </c>
      <c r="Q58"/>
    </row>
    <row r="59" spans="1:17" ht="15" x14ac:dyDescent="0.25">
      <c r="A59" t="s">
        <v>13</v>
      </c>
      <c r="B59" t="s">
        <v>1920</v>
      </c>
      <c r="C59" t="s">
        <v>858</v>
      </c>
      <c r="D59" t="s">
        <v>2160</v>
      </c>
      <c r="E59" t="s">
        <v>2161</v>
      </c>
      <c r="F59" t="s">
        <v>2026</v>
      </c>
      <c r="G59" s="30">
        <v>21.99</v>
      </c>
      <c r="H59" s="29">
        <f>G59*(1-IFERROR(VLOOKUP(F59,Rabat!$D$10:$E$41,2,FALSE),0))</f>
        <v>21.99</v>
      </c>
      <c r="I59" t="s">
        <v>2542</v>
      </c>
      <c r="J59" t="s">
        <v>81</v>
      </c>
      <c r="K59" t="s">
        <v>2538</v>
      </c>
      <c r="L59">
        <v>200</v>
      </c>
      <c r="M59"/>
      <c r="N59" t="s">
        <v>2544</v>
      </c>
      <c r="O59" s="31" t="str">
        <f>HYPERLINK("https://b2b.kobi.pl/pl/product/9506,zarowka-led-g9-6w-6000k-kobi?currency=PLN")</f>
        <v>https://b2b.kobi.pl/pl/product/9506,zarowka-led-g9-6w-6000k-kobi?currency=PLN</v>
      </c>
      <c r="P59" s="31" t="str">
        <f>HYPERLINK("https://eprel.ec.europa.eu/qr/659806")</f>
        <v>https://eprel.ec.europa.eu/qr/659806</v>
      </c>
      <c r="Q59"/>
    </row>
    <row r="60" spans="1:17" ht="15" x14ac:dyDescent="0.25">
      <c r="A60" t="s">
        <v>13</v>
      </c>
      <c r="B60" t="s">
        <v>1920</v>
      </c>
      <c r="C60" t="s">
        <v>858</v>
      </c>
      <c r="D60" t="s">
        <v>2136</v>
      </c>
      <c r="E60" t="s">
        <v>2137</v>
      </c>
      <c r="F60" t="s">
        <v>2026</v>
      </c>
      <c r="G60" s="30">
        <v>15.27</v>
      </c>
      <c r="H60" s="29">
        <f>G60*(1-IFERROR(VLOOKUP(F60,Rabat!$D$10:$E$41,2,FALSE),0))</f>
        <v>15.27</v>
      </c>
      <c r="I60" t="s">
        <v>2542</v>
      </c>
      <c r="J60" t="s">
        <v>69</v>
      </c>
      <c r="K60" t="s">
        <v>2538</v>
      </c>
      <c r="L60">
        <v>100</v>
      </c>
      <c r="M60"/>
      <c r="N60" t="s">
        <v>2544</v>
      </c>
      <c r="O60" s="31" t="str">
        <f>HYPERLINK("https://b2b.kobi.pl/pl/product/9489,zarowka-led-g4-1-5w-3000k-kobi?currency=PLN")</f>
        <v>https://b2b.kobi.pl/pl/product/9489,zarowka-led-g4-1-5w-3000k-kobi?currency=PLN</v>
      </c>
      <c r="P60" s="31" t="str">
        <f>HYPERLINK("https://eprel.ec.europa.eu/qr/996106")</f>
        <v>https://eprel.ec.europa.eu/qr/996106</v>
      </c>
      <c r="Q60"/>
    </row>
    <row r="61" spans="1:17" ht="15" x14ac:dyDescent="0.25">
      <c r="A61" t="s">
        <v>13</v>
      </c>
      <c r="B61" t="s">
        <v>1920</v>
      </c>
      <c r="C61" t="s">
        <v>858</v>
      </c>
      <c r="D61" t="s">
        <v>2138</v>
      </c>
      <c r="E61" t="s">
        <v>2139</v>
      </c>
      <c r="F61" t="s">
        <v>2026</v>
      </c>
      <c r="G61" s="30">
        <v>15.27</v>
      </c>
      <c r="H61" s="29">
        <f>G61*(1-IFERROR(VLOOKUP(F61,Rabat!$D$10:$E$41,2,FALSE),0))</f>
        <v>15.27</v>
      </c>
      <c r="I61" t="s">
        <v>2542</v>
      </c>
      <c r="J61" t="s">
        <v>70</v>
      </c>
      <c r="K61" t="s">
        <v>2538</v>
      </c>
      <c r="L61">
        <v>100</v>
      </c>
      <c r="M61"/>
      <c r="N61" t="s">
        <v>2544</v>
      </c>
      <c r="O61" s="31" t="str">
        <f>HYPERLINK("https://b2b.kobi.pl/pl/product/9490,zarowka-led-g4-1-5w-4000k-kobi?currency=PLN")</f>
        <v>https://b2b.kobi.pl/pl/product/9490,zarowka-led-g4-1-5w-4000k-kobi?currency=PLN</v>
      </c>
      <c r="P61" s="31" t="str">
        <f>HYPERLINK("https://eprel.ec.europa.eu/qr/996107")</f>
        <v>https://eprel.ec.europa.eu/qr/996107</v>
      </c>
      <c r="Q61"/>
    </row>
    <row r="62" spans="1:17" ht="15" x14ac:dyDescent="0.25">
      <c r="A62" t="s">
        <v>13</v>
      </c>
      <c r="B62" t="s">
        <v>1920</v>
      </c>
      <c r="C62" t="s">
        <v>858</v>
      </c>
      <c r="D62" t="s">
        <v>2140</v>
      </c>
      <c r="E62" t="s">
        <v>2141</v>
      </c>
      <c r="F62" t="s">
        <v>2026</v>
      </c>
      <c r="G62" s="30">
        <v>17.2</v>
      </c>
      <c r="H62" s="29">
        <f>G62*(1-IFERROR(VLOOKUP(F62,Rabat!$D$10:$E$41,2,FALSE),0))</f>
        <v>17.2</v>
      </c>
      <c r="I62" t="s">
        <v>2542</v>
      </c>
      <c r="J62" t="s">
        <v>71</v>
      </c>
      <c r="K62" t="s">
        <v>2538</v>
      </c>
      <c r="L62">
        <v>100</v>
      </c>
      <c r="M62"/>
      <c r="N62" t="s">
        <v>2544</v>
      </c>
      <c r="O62" s="31" t="str">
        <f>HYPERLINK("https://b2b.kobi.pl/pl/product/9495,zarowka-led-g4-2w-3000k-kobi?currency=PLN")</f>
        <v>https://b2b.kobi.pl/pl/product/9495,zarowka-led-g4-2w-3000k-kobi?currency=PLN</v>
      </c>
      <c r="P62" s="31" t="str">
        <f>HYPERLINK("https://eprel.ec.europa.eu/qr/816926")</f>
        <v>https://eprel.ec.europa.eu/qr/816926</v>
      </c>
      <c r="Q62"/>
    </row>
    <row r="63" spans="1:17" ht="15" x14ac:dyDescent="0.25">
      <c r="A63" t="s">
        <v>13</v>
      </c>
      <c r="B63" t="s">
        <v>1920</v>
      </c>
      <c r="C63" t="s">
        <v>858</v>
      </c>
      <c r="D63" t="s">
        <v>2142</v>
      </c>
      <c r="E63" t="s">
        <v>2143</v>
      </c>
      <c r="F63" t="s">
        <v>2026</v>
      </c>
      <c r="G63" s="30">
        <v>17.2</v>
      </c>
      <c r="H63" s="29">
        <f>G63*(1-IFERROR(VLOOKUP(F63,Rabat!$D$10:$E$41,2,FALSE),0))</f>
        <v>17.2</v>
      </c>
      <c r="I63" t="s">
        <v>2542</v>
      </c>
      <c r="J63" t="s">
        <v>72</v>
      </c>
      <c r="K63" t="s">
        <v>2538</v>
      </c>
      <c r="L63">
        <v>100</v>
      </c>
      <c r="M63"/>
      <c r="N63" t="s">
        <v>2544</v>
      </c>
      <c r="O63" s="31" t="str">
        <f>HYPERLINK("https://b2b.kobi.pl/pl/product/9496,zarowka-led-g4-2w-4000k-kobi?currency=PLN")</f>
        <v>https://b2b.kobi.pl/pl/product/9496,zarowka-led-g4-2w-4000k-kobi?currency=PLN</v>
      </c>
      <c r="P63" s="31" t="str">
        <f>HYPERLINK("https://eprel.ec.europa.eu/qr/816995")</f>
        <v>https://eprel.ec.europa.eu/qr/816995</v>
      </c>
      <c r="Q63"/>
    </row>
    <row r="64" spans="1:17" ht="15" x14ac:dyDescent="0.25">
      <c r="A64" t="s">
        <v>13</v>
      </c>
      <c r="B64" t="s">
        <v>1920</v>
      </c>
      <c r="C64" t="s">
        <v>858</v>
      </c>
      <c r="D64" t="s">
        <v>2330</v>
      </c>
      <c r="E64" t="s">
        <v>2331</v>
      </c>
      <c r="F64" t="s">
        <v>2026</v>
      </c>
      <c r="G64" s="30">
        <v>17.54</v>
      </c>
      <c r="H64" s="29">
        <f>G64*(1-IFERROR(VLOOKUP(F64,Rabat!$D$10:$E$41,2,FALSE),0))</f>
        <v>17.54</v>
      </c>
      <c r="I64" t="s">
        <v>2542</v>
      </c>
      <c r="J64" t="s">
        <v>158</v>
      </c>
      <c r="K64" t="s">
        <v>2538</v>
      </c>
      <c r="L64">
        <v>100</v>
      </c>
      <c r="M64"/>
      <c r="N64" t="s">
        <v>2544</v>
      </c>
      <c r="O64" s="31" t="str">
        <f>HYPERLINK("https://b2b.kobi.pl/pl/product/9659,zarowka-led-mr11-4w-gu10-3000k-kobi?currency=PLN")</f>
        <v>https://b2b.kobi.pl/pl/product/9659,zarowka-led-mr11-4w-gu10-3000k-kobi?currency=PLN</v>
      </c>
      <c r="P64" s="31" t="str">
        <f>HYPERLINK("https://eprel.ec.europa.eu/qr/660632")</f>
        <v>https://eprel.ec.europa.eu/qr/660632</v>
      </c>
      <c r="Q64"/>
    </row>
    <row r="65" spans="1:17" ht="15" x14ac:dyDescent="0.25">
      <c r="A65" t="s">
        <v>13</v>
      </c>
      <c r="B65" t="s">
        <v>1920</v>
      </c>
      <c r="C65" t="s">
        <v>858</v>
      </c>
      <c r="D65" t="s">
        <v>2332</v>
      </c>
      <c r="E65" t="s">
        <v>2333</v>
      </c>
      <c r="F65" t="s">
        <v>2026</v>
      </c>
      <c r="G65" s="30">
        <v>17.54</v>
      </c>
      <c r="H65" s="29">
        <f>G65*(1-IFERROR(VLOOKUP(F65,Rabat!$D$10:$E$41,2,FALSE),0))</f>
        <v>17.54</v>
      </c>
      <c r="I65" t="s">
        <v>2542</v>
      </c>
      <c r="J65" t="s">
        <v>159</v>
      </c>
      <c r="K65" t="s">
        <v>2538</v>
      </c>
      <c r="L65">
        <v>100</v>
      </c>
      <c r="M65"/>
      <c r="N65" t="s">
        <v>2544</v>
      </c>
      <c r="O65" s="31" t="str">
        <f>HYPERLINK("https://b2b.kobi.pl/pl/product/9660,zarowka-led-mr11-4w-gu10-4000k-kobi?currency=PLN")</f>
        <v>https://b2b.kobi.pl/pl/product/9660,zarowka-led-mr11-4w-gu10-4000k-kobi?currency=PLN</v>
      </c>
      <c r="P65" s="31" t="str">
        <f>HYPERLINK("https://eprel.ec.europa.eu/qr/660634")</f>
        <v>https://eprel.ec.europa.eu/qr/660634</v>
      </c>
      <c r="Q65"/>
    </row>
    <row r="66" spans="1:17" ht="15" x14ac:dyDescent="0.25">
      <c r="A66" t="s">
        <v>13</v>
      </c>
      <c r="B66" t="s">
        <v>1920</v>
      </c>
      <c r="C66" t="s">
        <v>858</v>
      </c>
      <c r="D66" t="s">
        <v>2334</v>
      </c>
      <c r="E66" t="s">
        <v>2335</v>
      </c>
      <c r="F66" t="s">
        <v>2026</v>
      </c>
      <c r="G66" s="30">
        <v>17.54</v>
      </c>
      <c r="H66" s="29">
        <f>G66*(1-IFERROR(VLOOKUP(F66,Rabat!$D$10:$E$41,2,FALSE),0))</f>
        <v>17.54</v>
      </c>
      <c r="I66" t="s">
        <v>2542</v>
      </c>
      <c r="J66" t="s">
        <v>160</v>
      </c>
      <c r="K66" t="s">
        <v>2538</v>
      </c>
      <c r="L66">
        <v>100</v>
      </c>
      <c r="M66"/>
      <c r="N66" t="s">
        <v>2544</v>
      </c>
      <c r="O66" s="31" t="str">
        <f>HYPERLINK("https://b2b.kobi.pl/pl/product/9661,zarowka-led-mr11-4w-gu10-6000k-kobi?currency=PLN")</f>
        <v>https://b2b.kobi.pl/pl/product/9661,zarowka-led-mr11-4w-gu10-6000k-kobi?currency=PLN</v>
      </c>
      <c r="P66" s="31" t="str">
        <f>HYPERLINK("https://eprel.ec.europa.eu/qr/660638")</f>
        <v>https://eprel.ec.europa.eu/qr/660638</v>
      </c>
      <c r="Q66"/>
    </row>
    <row r="67" spans="1:17" ht="15" x14ac:dyDescent="0.25">
      <c r="A67" t="s">
        <v>13</v>
      </c>
      <c r="B67" t="s">
        <v>1920</v>
      </c>
      <c r="C67" t="s">
        <v>858</v>
      </c>
      <c r="D67" t="s">
        <v>2264</v>
      </c>
      <c r="E67" t="s">
        <v>2265</v>
      </c>
      <c r="F67" t="s">
        <v>2026</v>
      </c>
      <c r="G67" s="30">
        <v>55</v>
      </c>
      <c r="H67" s="29">
        <f>G67*(1-IFERROR(VLOOKUP(F67,Rabat!$D$10:$E$41,2,FALSE),0))</f>
        <v>55</v>
      </c>
      <c r="I67" t="s">
        <v>2537</v>
      </c>
      <c r="J67" t="s">
        <v>131</v>
      </c>
      <c r="K67" t="s">
        <v>2538</v>
      </c>
      <c r="L67">
        <v>24</v>
      </c>
      <c r="M67"/>
      <c r="N67" t="s">
        <v>2544</v>
      </c>
      <c r="O67" s="31" t="str">
        <f>HYPERLINK("https://b2b.kobi.pl/pl/product/9586,zarowka-led-j78-8w-r7s-3000k-kobi?currency=PLN")</f>
        <v>https://b2b.kobi.pl/pl/product/9586,zarowka-led-j78-8w-r7s-3000k-kobi?currency=PLN</v>
      </c>
      <c r="P67" s="31" t="str">
        <f>HYPERLINK("https://eprel.ec.europa.eu/qr/1243613")</f>
        <v>https://eprel.ec.europa.eu/qr/1243613</v>
      </c>
      <c r="Q67"/>
    </row>
    <row r="68" spans="1:17" ht="15" x14ac:dyDescent="0.25">
      <c r="A68" t="s">
        <v>13</v>
      </c>
      <c r="B68" t="s">
        <v>1920</v>
      </c>
      <c r="C68" t="s">
        <v>858</v>
      </c>
      <c r="D68" t="s">
        <v>2266</v>
      </c>
      <c r="E68" t="s">
        <v>2267</v>
      </c>
      <c r="F68" t="s">
        <v>2026</v>
      </c>
      <c r="G68" s="30">
        <v>55</v>
      </c>
      <c r="H68" s="29">
        <f>G68*(1-IFERROR(VLOOKUP(F68,Rabat!$D$10:$E$41,2,FALSE),0))</f>
        <v>55</v>
      </c>
      <c r="I68" t="s">
        <v>2537</v>
      </c>
      <c r="J68" t="s">
        <v>132</v>
      </c>
      <c r="K68" t="s">
        <v>2538</v>
      </c>
      <c r="L68">
        <v>24</v>
      </c>
      <c r="M68"/>
      <c r="N68" t="s">
        <v>2544</v>
      </c>
      <c r="O68" s="31" t="str">
        <f>HYPERLINK("https://b2b.kobi.pl/pl/product/9587,zarowka-led-j78-8w-r7s-4000k-kobi?currency=PLN")</f>
        <v>https://b2b.kobi.pl/pl/product/9587,zarowka-led-j78-8w-r7s-4000k-kobi?currency=PLN</v>
      </c>
      <c r="P68" s="31" t="str">
        <f>HYPERLINK("https://eprel.ec.europa.eu/qr/1243615")</f>
        <v>https://eprel.ec.europa.eu/qr/1243615</v>
      </c>
      <c r="Q68"/>
    </row>
    <row r="69" spans="1:17" ht="15" x14ac:dyDescent="0.25">
      <c r="A69" t="s">
        <v>13</v>
      </c>
      <c r="B69" t="s">
        <v>1920</v>
      </c>
      <c r="C69" t="s">
        <v>858</v>
      </c>
      <c r="D69" t="s">
        <v>2268</v>
      </c>
      <c r="E69" t="s">
        <v>2269</v>
      </c>
      <c r="F69" t="s">
        <v>2026</v>
      </c>
      <c r="G69" s="30">
        <v>65</v>
      </c>
      <c r="H69" s="29">
        <f>G69*(1-IFERROR(VLOOKUP(F69,Rabat!$D$10:$E$41,2,FALSE),0))</f>
        <v>65</v>
      </c>
      <c r="I69" t="s">
        <v>2537</v>
      </c>
      <c r="J69" t="s">
        <v>133</v>
      </c>
      <c r="K69" t="s">
        <v>2538</v>
      </c>
      <c r="L69">
        <v>24</v>
      </c>
      <c r="M69"/>
      <c r="N69" t="s">
        <v>2544</v>
      </c>
      <c r="O69" s="31" t="str">
        <f>HYPERLINK("https://b2b.kobi.pl/pl/product/9583,zarowka-led-j118-15w-r7s-3000k-kobi?currency=PLN")</f>
        <v>https://b2b.kobi.pl/pl/product/9583,zarowka-led-j118-15w-r7s-3000k-kobi?currency=PLN</v>
      </c>
      <c r="P69" s="31" t="str">
        <f>HYPERLINK("https://eprel.ec.europa.eu/qr/1243616")</f>
        <v>https://eprel.ec.europa.eu/qr/1243616</v>
      </c>
      <c r="Q69"/>
    </row>
    <row r="70" spans="1:17" ht="15" x14ac:dyDescent="0.25">
      <c r="A70" t="s">
        <v>13</v>
      </c>
      <c r="B70" t="s">
        <v>1920</v>
      </c>
      <c r="C70" t="s">
        <v>858</v>
      </c>
      <c r="D70" t="s">
        <v>2270</v>
      </c>
      <c r="E70" t="s">
        <v>2271</v>
      </c>
      <c r="F70" t="s">
        <v>2026</v>
      </c>
      <c r="G70" s="30">
        <v>65</v>
      </c>
      <c r="H70" s="29">
        <f>G70*(1-IFERROR(VLOOKUP(F70,Rabat!$D$10:$E$41,2,FALSE),0))</f>
        <v>65</v>
      </c>
      <c r="I70" t="s">
        <v>2537</v>
      </c>
      <c r="J70" t="s">
        <v>134</v>
      </c>
      <c r="K70" t="s">
        <v>2538</v>
      </c>
      <c r="L70">
        <v>24</v>
      </c>
      <c r="M70"/>
      <c r="N70" t="s">
        <v>2544</v>
      </c>
      <c r="O70" s="31" t="str">
        <f>HYPERLINK("https://b2b.kobi.pl/pl/product/9584,zarowka-led-j118-15w-r7s-4000k-kobi?currency=PLN")</f>
        <v>https://b2b.kobi.pl/pl/product/9584,zarowka-led-j118-15w-r7s-4000k-kobi?currency=PLN</v>
      </c>
      <c r="P70" s="31" t="str">
        <f>HYPERLINK("https://eprel.ec.europa.eu/qr/1243618")</f>
        <v>https://eprel.ec.europa.eu/qr/1243618</v>
      </c>
      <c r="Q70"/>
    </row>
    <row r="71" spans="1:17" ht="15" x14ac:dyDescent="0.25">
      <c r="A71" t="s">
        <v>13</v>
      </c>
      <c r="B71" t="s">
        <v>1920</v>
      </c>
      <c r="C71" t="s">
        <v>858</v>
      </c>
      <c r="D71" t="s">
        <v>2134</v>
      </c>
      <c r="E71" t="s">
        <v>2135</v>
      </c>
      <c r="F71" t="s">
        <v>2026</v>
      </c>
      <c r="G71" s="30">
        <v>56</v>
      </c>
      <c r="H71" s="29">
        <f>G71*(1-IFERROR(VLOOKUP(F71,Rabat!$D$10:$E$41,2,FALSE),0))</f>
        <v>56</v>
      </c>
      <c r="I71" t="s">
        <v>2542</v>
      </c>
      <c r="J71" t="s">
        <v>57</v>
      </c>
      <c r="K71" t="s">
        <v>2538</v>
      </c>
      <c r="L71">
        <v>100</v>
      </c>
      <c r="M71"/>
      <c r="N71" t="s">
        <v>2544</v>
      </c>
      <c r="O71" s="31" t="str">
        <f>HYPERLINK("https://b2b.kobi.pl/pl/product/9470,zarowka-led-es111-15w-gu10-4000k-kobi?currency=PLN")</f>
        <v>https://b2b.kobi.pl/pl/product/9470,zarowka-led-es111-15w-gu10-4000k-kobi?currency=PLN</v>
      </c>
      <c r="P71" s="31" t="str">
        <f>HYPERLINK("https://eprel.ec.europa.eu/qr/659606")</f>
        <v>https://eprel.ec.europa.eu/qr/659606</v>
      </c>
      <c r="Q71"/>
    </row>
    <row r="72" spans="1:17" ht="15" x14ac:dyDescent="0.25">
      <c r="A72" t="s">
        <v>13</v>
      </c>
      <c r="B72" t="s">
        <v>2114</v>
      </c>
      <c r="C72" t="s">
        <v>858</v>
      </c>
      <c r="D72" t="s">
        <v>2166</v>
      </c>
      <c r="E72" t="s">
        <v>2167</v>
      </c>
      <c r="F72" t="s">
        <v>2026</v>
      </c>
      <c r="G72" s="30">
        <v>9.02</v>
      </c>
      <c r="H72" s="29">
        <f>G72*(1-IFERROR(VLOOKUP(F72,Rabat!$D$10:$E$41,2,FALSE),0))</f>
        <v>9.02</v>
      </c>
      <c r="I72" t="s">
        <v>2542</v>
      </c>
      <c r="J72" t="s">
        <v>84</v>
      </c>
      <c r="K72" t="s">
        <v>2538</v>
      </c>
      <c r="L72">
        <v>100</v>
      </c>
      <c r="M72">
        <v>2500</v>
      </c>
      <c r="N72" t="s">
        <v>2544</v>
      </c>
      <c r="O72" s="31" t="str">
        <f>HYPERLINK("https://b2b.kobi.pl/pl/product/9527,zarowka-led-gs-7w-e27-3000k-kobi?currency=PLN")</f>
        <v>https://b2b.kobi.pl/pl/product/9527,zarowka-led-gs-7w-e27-3000k-kobi?currency=PLN</v>
      </c>
      <c r="P72" s="31" t="str">
        <f>HYPERLINK("https://eprel.ec.europa.eu/qr/659843")</f>
        <v>https://eprel.ec.europa.eu/qr/659843</v>
      </c>
      <c r="Q72"/>
    </row>
    <row r="73" spans="1:17" ht="15" x14ac:dyDescent="0.25">
      <c r="A73" t="s">
        <v>13</v>
      </c>
      <c r="B73" t="s">
        <v>2114</v>
      </c>
      <c r="C73" t="s">
        <v>858</v>
      </c>
      <c r="D73" t="s">
        <v>2170</v>
      </c>
      <c r="E73" t="s">
        <v>2171</v>
      </c>
      <c r="F73" t="s">
        <v>2026</v>
      </c>
      <c r="G73" s="30">
        <v>9.02</v>
      </c>
      <c r="H73" s="29">
        <f>G73*(1-IFERROR(VLOOKUP(F73,Rabat!$D$10:$E$41,2,FALSE),0))</f>
        <v>9.02</v>
      </c>
      <c r="I73" t="s">
        <v>2542</v>
      </c>
      <c r="J73" t="s">
        <v>85</v>
      </c>
      <c r="K73" t="s">
        <v>2538</v>
      </c>
      <c r="L73">
        <v>100</v>
      </c>
      <c r="M73">
        <v>2500</v>
      </c>
      <c r="N73" t="s">
        <v>2544</v>
      </c>
      <c r="O73" s="31" t="str">
        <f>HYPERLINK("https://b2b.kobi.pl/pl/product/9528,zarowka-led-gs-7w-e27-4000k-kobi?currency=PLN")</f>
        <v>https://b2b.kobi.pl/pl/product/9528,zarowka-led-gs-7w-e27-4000k-kobi?currency=PLN</v>
      </c>
      <c r="P73" s="31" t="str">
        <f>HYPERLINK("https://eprel.ec.europa.eu/qr/659844")</f>
        <v>https://eprel.ec.europa.eu/qr/659844</v>
      </c>
      <c r="Q73"/>
    </row>
    <row r="74" spans="1:17" ht="15" x14ac:dyDescent="0.25">
      <c r="A74" t="s">
        <v>13</v>
      </c>
      <c r="B74" t="s">
        <v>2114</v>
      </c>
      <c r="C74" t="s">
        <v>858</v>
      </c>
      <c r="D74" t="s">
        <v>2174</v>
      </c>
      <c r="E74" t="s">
        <v>2175</v>
      </c>
      <c r="F74" t="s">
        <v>2026</v>
      </c>
      <c r="G74" s="30">
        <v>9.02</v>
      </c>
      <c r="H74" s="29">
        <f>G74*(1-IFERROR(VLOOKUP(F74,Rabat!$D$10:$E$41,2,FALSE),0))</f>
        <v>9.02</v>
      </c>
      <c r="I74" t="s">
        <v>2542</v>
      </c>
      <c r="J74" t="s">
        <v>86</v>
      </c>
      <c r="K74" t="s">
        <v>2538</v>
      </c>
      <c r="L74">
        <v>100</v>
      </c>
      <c r="M74">
        <v>2500</v>
      </c>
      <c r="N74" t="s">
        <v>2544</v>
      </c>
      <c r="O74" s="31" t="str">
        <f>HYPERLINK("https://b2b.kobi.pl/pl/product/9529,zarowka-led-gs-7w-e27-6000k-kobi?currency=PLN")</f>
        <v>https://b2b.kobi.pl/pl/product/9529,zarowka-led-gs-7w-e27-6000k-kobi?currency=PLN</v>
      </c>
      <c r="P74" s="31" t="str">
        <f>HYPERLINK("https://eprel.ec.europa.eu/qr/659846")</f>
        <v>https://eprel.ec.europa.eu/qr/659846</v>
      </c>
      <c r="Q74"/>
    </row>
    <row r="75" spans="1:17" ht="15" x14ac:dyDescent="0.25">
      <c r="A75" t="s">
        <v>13</v>
      </c>
      <c r="B75" t="s">
        <v>2114</v>
      </c>
      <c r="C75" t="s">
        <v>858</v>
      </c>
      <c r="D75" t="s">
        <v>2190</v>
      </c>
      <c r="E75" t="s">
        <v>2191</v>
      </c>
      <c r="F75" t="s">
        <v>2026</v>
      </c>
      <c r="G75" s="30">
        <v>9.7799999999999994</v>
      </c>
      <c r="H75" s="29">
        <f>G75*(1-IFERROR(VLOOKUP(F75,Rabat!$D$10:$E$41,2,FALSE),0))</f>
        <v>9.7799999999999994</v>
      </c>
      <c r="I75" t="s">
        <v>2542</v>
      </c>
      <c r="J75" t="s">
        <v>97</v>
      </c>
      <c r="K75" t="s">
        <v>2538</v>
      </c>
      <c r="L75">
        <v>100</v>
      </c>
      <c r="M75">
        <v>2500</v>
      </c>
      <c r="N75" t="s">
        <v>2544</v>
      </c>
      <c r="O75" s="31" t="str">
        <f>HYPERLINK("https://b2b.kobi.pl/pl/product/9508,zarowka-led-gs-10w-e27-3000k-kobi?currency=PLN")</f>
        <v>https://b2b.kobi.pl/pl/product/9508,zarowka-led-gs-10w-e27-3000k-kobi?currency=PLN</v>
      </c>
      <c r="P75" s="31" t="str">
        <f>HYPERLINK("https://eprel.ec.europa.eu/qr/659813")</f>
        <v>https://eprel.ec.europa.eu/qr/659813</v>
      </c>
      <c r="Q75"/>
    </row>
    <row r="76" spans="1:17" ht="15" x14ac:dyDescent="0.25">
      <c r="A76" t="s">
        <v>13</v>
      </c>
      <c r="B76" t="s">
        <v>2114</v>
      </c>
      <c r="C76" t="s">
        <v>858</v>
      </c>
      <c r="D76" t="s">
        <v>2192</v>
      </c>
      <c r="E76" t="s">
        <v>2193</v>
      </c>
      <c r="F76" t="s">
        <v>2026</v>
      </c>
      <c r="G76" s="30">
        <v>9.7799999999999994</v>
      </c>
      <c r="H76" s="29">
        <f>G76*(1-IFERROR(VLOOKUP(F76,Rabat!$D$10:$E$41,2,FALSE),0))</f>
        <v>9.7799999999999994</v>
      </c>
      <c r="I76" t="s">
        <v>2542</v>
      </c>
      <c r="J76" t="s">
        <v>98</v>
      </c>
      <c r="K76" t="s">
        <v>2538</v>
      </c>
      <c r="L76">
        <v>100</v>
      </c>
      <c r="M76">
        <v>2500</v>
      </c>
      <c r="N76" t="s">
        <v>2544</v>
      </c>
      <c r="O76" s="31" t="str">
        <f>HYPERLINK("https://b2b.kobi.pl/pl/product/9509,zarowka-led-gs-10w-e27-4000k-kobi?currency=PLN")</f>
        <v>https://b2b.kobi.pl/pl/product/9509,zarowka-led-gs-10w-e27-4000k-kobi?currency=PLN</v>
      </c>
      <c r="P76" s="31" t="str">
        <f>HYPERLINK("https://eprel.ec.europa.eu/qr/659817")</f>
        <v>https://eprel.ec.europa.eu/qr/659817</v>
      </c>
      <c r="Q76"/>
    </row>
    <row r="77" spans="1:17" ht="15" x14ac:dyDescent="0.25">
      <c r="A77" t="s">
        <v>13</v>
      </c>
      <c r="B77" t="s">
        <v>2114</v>
      </c>
      <c r="C77" t="s">
        <v>858</v>
      </c>
      <c r="D77" t="s">
        <v>2194</v>
      </c>
      <c r="E77" t="s">
        <v>2195</v>
      </c>
      <c r="F77" t="s">
        <v>2026</v>
      </c>
      <c r="G77" s="30">
        <v>9.7799999999999994</v>
      </c>
      <c r="H77" s="29">
        <f>G77*(1-IFERROR(VLOOKUP(F77,Rabat!$D$10:$E$41,2,FALSE),0))</f>
        <v>9.7799999999999994</v>
      </c>
      <c r="I77" t="s">
        <v>2542</v>
      </c>
      <c r="J77" t="s">
        <v>99</v>
      </c>
      <c r="K77" t="s">
        <v>2538</v>
      </c>
      <c r="L77">
        <v>100</v>
      </c>
      <c r="M77">
        <v>2500</v>
      </c>
      <c r="N77" t="s">
        <v>2544</v>
      </c>
      <c r="O77" s="31" t="str">
        <f>HYPERLINK("https://b2b.kobi.pl/pl/product/9510,zarowka-led-gs-10w-e27-6000k-kobi?currency=PLN")</f>
        <v>https://b2b.kobi.pl/pl/product/9510,zarowka-led-gs-10w-e27-6000k-kobi?currency=PLN</v>
      </c>
      <c r="P77" s="31" t="str">
        <f>HYPERLINK("https://eprel.ec.europa.eu/qr/659818")</f>
        <v>https://eprel.ec.europa.eu/qr/659818</v>
      </c>
      <c r="Q77"/>
    </row>
    <row r="78" spans="1:17" ht="15" x14ac:dyDescent="0.25">
      <c r="A78" t="s">
        <v>13</v>
      </c>
      <c r="B78" t="s">
        <v>2114</v>
      </c>
      <c r="C78" t="s">
        <v>858</v>
      </c>
      <c r="D78" t="s">
        <v>2198</v>
      </c>
      <c r="E78" t="s">
        <v>2199</v>
      </c>
      <c r="F78" t="s">
        <v>2026</v>
      </c>
      <c r="G78" s="30">
        <v>11.16</v>
      </c>
      <c r="H78" s="29">
        <f>G78*(1-IFERROR(VLOOKUP(F78,Rabat!$D$10:$E$41,2,FALSE),0))</f>
        <v>11.16</v>
      </c>
      <c r="I78" t="s">
        <v>2542</v>
      </c>
      <c r="J78" t="s">
        <v>101</v>
      </c>
      <c r="K78" t="s">
        <v>2538</v>
      </c>
      <c r="L78">
        <v>100</v>
      </c>
      <c r="M78">
        <v>2500</v>
      </c>
      <c r="N78" t="s">
        <v>2544</v>
      </c>
      <c r="O78" s="31" t="str">
        <f>HYPERLINK("https://b2b.kobi.pl/pl/product/9515,zarowka-led-gs-13w-e27-3000k-kobi?currency=PLN")</f>
        <v>https://b2b.kobi.pl/pl/product/9515,zarowka-led-gs-13w-e27-3000k-kobi?currency=PLN</v>
      </c>
      <c r="P78" s="31" t="str">
        <f>HYPERLINK("https://eprel.ec.europa.eu/qr/659821")</f>
        <v>https://eprel.ec.europa.eu/qr/659821</v>
      </c>
      <c r="Q78"/>
    </row>
    <row r="79" spans="1:17" ht="15" x14ac:dyDescent="0.25">
      <c r="A79" t="s">
        <v>13</v>
      </c>
      <c r="B79" t="s">
        <v>2114</v>
      </c>
      <c r="C79" t="s">
        <v>858</v>
      </c>
      <c r="D79" t="s">
        <v>2200</v>
      </c>
      <c r="E79" t="s">
        <v>2201</v>
      </c>
      <c r="F79" t="s">
        <v>2026</v>
      </c>
      <c r="G79" s="30">
        <v>11.16</v>
      </c>
      <c r="H79" s="29">
        <f>G79*(1-IFERROR(VLOOKUP(F79,Rabat!$D$10:$E$41,2,FALSE),0))</f>
        <v>11.16</v>
      </c>
      <c r="I79" t="s">
        <v>2542</v>
      </c>
      <c r="J79" t="s">
        <v>102</v>
      </c>
      <c r="K79" t="s">
        <v>2538</v>
      </c>
      <c r="L79">
        <v>100</v>
      </c>
      <c r="M79">
        <v>2500</v>
      </c>
      <c r="N79" t="s">
        <v>2544</v>
      </c>
      <c r="O79" s="31" t="str">
        <f>HYPERLINK("https://b2b.kobi.pl/pl/product/9517,zarowka-led-gs-13w-e27-4000k-kobi?currency=PLN")</f>
        <v>https://b2b.kobi.pl/pl/product/9517,zarowka-led-gs-13w-e27-4000k-kobi?currency=PLN</v>
      </c>
      <c r="P79" s="31" t="str">
        <f>HYPERLINK("https://eprel.ec.europa.eu/qr/659826")</f>
        <v>https://eprel.ec.europa.eu/qr/659826</v>
      </c>
      <c r="Q79"/>
    </row>
    <row r="80" spans="1:17" ht="15" x14ac:dyDescent="0.25">
      <c r="A80" t="s">
        <v>13</v>
      </c>
      <c r="B80" t="s">
        <v>2114</v>
      </c>
      <c r="C80" t="s">
        <v>858</v>
      </c>
      <c r="D80" t="s">
        <v>2202</v>
      </c>
      <c r="E80" t="s">
        <v>2203</v>
      </c>
      <c r="F80" t="s">
        <v>2026</v>
      </c>
      <c r="G80" s="30">
        <v>11.16</v>
      </c>
      <c r="H80" s="29">
        <f>G80*(1-IFERROR(VLOOKUP(F80,Rabat!$D$10:$E$41,2,FALSE),0))</f>
        <v>11.16</v>
      </c>
      <c r="I80" t="s">
        <v>2542</v>
      </c>
      <c r="J80" t="s">
        <v>103</v>
      </c>
      <c r="K80" t="s">
        <v>2538</v>
      </c>
      <c r="L80">
        <v>100</v>
      </c>
      <c r="M80">
        <v>2500</v>
      </c>
      <c r="N80" t="s">
        <v>2544</v>
      </c>
      <c r="O80" s="31" t="str">
        <f>HYPERLINK("https://b2b.kobi.pl/pl/product/9518,zarowka-led-gs-13w-e27-6000k-kobi?currency=PLN")</f>
        <v>https://b2b.kobi.pl/pl/product/9518,zarowka-led-gs-13w-e27-6000k-kobi?currency=PLN</v>
      </c>
      <c r="P80" s="31" t="str">
        <f>HYPERLINK("https://eprel.ec.europa.eu/qr/659831")</f>
        <v>https://eprel.ec.europa.eu/qr/659831</v>
      </c>
      <c r="Q80"/>
    </row>
    <row r="81" spans="1:17" ht="15" x14ac:dyDescent="0.25">
      <c r="A81" t="s">
        <v>13</v>
      </c>
      <c r="B81" t="s">
        <v>2114</v>
      </c>
      <c r="C81" t="s">
        <v>858</v>
      </c>
      <c r="D81" t="s">
        <v>2204</v>
      </c>
      <c r="E81" t="s">
        <v>2205</v>
      </c>
      <c r="F81" t="s">
        <v>2026</v>
      </c>
      <c r="G81" s="30">
        <v>15.26</v>
      </c>
      <c r="H81" s="29">
        <f>G81*(1-IFERROR(VLOOKUP(F81,Rabat!$D$10:$E$41,2,FALSE),0))</f>
        <v>15.26</v>
      </c>
      <c r="I81" t="s">
        <v>2542</v>
      </c>
      <c r="J81" t="s">
        <v>104</v>
      </c>
      <c r="K81" t="s">
        <v>2538</v>
      </c>
      <c r="L81">
        <v>100</v>
      </c>
      <c r="M81">
        <v>1500</v>
      </c>
      <c r="N81" t="s">
        <v>2544</v>
      </c>
      <c r="O81" s="31" t="str">
        <f>HYPERLINK("https://b2b.kobi.pl/pl/product/9519,zarowka-led-gs-15w-e27-3000k-kobi?currency=PLN")</f>
        <v>https://b2b.kobi.pl/pl/product/9519,zarowka-led-gs-15w-e27-3000k-kobi?currency=PLN</v>
      </c>
      <c r="P81" s="31" t="str">
        <f>HYPERLINK("https://eprel.ec.europa.eu/qr/659833")</f>
        <v>https://eprel.ec.europa.eu/qr/659833</v>
      </c>
      <c r="Q81"/>
    </row>
    <row r="82" spans="1:17" ht="15" x14ac:dyDescent="0.25">
      <c r="A82" t="s">
        <v>13</v>
      </c>
      <c r="B82" t="s">
        <v>2114</v>
      </c>
      <c r="C82" t="s">
        <v>858</v>
      </c>
      <c r="D82" t="s">
        <v>2206</v>
      </c>
      <c r="E82" t="s">
        <v>2207</v>
      </c>
      <c r="F82" t="s">
        <v>2026</v>
      </c>
      <c r="G82" s="30">
        <v>15.26</v>
      </c>
      <c r="H82" s="29">
        <f>G82*(1-IFERROR(VLOOKUP(F82,Rabat!$D$10:$E$41,2,FALSE),0))</f>
        <v>15.26</v>
      </c>
      <c r="I82" t="s">
        <v>2542</v>
      </c>
      <c r="J82" t="s">
        <v>105</v>
      </c>
      <c r="K82" t="s">
        <v>2538</v>
      </c>
      <c r="L82">
        <v>100</v>
      </c>
      <c r="M82">
        <v>1500</v>
      </c>
      <c r="N82" t="s">
        <v>2544</v>
      </c>
      <c r="O82" s="31" t="str">
        <f>HYPERLINK("https://b2b.kobi.pl/pl/product/9521,zarowka-led-gs-15w-e27-4000k-kobi?currency=PLN")</f>
        <v>https://b2b.kobi.pl/pl/product/9521,zarowka-led-gs-15w-e27-4000k-kobi?currency=PLN</v>
      </c>
      <c r="P82" s="31" t="str">
        <f>HYPERLINK("https://eprel.ec.europa.eu/qr/659834")</f>
        <v>https://eprel.ec.europa.eu/qr/659834</v>
      </c>
      <c r="Q82"/>
    </row>
    <row r="83" spans="1:17" ht="15" x14ac:dyDescent="0.25">
      <c r="A83" t="s">
        <v>13</v>
      </c>
      <c r="B83" t="s">
        <v>2114</v>
      </c>
      <c r="C83" t="s">
        <v>858</v>
      </c>
      <c r="D83" t="s">
        <v>2208</v>
      </c>
      <c r="E83" t="s">
        <v>2209</v>
      </c>
      <c r="F83" t="s">
        <v>2026</v>
      </c>
      <c r="G83" s="30">
        <v>15.26</v>
      </c>
      <c r="H83" s="29">
        <f>G83*(1-IFERROR(VLOOKUP(F83,Rabat!$D$10:$E$41,2,FALSE),0))</f>
        <v>15.26</v>
      </c>
      <c r="I83" t="s">
        <v>2542</v>
      </c>
      <c r="J83" t="s">
        <v>106</v>
      </c>
      <c r="K83" t="s">
        <v>2538</v>
      </c>
      <c r="L83">
        <v>100</v>
      </c>
      <c r="M83">
        <v>1500</v>
      </c>
      <c r="N83" t="s">
        <v>2544</v>
      </c>
      <c r="O83" s="31" t="str">
        <f>HYPERLINK("https://b2b.kobi.pl/pl/product/9523,zarowka-led-gs-15w-e27-6000k-kobi?currency=PLN")</f>
        <v>https://b2b.kobi.pl/pl/product/9523,zarowka-led-gs-15w-e27-6000k-kobi?currency=PLN</v>
      </c>
      <c r="P83" s="31" t="str">
        <f>HYPERLINK("https://eprel.ec.europa.eu/qr/659835")</f>
        <v>https://eprel.ec.europa.eu/qr/659835</v>
      </c>
      <c r="Q83"/>
    </row>
    <row r="84" spans="1:17" ht="15" x14ac:dyDescent="0.25">
      <c r="A84" t="s">
        <v>13</v>
      </c>
      <c r="B84" t="s">
        <v>2114</v>
      </c>
      <c r="C84" t="s">
        <v>858</v>
      </c>
      <c r="D84" t="s">
        <v>2210</v>
      </c>
      <c r="E84" t="s">
        <v>2211</v>
      </c>
      <c r="F84" t="s">
        <v>2026</v>
      </c>
      <c r="G84" s="30">
        <v>22.16</v>
      </c>
      <c r="H84" s="29">
        <f>G84*(1-IFERROR(VLOOKUP(F84,Rabat!$D$10:$E$41,2,FALSE),0))</f>
        <v>22.16</v>
      </c>
      <c r="I84" t="s">
        <v>2537</v>
      </c>
      <c r="J84" t="s">
        <v>107</v>
      </c>
      <c r="K84" t="s">
        <v>2538</v>
      </c>
      <c r="L84">
        <v>100</v>
      </c>
      <c r="M84">
        <v>1500</v>
      </c>
      <c r="N84" t="s">
        <v>2544</v>
      </c>
      <c r="O84" s="31" t="str">
        <f>HYPERLINK("https://b2b.kobi.pl/pl/product/9524,zarowka-led-gs-18w-e27-3000k-kobi?currency=PLN")</f>
        <v>https://b2b.kobi.pl/pl/product/9524,zarowka-led-gs-18w-e27-3000k-kobi?currency=PLN</v>
      </c>
      <c r="P84" s="31" t="str">
        <f>HYPERLINK("https://eprel.ec.europa.eu/qr/659839")</f>
        <v>https://eprel.ec.europa.eu/qr/659839</v>
      </c>
      <c r="Q84"/>
    </row>
    <row r="85" spans="1:17" ht="15" x14ac:dyDescent="0.25">
      <c r="A85" t="s">
        <v>13</v>
      </c>
      <c r="B85" t="s">
        <v>2114</v>
      </c>
      <c r="C85" t="s">
        <v>858</v>
      </c>
      <c r="D85" t="s">
        <v>2212</v>
      </c>
      <c r="E85" t="s">
        <v>2213</v>
      </c>
      <c r="F85" t="s">
        <v>2026</v>
      </c>
      <c r="G85" s="30">
        <v>22.16</v>
      </c>
      <c r="H85" s="29">
        <f>G85*(1-IFERROR(VLOOKUP(F85,Rabat!$D$10:$E$41,2,FALSE),0))</f>
        <v>22.16</v>
      </c>
      <c r="I85" t="s">
        <v>2537</v>
      </c>
      <c r="J85" t="s">
        <v>108</v>
      </c>
      <c r="K85" t="s">
        <v>2538</v>
      </c>
      <c r="L85">
        <v>100</v>
      </c>
      <c r="M85">
        <v>1500</v>
      </c>
      <c r="N85" t="s">
        <v>2544</v>
      </c>
      <c r="O85" s="31" t="str">
        <f>HYPERLINK("https://b2b.kobi.pl/pl/product/9525,zarowka-led-gs-18w-e27-4000k-kobi?currency=PLN")</f>
        <v>https://b2b.kobi.pl/pl/product/9525,zarowka-led-gs-18w-e27-4000k-kobi?currency=PLN</v>
      </c>
      <c r="P85" s="31" t="str">
        <f>HYPERLINK("https://eprel.ec.europa.eu/qr/659840")</f>
        <v>https://eprel.ec.europa.eu/qr/659840</v>
      </c>
      <c r="Q85"/>
    </row>
    <row r="86" spans="1:17" ht="15" x14ac:dyDescent="0.25">
      <c r="A86" t="s">
        <v>13</v>
      </c>
      <c r="B86" t="s">
        <v>2114</v>
      </c>
      <c r="C86" t="s">
        <v>858</v>
      </c>
      <c r="D86" t="s">
        <v>2214</v>
      </c>
      <c r="E86" t="s">
        <v>2215</v>
      </c>
      <c r="F86" t="s">
        <v>2026</v>
      </c>
      <c r="G86" s="30">
        <v>22.16</v>
      </c>
      <c r="H86" s="29">
        <f>G86*(1-IFERROR(VLOOKUP(F86,Rabat!$D$10:$E$41,2,FALSE),0))</f>
        <v>22.16</v>
      </c>
      <c r="I86" t="s">
        <v>2537</v>
      </c>
      <c r="J86" t="s">
        <v>109</v>
      </c>
      <c r="K86" t="s">
        <v>2538</v>
      </c>
      <c r="L86">
        <v>100</v>
      </c>
      <c r="M86">
        <v>1500</v>
      </c>
      <c r="N86" t="s">
        <v>2544</v>
      </c>
      <c r="O86" s="31" t="str">
        <f>HYPERLINK("https://b2b.kobi.pl/pl/product/9526,zarowka-led-gs-18w-e27-6000k-kobi?currency=PLN")</f>
        <v>https://b2b.kobi.pl/pl/product/9526,zarowka-led-gs-18w-e27-6000k-kobi?currency=PLN</v>
      </c>
      <c r="P86" s="31" t="str">
        <f>HYPERLINK("https://eprel.ec.europa.eu/qr/659841")</f>
        <v>https://eprel.ec.europa.eu/qr/659841</v>
      </c>
      <c r="Q86"/>
    </row>
    <row r="87" spans="1:17" ht="15" x14ac:dyDescent="0.25">
      <c r="A87" t="s">
        <v>13</v>
      </c>
      <c r="B87" t="s">
        <v>2114</v>
      </c>
      <c r="C87" t="s">
        <v>44</v>
      </c>
      <c r="D87" t="s">
        <v>2168</v>
      </c>
      <c r="E87" t="s">
        <v>2169</v>
      </c>
      <c r="F87" t="s">
        <v>2026</v>
      </c>
      <c r="G87" s="30">
        <v>5</v>
      </c>
      <c r="H87" s="29">
        <f>G87*(1-IFERROR(VLOOKUP(F87,Rabat!$D$10:$E$41,2,FALSE),0))</f>
        <v>5</v>
      </c>
      <c r="I87" t="s">
        <v>2542</v>
      </c>
      <c r="J87" t="s">
        <v>87</v>
      </c>
      <c r="K87" t="s">
        <v>2538</v>
      </c>
      <c r="L87">
        <v>100</v>
      </c>
      <c r="M87">
        <v>2500</v>
      </c>
      <c r="N87" t="s">
        <v>2544</v>
      </c>
      <c r="O87" s="31" t="str">
        <f>HYPERLINK("https://b2b.kobi.pl/pl/product/9605,zarowka-led-gs-7w-e27-3000k-led2b?currency=PLN")</f>
        <v>https://b2b.kobi.pl/pl/product/9605,zarowka-led-gs-7w-e27-3000k-led2b?currency=PLN</v>
      </c>
      <c r="P87" s="31" t="str">
        <f>HYPERLINK("https://eprel.ec.europa.eu/qr/660288")</f>
        <v>https://eprel.ec.europa.eu/qr/660288</v>
      </c>
      <c r="Q87" t="s">
        <v>2700</v>
      </c>
    </row>
    <row r="88" spans="1:17" ht="15" x14ac:dyDescent="0.25">
      <c r="A88" t="s">
        <v>13</v>
      </c>
      <c r="B88" t="s">
        <v>2114</v>
      </c>
      <c r="C88" t="s">
        <v>44</v>
      </c>
      <c r="D88" t="s">
        <v>2172</v>
      </c>
      <c r="E88" t="s">
        <v>2173</v>
      </c>
      <c r="F88" t="s">
        <v>2026</v>
      </c>
      <c r="G88" s="30">
        <v>5</v>
      </c>
      <c r="H88" s="29">
        <f>G88*(1-IFERROR(VLOOKUP(F88,Rabat!$D$10:$E$41,2,FALSE),0))</f>
        <v>5</v>
      </c>
      <c r="I88" t="s">
        <v>2542</v>
      </c>
      <c r="J88" t="s">
        <v>88</v>
      </c>
      <c r="K88" t="s">
        <v>2538</v>
      </c>
      <c r="L88">
        <v>100</v>
      </c>
      <c r="M88">
        <v>3000</v>
      </c>
      <c r="N88" t="s">
        <v>2544</v>
      </c>
      <c r="O88" s="31" t="str">
        <f>HYPERLINK("https://b2b.kobi.pl/pl/product/9606,zarowka-led-gs-7w-e27-4000k-led2b?currency=PLN")</f>
        <v>https://b2b.kobi.pl/pl/product/9606,zarowka-led-gs-7w-e27-4000k-led2b?currency=PLN</v>
      </c>
      <c r="P88" s="31" t="str">
        <f>HYPERLINK("https://eprel.ec.europa.eu/qr/660289")</f>
        <v>https://eprel.ec.europa.eu/qr/660289</v>
      </c>
      <c r="Q88" t="s">
        <v>2700</v>
      </c>
    </row>
    <row r="89" spans="1:17" ht="15" x14ac:dyDescent="0.25">
      <c r="A89" t="s">
        <v>13</v>
      </c>
      <c r="B89" t="s">
        <v>2114</v>
      </c>
      <c r="C89" t="s">
        <v>44</v>
      </c>
      <c r="D89" t="s">
        <v>2176</v>
      </c>
      <c r="E89" t="s">
        <v>2177</v>
      </c>
      <c r="F89" t="s">
        <v>2026</v>
      </c>
      <c r="G89" s="30">
        <v>5</v>
      </c>
      <c r="H89" s="29">
        <f>G89*(1-IFERROR(VLOOKUP(F89,Rabat!$D$10:$E$41,2,FALSE),0))</f>
        <v>5</v>
      </c>
      <c r="I89" t="s">
        <v>2542</v>
      </c>
      <c r="J89" t="s">
        <v>89</v>
      </c>
      <c r="K89" t="s">
        <v>2538</v>
      </c>
      <c r="L89">
        <v>100</v>
      </c>
      <c r="M89">
        <v>2500</v>
      </c>
      <c r="N89" t="s">
        <v>2544</v>
      </c>
      <c r="O89" s="31" t="str">
        <f>HYPERLINK("https://b2b.kobi.pl/pl/product/9607,zarowka-led-gs-7w-e27-6500k-led2b?currency=PLN")</f>
        <v>https://b2b.kobi.pl/pl/product/9607,zarowka-led-gs-7w-e27-6500k-led2b?currency=PLN</v>
      </c>
      <c r="P89" s="31" t="str">
        <f>HYPERLINK("https://eprel.ec.europa.eu/qr/660290")</f>
        <v>https://eprel.ec.europa.eu/qr/660290</v>
      </c>
      <c r="Q89" t="s">
        <v>2700</v>
      </c>
    </row>
    <row r="90" spans="1:17" ht="15" x14ac:dyDescent="0.25">
      <c r="A90" t="s">
        <v>13</v>
      </c>
      <c r="B90" t="s">
        <v>2114</v>
      </c>
      <c r="C90" t="s">
        <v>44</v>
      </c>
      <c r="D90" t="s">
        <v>2178</v>
      </c>
      <c r="E90" t="s">
        <v>2179</v>
      </c>
      <c r="F90" t="s">
        <v>2026</v>
      </c>
      <c r="G90" s="30">
        <v>5.2</v>
      </c>
      <c r="H90" s="29">
        <f>G90*(1-IFERROR(VLOOKUP(F90,Rabat!$D$10:$E$41,2,FALSE),0))</f>
        <v>5.2</v>
      </c>
      <c r="I90" t="s">
        <v>2542</v>
      </c>
      <c r="J90" t="s">
        <v>90</v>
      </c>
      <c r="K90" t="s">
        <v>2538</v>
      </c>
      <c r="L90">
        <v>100</v>
      </c>
      <c r="M90">
        <v>3000</v>
      </c>
      <c r="N90" t="s">
        <v>2544</v>
      </c>
      <c r="O90" s="31" t="str">
        <f>HYPERLINK("https://b2b.kobi.pl/pl/product/9608,zarowka-led-gs-8-5w-e27-3000k-led2b?currency=PLN")</f>
        <v>https://b2b.kobi.pl/pl/product/9608,zarowka-led-gs-8-5w-e27-3000k-led2b?currency=PLN</v>
      </c>
      <c r="P90" s="31" t="str">
        <f>HYPERLINK("https://eprel.ec.europa.eu/qr/1543370")</f>
        <v>https://eprel.ec.europa.eu/qr/1543370</v>
      </c>
      <c r="Q90"/>
    </row>
    <row r="91" spans="1:17" ht="15" x14ac:dyDescent="0.25">
      <c r="A91" t="s">
        <v>13</v>
      </c>
      <c r="B91" t="s">
        <v>2114</v>
      </c>
      <c r="C91" t="s">
        <v>44</v>
      </c>
      <c r="D91" t="s">
        <v>2180</v>
      </c>
      <c r="E91" t="s">
        <v>2181</v>
      </c>
      <c r="F91" t="s">
        <v>2026</v>
      </c>
      <c r="G91" s="30">
        <v>5.2</v>
      </c>
      <c r="H91" s="29">
        <f>G91*(1-IFERROR(VLOOKUP(F91,Rabat!$D$10:$E$41,2,FALSE),0))</f>
        <v>5.2</v>
      </c>
      <c r="I91" t="s">
        <v>2542</v>
      </c>
      <c r="J91" t="s">
        <v>91</v>
      </c>
      <c r="K91" t="s">
        <v>2538</v>
      </c>
      <c r="L91">
        <v>100</v>
      </c>
      <c r="M91">
        <v>3000</v>
      </c>
      <c r="N91" t="s">
        <v>2544</v>
      </c>
      <c r="O91" s="31" t="str">
        <f>HYPERLINK("https://b2b.kobi.pl/pl/product/9609,zarowka-led-gs-8-5w-e27-4000k-led2b?currency=PLN")</f>
        <v>https://b2b.kobi.pl/pl/product/9609,zarowka-led-gs-8-5w-e27-4000k-led2b?currency=PLN</v>
      </c>
      <c r="P91" s="31" t="str">
        <f>HYPERLINK("https://eprel.ec.europa.eu/qr/1543382")</f>
        <v>https://eprel.ec.europa.eu/qr/1543382</v>
      </c>
      <c r="Q91"/>
    </row>
    <row r="92" spans="1:17" ht="15" x14ac:dyDescent="0.25">
      <c r="A92" t="s">
        <v>13</v>
      </c>
      <c r="B92" t="s">
        <v>2114</v>
      </c>
      <c r="C92" t="s">
        <v>44</v>
      </c>
      <c r="D92" t="s">
        <v>2182</v>
      </c>
      <c r="E92" t="s">
        <v>2183</v>
      </c>
      <c r="F92" t="s">
        <v>2026</v>
      </c>
      <c r="G92" s="30">
        <v>5.2</v>
      </c>
      <c r="H92" s="29">
        <f>G92*(1-IFERROR(VLOOKUP(F92,Rabat!$D$10:$E$41,2,FALSE),0))</f>
        <v>5.2</v>
      </c>
      <c r="I92" t="s">
        <v>2542</v>
      </c>
      <c r="J92" t="s">
        <v>92</v>
      </c>
      <c r="K92" t="s">
        <v>2538</v>
      </c>
      <c r="L92">
        <v>100</v>
      </c>
      <c r="M92">
        <v>3000</v>
      </c>
      <c r="N92" t="s">
        <v>2544</v>
      </c>
      <c r="O92" s="31" t="str">
        <f>HYPERLINK("https://b2b.kobi.pl/pl/product/9610,zarowka-led-gs-8-5w-e27-6500k-led2b?currency=PLN")</f>
        <v>https://b2b.kobi.pl/pl/product/9610,zarowka-led-gs-8-5w-e27-6500k-led2b?currency=PLN</v>
      </c>
      <c r="P92" s="31" t="str">
        <f>HYPERLINK("https://eprel.ec.europa.eu/qr/1621200")</f>
        <v>https://eprel.ec.europa.eu/qr/1621200</v>
      </c>
      <c r="Q92"/>
    </row>
    <row r="93" spans="1:17" ht="15" x14ac:dyDescent="0.25">
      <c r="A93" t="s">
        <v>13</v>
      </c>
      <c r="B93" t="s">
        <v>2114</v>
      </c>
      <c r="C93" t="s">
        <v>44</v>
      </c>
      <c r="D93" t="s">
        <v>2436</v>
      </c>
      <c r="E93" t="s">
        <v>2437</v>
      </c>
      <c r="F93" t="s">
        <v>2026</v>
      </c>
      <c r="G93" s="30">
        <v>8.99</v>
      </c>
      <c r="H93" s="29">
        <f>G93*(1-IFERROR(VLOOKUP(F93,Rabat!$D$10:$E$41,2,FALSE),0))</f>
        <v>8.99</v>
      </c>
      <c r="I93" t="s">
        <v>2540</v>
      </c>
      <c r="J93" t="s">
        <v>2647</v>
      </c>
      <c r="K93" t="s">
        <v>2538</v>
      </c>
      <c r="L93">
        <v>100</v>
      </c>
      <c r="M93">
        <v>2500</v>
      </c>
      <c r="N93" t="s">
        <v>2544</v>
      </c>
      <c r="O93"/>
      <c r="P93" s="31" t="str">
        <f>HYPERLINK("https://eprel.ec.europa.eu/qr/908977")</f>
        <v>https://eprel.ec.europa.eu/qr/908977</v>
      </c>
      <c r="Q93" t="s">
        <v>2700</v>
      </c>
    </row>
    <row r="94" spans="1:17" ht="15" x14ac:dyDescent="0.25">
      <c r="A94" t="s">
        <v>13</v>
      </c>
      <c r="B94" t="s">
        <v>2114</v>
      </c>
      <c r="C94" t="s">
        <v>44</v>
      </c>
      <c r="D94" t="s">
        <v>2184</v>
      </c>
      <c r="E94" t="s">
        <v>2185</v>
      </c>
      <c r="F94" t="s">
        <v>2026</v>
      </c>
      <c r="G94" s="30">
        <v>7.9</v>
      </c>
      <c r="H94" s="29">
        <f>G94*(1-IFERROR(VLOOKUP(F94,Rabat!$D$10:$E$41,2,FALSE),0))</f>
        <v>7.9</v>
      </c>
      <c r="I94" t="s">
        <v>2542</v>
      </c>
      <c r="J94" t="s">
        <v>756</v>
      </c>
      <c r="K94" t="s">
        <v>2538</v>
      </c>
      <c r="L94">
        <v>100</v>
      </c>
      <c r="M94"/>
      <c r="N94" t="s">
        <v>2544</v>
      </c>
      <c r="O94" s="31" t="str">
        <f>HYPERLINK("https://b2b.kobi.pl/pl/product/9591,zarowka-led-gs-10-5w-e27-3000k-led2b?currency=PLN")</f>
        <v>https://b2b.kobi.pl/pl/product/9591,zarowka-led-gs-10-5w-e27-3000k-led2b?currency=PLN</v>
      </c>
      <c r="P94" s="31" t="str">
        <f>HYPERLINK("https://eprel.ec.europa.eu/qr/2087443")</f>
        <v>https://eprel.ec.europa.eu/qr/2087443</v>
      </c>
      <c r="Q94"/>
    </row>
    <row r="95" spans="1:17" ht="15" x14ac:dyDescent="0.25">
      <c r="A95" t="s">
        <v>13</v>
      </c>
      <c r="B95" t="s">
        <v>2114</v>
      </c>
      <c r="C95" t="s">
        <v>44</v>
      </c>
      <c r="D95" t="s">
        <v>2186</v>
      </c>
      <c r="E95" t="s">
        <v>2187</v>
      </c>
      <c r="F95" t="s">
        <v>2026</v>
      </c>
      <c r="G95" s="30">
        <v>7.9</v>
      </c>
      <c r="H95" s="29">
        <f>G95*(1-IFERROR(VLOOKUP(F95,Rabat!$D$10:$E$41,2,FALSE),0))</f>
        <v>7.9</v>
      </c>
      <c r="I95" t="s">
        <v>2542</v>
      </c>
      <c r="J95" t="s">
        <v>757</v>
      </c>
      <c r="K95" t="s">
        <v>2538</v>
      </c>
      <c r="L95">
        <v>100</v>
      </c>
      <c r="M95"/>
      <c r="N95" t="s">
        <v>2544</v>
      </c>
      <c r="O95" s="31" t="str">
        <f>HYPERLINK("https://b2b.kobi.pl/pl/product/9592,zarowka-led-gs-10-5w-e27-4000k-led2b?currency=PLN")</f>
        <v>https://b2b.kobi.pl/pl/product/9592,zarowka-led-gs-10-5w-e27-4000k-led2b?currency=PLN</v>
      </c>
      <c r="P95" s="31" t="str">
        <f>HYPERLINK("https://eprel.ec.europa.eu/qr/2087413")</f>
        <v>https://eprel.ec.europa.eu/qr/2087413</v>
      </c>
      <c r="Q95"/>
    </row>
    <row r="96" spans="1:17" ht="15" x14ac:dyDescent="0.25">
      <c r="A96" t="s">
        <v>13</v>
      </c>
      <c r="B96" t="s">
        <v>2114</v>
      </c>
      <c r="C96" t="s">
        <v>44</v>
      </c>
      <c r="D96" t="s">
        <v>2188</v>
      </c>
      <c r="E96" t="s">
        <v>2189</v>
      </c>
      <c r="F96" t="s">
        <v>2026</v>
      </c>
      <c r="G96" s="30">
        <v>7.9</v>
      </c>
      <c r="H96" s="29">
        <f>G96*(1-IFERROR(VLOOKUP(F96,Rabat!$D$10:$E$41,2,FALSE),0))</f>
        <v>7.9</v>
      </c>
      <c r="I96" t="s">
        <v>2542</v>
      </c>
      <c r="J96" t="s">
        <v>667</v>
      </c>
      <c r="K96" t="s">
        <v>2538</v>
      </c>
      <c r="L96">
        <v>100</v>
      </c>
      <c r="M96">
        <v>2500</v>
      </c>
      <c r="N96" t="s">
        <v>2544</v>
      </c>
      <c r="O96" s="31" t="str">
        <f>HYPERLINK("https://b2b.kobi.pl/pl/product/9593,zarowka-led-gs-10-5w-e27-6500k-led2b?currency=PLN")</f>
        <v>https://b2b.kobi.pl/pl/product/9593,zarowka-led-gs-10-5w-e27-6500k-led2b?currency=PLN</v>
      </c>
      <c r="P96" s="31" t="str">
        <f>HYPERLINK("https://eprel.ec.europa.eu/qr/2044294")</f>
        <v>https://eprel.ec.europa.eu/qr/2044294</v>
      </c>
      <c r="Q96"/>
    </row>
    <row r="97" spans="1:17" ht="15" x14ac:dyDescent="0.25">
      <c r="A97" t="s">
        <v>13</v>
      </c>
      <c r="B97" t="s">
        <v>2114</v>
      </c>
      <c r="C97" t="s">
        <v>44</v>
      </c>
      <c r="D97" t="s">
        <v>2196</v>
      </c>
      <c r="E97" t="s">
        <v>2197</v>
      </c>
      <c r="F97" t="s">
        <v>2026</v>
      </c>
      <c r="G97" s="30">
        <v>8</v>
      </c>
      <c r="H97" s="29">
        <f>G97*(1-IFERROR(VLOOKUP(F97,Rabat!$D$10:$E$41,2,FALSE),0))</f>
        <v>8</v>
      </c>
      <c r="I97" t="s">
        <v>2540</v>
      </c>
      <c r="J97" t="s">
        <v>100</v>
      </c>
      <c r="K97" t="s">
        <v>2538</v>
      </c>
      <c r="L97">
        <v>100</v>
      </c>
      <c r="M97">
        <v>2500</v>
      </c>
      <c r="N97" t="s">
        <v>2544</v>
      </c>
      <c r="O97" s="31" t="str">
        <f>HYPERLINK("https://b2b.kobi.pl/pl/product/9599,zarowka-led-gs-11w-e27-3000k-led2b?currency=PLN")</f>
        <v>https://b2b.kobi.pl/pl/product/9599,zarowka-led-gs-11w-e27-3000k-led2b?currency=PLN</v>
      </c>
      <c r="P97" s="31" t="str">
        <f>HYPERLINK("https://eprel.ec.europa.eu/qr/758824")</f>
        <v>https://eprel.ec.europa.eu/qr/758824</v>
      </c>
      <c r="Q97" t="s">
        <v>2700</v>
      </c>
    </row>
    <row r="98" spans="1:17" ht="15" x14ac:dyDescent="0.25">
      <c r="A98" t="s">
        <v>13</v>
      </c>
      <c r="B98" t="s">
        <v>2114</v>
      </c>
      <c r="C98" t="s">
        <v>44</v>
      </c>
      <c r="D98" t="s">
        <v>2438</v>
      </c>
      <c r="E98" t="s">
        <v>2439</v>
      </c>
      <c r="F98" t="s">
        <v>2026</v>
      </c>
      <c r="G98" s="30">
        <v>10.8</v>
      </c>
      <c r="H98" s="29">
        <f>G98*(1-IFERROR(VLOOKUP(F98,Rabat!$D$10:$E$41,2,FALSE),0))</f>
        <v>10.8</v>
      </c>
      <c r="I98" t="s">
        <v>2540</v>
      </c>
      <c r="J98" t="s">
        <v>2648</v>
      </c>
      <c r="K98" t="s">
        <v>2538</v>
      </c>
      <c r="L98">
        <v>100</v>
      </c>
      <c r="M98">
        <v>2500</v>
      </c>
      <c r="N98" t="s">
        <v>2544</v>
      </c>
      <c r="O98" s="31" t="str">
        <f>HYPERLINK("https://b2b.kobi.pl/pl/product/9604,zarowka-led-gs-12w-e27-6000k-led2b?currency=PLN")</f>
        <v>https://b2b.kobi.pl/pl/product/9604,zarowka-led-gs-12w-e27-6000k-led2b?currency=PLN</v>
      </c>
      <c r="P98" s="31" t="str">
        <f>HYPERLINK("https://eprel.ec.europa.eu/qr/909402")</f>
        <v>https://eprel.ec.europa.eu/qr/909402</v>
      </c>
      <c r="Q98" t="s">
        <v>2700</v>
      </c>
    </row>
    <row r="99" spans="1:17" ht="15" x14ac:dyDescent="0.25">
      <c r="A99" t="s">
        <v>13</v>
      </c>
      <c r="B99" t="s">
        <v>2114</v>
      </c>
      <c r="C99" t="s">
        <v>840</v>
      </c>
      <c r="D99" t="s">
        <v>2419</v>
      </c>
      <c r="E99" t="s">
        <v>2420</v>
      </c>
      <c r="F99" t="s">
        <v>2026</v>
      </c>
      <c r="G99" s="30">
        <v>32.99</v>
      </c>
      <c r="H99" s="29">
        <f>G99*(1-IFERROR(VLOOKUP(F99,Rabat!$D$10:$E$41,2,FALSE),0))</f>
        <v>32.99</v>
      </c>
      <c r="I99" t="s">
        <v>2542</v>
      </c>
      <c r="J99" t="s">
        <v>95</v>
      </c>
      <c r="K99" t="s">
        <v>2538</v>
      </c>
      <c r="L99">
        <v>100</v>
      </c>
      <c r="M99">
        <v>2500</v>
      </c>
      <c r="N99" t="s">
        <v>2545</v>
      </c>
      <c r="O99" s="31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99" s="31" t="str">
        <f>HYPERLINK("https://eprel.ec.europa.eu/qr/763786")</f>
        <v>https://eprel.ec.europa.eu/qr/763786</v>
      </c>
      <c r="Q99"/>
    </row>
    <row r="100" spans="1:17" ht="15" x14ac:dyDescent="0.25">
      <c r="A100" t="s">
        <v>13</v>
      </c>
      <c r="B100" t="s">
        <v>2114</v>
      </c>
      <c r="C100" t="s">
        <v>840</v>
      </c>
      <c r="D100" t="s">
        <v>2415</v>
      </c>
      <c r="E100" t="s">
        <v>2416</v>
      </c>
      <c r="F100" t="s">
        <v>2026</v>
      </c>
      <c r="G100" s="30">
        <v>32.99</v>
      </c>
      <c r="H100" s="29">
        <f>G100*(1-IFERROR(VLOOKUP(F100,Rabat!$D$10:$E$41,2,FALSE),0))</f>
        <v>32.99</v>
      </c>
      <c r="I100" t="s">
        <v>2542</v>
      </c>
      <c r="J100" t="s">
        <v>93</v>
      </c>
      <c r="K100" t="s">
        <v>2538</v>
      </c>
      <c r="L100">
        <v>100</v>
      </c>
      <c r="M100">
        <v>2500</v>
      </c>
      <c r="N100" t="s">
        <v>2545</v>
      </c>
      <c r="O100" s="31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100" s="31" t="str">
        <f>HYPERLINK("https://eprel.ec.europa.eu/qr/659853")</f>
        <v>https://eprel.ec.europa.eu/qr/659853</v>
      </c>
      <c r="Q100"/>
    </row>
    <row r="101" spans="1:17" ht="15" x14ac:dyDescent="0.25">
      <c r="A101" t="s">
        <v>13</v>
      </c>
      <c r="B101" t="s">
        <v>2114</v>
      </c>
      <c r="C101" t="s">
        <v>840</v>
      </c>
      <c r="D101" t="s">
        <v>2417</v>
      </c>
      <c r="E101" t="s">
        <v>2418</v>
      </c>
      <c r="F101" t="s">
        <v>2026</v>
      </c>
      <c r="G101" s="30">
        <v>32.99</v>
      </c>
      <c r="H101" s="29">
        <f>G101*(1-IFERROR(VLOOKUP(F101,Rabat!$D$10:$E$41,2,FALSE),0))</f>
        <v>32.99</v>
      </c>
      <c r="I101" t="s">
        <v>2542</v>
      </c>
      <c r="J101" t="s">
        <v>94</v>
      </c>
      <c r="K101" t="s">
        <v>2538</v>
      </c>
      <c r="L101">
        <v>100</v>
      </c>
      <c r="M101">
        <v>2500</v>
      </c>
      <c r="N101" t="s">
        <v>2545</v>
      </c>
      <c r="O101" s="31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1" s="31" t="str">
        <f>HYPERLINK("https://eprel.ec.europa.eu/qr/763782")</f>
        <v>https://eprel.ec.europa.eu/qr/763782</v>
      </c>
      <c r="Q101"/>
    </row>
    <row r="102" spans="1:17" ht="15" x14ac:dyDescent="0.25">
      <c r="A102" t="s">
        <v>13</v>
      </c>
      <c r="B102" t="s">
        <v>2114</v>
      </c>
      <c r="C102" t="s">
        <v>858</v>
      </c>
      <c r="D102" t="s">
        <v>2272</v>
      </c>
      <c r="E102" t="s">
        <v>2273</v>
      </c>
      <c r="F102" t="s">
        <v>2026</v>
      </c>
      <c r="G102" s="30">
        <v>9.33</v>
      </c>
      <c r="H102" s="29">
        <f>G102*(1-IFERROR(VLOOKUP(F102,Rabat!$D$10:$E$41,2,FALSE),0))</f>
        <v>9.33</v>
      </c>
      <c r="I102" t="s">
        <v>2542</v>
      </c>
      <c r="J102" t="s">
        <v>135</v>
      </c>
      <c r="K102" t="s">
        <v>2538</v>
      </c>
      <c r="L102">
        <v>100</v>
      </c>
      <c r="M102">
        <v>4800</v>
      </c>
      <c r="N102" t="s">
        <v>2544</v>
      </c>
      <c r="O102" s="31" t="str">
        <f>HYPERLINK("https://b2b.kobi.pl/pl/product/9662,zarowka-led-mb-4-5w-e14-3000k-kobi?currency=PLN")</f>
        <v>https://b2b.kobi.pl/pl/product/9662,zarowka-led-mb-4-5w-e14-3000k-kobi?currency=PLN</v>
      </c>
      <c r="P102" s="31" t="str">
        <f>HYPERLINK("https://eprel.ec.europa.eu/qr/660644")</f>
        <v>https://eprel.ec.europa.eu/qr/660644</v>
      </c>
      <c r="Q102"/>
    </row>
    <row r="103" spans="1:17" ht="15" x14ac:dyDescent="0.25">
      <c r="A103" t="s">
        <v>13</v>
      </c>
      <c r="B103" t="s">
        <v>2114</v>
      </c>
      <c r="C103" t="s">
        <v>858</v>
      </c>
      <c r="D103" t="s">
        <v>2274</v>
      </c>
      <c r="E103" t="s">
        <v>2275</v>
      </c>
      <c r="F103" t="s">
        <v>2026</v>
      </c>
      <c r="G103" s="30">
        <v>9.33</v>
      </c>
      <c r="H103" s="29">
        <f>G103*(1-IFERROR(VLOOKUP(F103,Rabat!$D$10:$E$41,2,FALSE),0))</f>
        <v>9.33</v>
      </c>
      <c r="I103" t="s">
        <v>2542</v>
      </c>
      <c r="J103" t="s">
        <v>136</v>
      </c>
      <c r="K103" t="s">
        <v>2538</v>
      </c>
      <c r="L103">
        <v>100</v>
      </c>
      <c r="M103">
        <v>4800</v>
      </c>
      <c r="N103" t="s">
        <v>2544</v>
      </c>
      <c r="O103" s="31" t="str">
        <f>HYPERLINK("https://b2b.kobi.pl/pl/product/9663,zarowka-led-mb-4-5w-e14-4000k-kobi?currency=PLN")</f>
        <v>https://b2b.kobi.pl/pl/product/9663,zarowka-led-mb-4-5w-e14-4000k-kobi?currency=PLN</v>
      </c>
      <c r="P103" s="31" t="str">
        <f>HYPERLINK("https://eprel.ec.europa.eu/qr/660645")</f>
        <v>https://eprel.ec.europa.eu/qr/660645</v>
      </c>
      <c r="Q103"/>
    </row>
    <row r="104" spans="1:17" ht="15" x14ac:dyDescent="0.25">
      <c r="A104" t="s">
        <v>13</v>
      </c>
      <c r="B104" t="s">
        <v>2114</v>
      </c>
      <c r="C104" t="s">
        <v>858</v>
      </c>
      <c r="D104" t="s">
        <v>2276</v>
      </c>
      <c r="E104" t="s">
        <v>2277</v>
      </c>
      <c r="F104" t="s">
        <v>2026</v>
      </c>
      <c r="G104" s="30">
        <v>9.33</v>
      </c>
      <c r="H104" s="29">
        <f>G104*(1-IFERROR(VLOOKUP(F104,Rabat!$D$10:$E$41,2,FALSE),0))</f>
        <v>9.33</v>
      </c>
      <c r="I104" t="s">
        <v>2542</v>
      </c>
      <c r="J104" t="s">
        <v>137</v>
      </c>
      <c r="K104" t="s">
        <v>2538</v>
      </c>
      <c r="L104">
        <v>100</v>
      </c>
      <c r="M104">
        <v>4800</v>
      </c>
      <c r="N104" t="s">
        <v>2544</v>
      </c>
      <c r="O104" s="31" t="str">
        <f>HYPERLINK("https://b2b.kobi.pl/pl/product/9664,zarowka-led-mb-4-5w-e14-6000k-kobi?currency=PLN")</f>
        <v>https://b2b.kobi.pl/pl/product/9664,zarowka-led-mb-4-5w-e14-6000k-kobi?currency=PLN</v>
      </c>
      <c r="P104" s="31" t="str">
        <f>HYPERLINK("https://eprel.ec.europa.eu/qr/660647")</f>
        <v>https://eprel.ec.europa.eu/qr/660647</v>
      </c>
      <c r="Q104"/>
    </row>
    <row r="105" spans="1:17" ht="15" x14ac:dyDescent="0.25">
      <c r="A105" t="s">
        <v>13</v>
      </c>
      <c r="B105" t="s">
        <v>2114</v>
      </c>
      <c r="C105" t="s">
        <v>858</v>
      </c>
      <c r="D105" t="s">
        <v>2278</v>
      </c>
      <c r="E105" t="s">
        <v>2279</v>
      </c>
      <c r="F105" t="s">
        <v>2026</v>
      </c>
      <c r="G105" s="30">
        <v>9.33</v>
      </c>
      <c r="H105" s="29">
        <f>G105*(1-IFERROR(VLOOKUP(F105,Rabat!$D$10:$E$41,2,FALSE),0))</f>
        <v>9.33</v>
      </c>
      <c r="I105" t="s">
        <v>2542</v>
      </c>
      <c r="J105" t="s">
        <v>146</v>
      </c>
      <c r="K105" t="s">
        <v>2538</v>
      </c>
      <c r="L105">
        <v>100</v>
      </c>
      <c r="M105">
        <v>4800</v>
      </c>
      <c r="N105" t="s">
        <v>2544</v>
      </c>
      <c r="O105" s="31" t="str">
        <f>HYPERLINK("https://b2b.kobi.pl/pl/product/9671,zarowka-led-mb-4-5w-e27-3000k-kobi?currency=PLN")</f>
        <v>https://b2b.kobi.pl/pl/product/9671,zarowka-led-mb-4-5w-e27-3000k-kobi?currency=PLN</v>
      </c>
      <c r="P105" s="31" t="str">
        <f>HYPERLINK("https://eprel.ec.europa.eu/qr/660665")</f>
        <v>https://eprel.ec.europa.eu/qr/660665</v>
      </c>
      <c r="Q105"/>
    </row>
    <row r="106" spans="1:17" ht="15" x14ac:dyDescent="0.25">
      <c r="A106" t="s">
        <v>13</v>
      </c>
      <c r="B106" t="s">
        <v>2114</v>
      </c>
      <c r="C106" t="s">
        <v>858</v>
      </c>
      <c r="D106" t="s">
        <v>2280</v>
      </c>
      <c r="E106" t="s">
        <v>2281</v>
      </c>
      <c r="F106" t="s">
        <v>2026</v>
      </c>
      <c r="G106" s="30">
        <v>9.33</v>
      </c>
      <c r="H106" s="29">
        <f>G106*(1-IFERROR(VLOOKUP(F106,Rabat!$D$10:$E$41,2,FALSE),0))</f>
        <v>9.33</v>
      </c>
      <c r="I106" t="s">
        <v>2542</v>
      </c>
      <c r="J106" t="s">
        <v>147</v>
      </c>
      <c r="K106" t="s">
        <v>2538</v>
      </c>
      <c r="L106">
        <v>100</v>
      </c>
      <c r="M106">
        <v>4800</v>
      </c>
      <c r="N106" t="s">
        <v>2544</v>
      </c>
      <c r="O106" s="31" t="str">
        <f>HYPERLINK("https://b2b.kobi.pl/pl/product/9672,zarowka-led-mb-4-5w-e27-4000k-kobi?currency=PLN")</f>
        <v>https://b2b.kobi.pl/pl/product/9672,zarowka-led-mb-4-5w-e27-4000k-kobi?currency=PLN</v>
      </c>
      <c r="P106" s="31" t="str">
        <f>HYPERLINK("https://eprel.ec.europa.eu/qr/660667")</f>
        <v>https://eprel.ec.europa.eu/qr/660667</v>
      </c>
      <c r="Q106"/>
    </row>
    <row r="107" spans="1:17" ht="15" x14ac:dyDescent="0.25">
      <c r="A107" t="s">
        <v>13</v>
      </c>
      <c r="B107" t="s">
        <v>2114</v>
      </c>
      <c r="C107" t="s">
        <v>858</v>
      </c>
      <c r="D107" t="s">
        <v>2282</v>
      </c>
      <c r="E107" t="s">
        <v>2283</v>
      </c>
      <c r="F107" t="s">
        <v>2026</v>
      </c>
      <c r="G107" s="30">
        <v>9.33</v>
      </c>
      <c r="H107" s="29">
        <f>G107*(1-IFERROR(VLOOKUP(F107,Rabat!$D$10:$E$41,2,FALSE),0))</f>
        <v>9.33</v>
      </c>
      <c r="I107" t="s">
        <v>2542</v>
      </c>
      <c r="J107" t="s">
        <v>148</v>
      </c>
      <c r="K107" t="s">
        <v>2538</v>
      </c>
      <c r="L107">
        <v>100</v>
      </c>
      <c r="M107">
        <v>4800</v>
      </c>
      <c r="N107" t="s">
        <v>2544</v>
      </c>
      <c r="O107" s="31" t="str">
        <f>HYPERLINK("https://b2b.kobi.pl/pl/product/9673,zarowka-led-mb-4-5w-e27-6000k-kobi?currency=PLN")</f>
        <v>https://b2b.kobi.pl/pl/product/9673,zarowka-led-mb-4-5w-e27-6000k-kobi?currency=PLN</v>
      </c>
      <c r="P107" s="31" t="str">
        <f>HYPERLINK("https://eprel.ec.europa.eu/qr/660668")</f>
        <v>https://eprel.ec.europa.eu/qr/660668</v>
      </c>
      <c r="Q107"/>
    </row>
    <row r="108" spans="1:17" ht="15" x14ac:dyDescent="0.25">
      <c r="A108" t="s">
        <v>13</v>
      </c>
      <c r="B108" t="s">
        <v>2114</v>
      </c>
      <c r="C108" t="s">
        <v>858</v>
      </c>
      <c r="D108" t="s">
        <v>2284</v>
      </c>
      <c r="E108" t="s">
        <v>2285</v>
      </c>
      <c r="F108" t="s">
        <v>2026</v>
      </c>
      <c r="G108" s="30">
        <v>10.02</v>
      </c>
      <c r="H108" s="29">
        <f>G108*(1-IFERROR(VLOOKUP(F108,Rabat!$D$10:$E$41,2,FALSE),0))</f>
        <v>10.02</v>
      </c>
      <c r="I108" t="s">
        <v>2546</v>
      </c>
      <c r="J108" t="s">
        <v>138</v>
      </c>
      <c r="K108" t="s">
        <v>2538</v>
      </c>
      <c r="L108">
        <v>100</v>
      </c>
      <c r="M108">
        <v>4800</v>
      </c>
      <c r="N108" t="s">
        <v>2544</v>
      </c>
      <c r="O108" s="31" t="str">
        <f>HYPERLINK("https://b2b.kobi.pl/pl/product/9665,zarowka-led-mb-6w-e14-3000k-kobi?currency=PLN")</f>
        <v>https://b2b.kobi.pl/pl/product/9665,zarowka-led-mb-6w-e14-3000k-kobi?currency=PLN</v>
      </c>
      <c r="P108" s="31" t="str">
        <f>HYPERLINK("https://eprel.ec.europa.eu/qr/660651")</f>
        <v>https://eprel.ec.europa.eu/qr/660651</v>
      </c>
      <c r="Q108"/>
    </row>
    <row r="109" spans="1:17" ht="15" x14ac:dyDescent="0.25">
      <c r="A109" t="s">
        <v>13</v>
      </c>
      <c r="B109" t="s">
        <v>2114</v>
      </c>
      <c r="C109" t="s">
        <v>858</v>
      </c>
      <c r="D109" t="s">
        <v>2286</v>
      </c>
      <c r="E109" t="s">
        <v>2287</v>
      </c>
      <c r="F109" t="s">
        <v>2026</v>
      </c>
      <c r="G109" s="30">
        <v>10.02</v>
      </c>
      <c r="H109" s="29">
        <f>G109*(1-IFERROR(VLOOKUP(F109,Rabat!$D$10:$E$41,2,FALSE),0))</f>
        <v>10.02</v>
      </c>
      <c r="I109" t="s">
        <v>2546</v>
      </c>
      <c r="J109" t="s">
        <v>139</v>
      </c>
      <c r="K109" t="s">
        <v>2538</v>
      </c>
      <c r="L109">
        <v>100</v>
      </c>
      <c r="M109">
        <v>4800</v>
      </c>
      <c r="N109" t="s">
        <v>2544</v>
      </c>
      <c r="O109" s="31" t="str">
        <f>HYPERLINK("https://b2b.kobi.pl/pl/product/9666,zarowka-led-mb-6w-e14-4000k-kobi?currency=PLN")</f>
        <v>https://b2b.kobi.pl/pl/product/9666,zarowka-led-mb-6w-e14-4000k-kobi?currency=PLN</v>
      </c>
      <c r="P109" s="31" t="str">
        <f>HYPERLINK("https://eprel.ec.europa.eu/qr/660653")</f>
        <v>https://eprel.ec.europa.eu/qr/660653</v>
      </c>
      <c r="Q109"/>
    </row>
    <row r="110" spans="1:17" ht="15" x14ac:dyDescent="0.25">
      <c r="A110" t="s">
        <v>13</v>
      </c>
      <c r="B110" t="s">
        <v>2114</v>
      </c>
      <c r="C110" t="s">
        <v>858</v>
      </c>
      <c r="D110" t="s">
        <v>2288</v>
      </c>
      <c r="E110" t="s">
        <v>2289</v>
      </c>
      <c r="F110" t="s">
        <v>2026</v>
      </c>
      <c r="G110" s="30">
        <v>10.02</v>
      </c>
      <c r="H110" s="29">
        <f>G110*(1-IFERROR(VLOOKUP(F110,Rabat!$D$10:$E$41,2,FALSE),0))</f>
        <v>10.02</v>
      </c>
      <c r="I110" t="s">
        <v>2546</v>
      </c>
      <c r="J110" t="s">
        <v>140</v>
      </c>
      <c r="K110" t="s">
        <v>2538</v>
      </c>
      <c r="L110">
        <v>100</v>
      </c>
      <c r="M110">
        <v>4800</v>
      </c>
      <c r="N110" t="s">
        <v>2544</v>
      </c>
      <c r="O110" s="31" t="str">
        <f>HYPERLINK("https://b2b.kobi.pl/pl/product/9667,zarowka-led-mb-6w-e14-6000k-kobi?currency=PLN")</f>
        <v>https://b2b.kobi.pl/pl/product/9667,zarowka-led-mb-6w-e14-6000k-kobi?currency=PLN</v>
      </c>
      <c r="P110" s="31" t="str">
        <f>HYPERLINK("https://eprel.ec.europa.eu/qr/660654")</f>
        <v>https://eprel.ec.europa.eu/qr/660654</v>
      </c>
      <c r="Q110"/>
    </row>
    <row r="111" spans="1:17" ht="15" x14ac:dyDescent="0.25">
      <c r="A111" t="s">
        <v>13</v>
      </c>
      <c r="B111" t="s">
        <v>2114</v>
      </c>
      <c r="C111" t="s">
        <v>858</v>
      </c>
      <c r="D111" t="s">
        <v>2290</v>
      </c>
      <c r="E111" t="s">
        <v>2291</v>
      </c>
      <c r="F111" t="s">
        <v>2026</v>
      </c>
      <c r="G111" s="30">
        <v>10.02</v>
      </c>
      <c r="H111" s="29">
        <f>G111*(1-IFERROR(VLOOKUP(F111,Rabat!$D$10:$E$41,2,FALSE),0))</f>
        <v>10.02</v>
      </c>
      <c r="I111" t="s">
        <v>2546</v>
      </c>
      <c r="J111" t="s">
        <v>149</v>
      </c>
      <c r="K111" t="s">
        <v>2538</v>
      </c>
      <c r="L111">
        <v>100</v>
      </c>
      <c r="M111">
        <v>4800</v>
      </c>
      <c r="N111" t="s">
        <v>2544</v>
      </c>
      <c r="O111" s="31" t="str">
        <f>HYPERLINK("https://b2b.kobi.pl/pl/product/9674,zarowka-led-mb-6w-e27-3000k-kobi?currency=PLN")</f>
        <v>https://b2b.kobi.pl/pl/product/9674,zarowka-led-mb-6w-e27-3000k-kobi?currency=PLN</v>
      </c>
      <c r="P111" s="31" t="str">
        <f>HYPERLINK("https://eprel.ec.europa.eu/qr/660670")</f>
        <v>https://eprel.ec.europa.eu/qr/660670</v>
      </c>
      <c r="Q111"/>
    </row>
    <row r="112" spans="1:17" ht="15" x14ac:dyDescent="0.25">
      <c r="A112" t="s">
        <v>13</v>
      </c>
      <c r="B112" t="s">
        <v>2114</v>
      </c>
      <c r="C112" t="s">
        <v>858</v>
      </c>
      <c r="D112" t="s">
        <v>2292</v>
      </c>
      <c r="E112" t="s">
        <v>2293</v>
      </c>
      <c r="F112" t="s">
        <v>2026</v>
      </c>
      <c r="G112" s="30">
        <v>10.02</v>
      </c>
      <c r="H112" s="29">
        <f>G112*(1-IFERROR(VLOOKUP(F112,Rabat!$D$10:$E$41,2,FALSE),0))</f>
        <v>10.02</v>
      </c>
      <c r="I112" t="s">
        <v>2546</v>
      </c>
      <c r="J112" t="s">
        <v>150</v>
      </c>
      <c r="K112" t="s">
        <v>2538</v>
      </c>
      <c r="L112">
        <v>100</v>
      </c>
      <c r="M112">
        <v>4800</v>
      </c>
      <c r="N112" t="s">
        <v>2544</v>
      </c>
      <c r="O112" s="31" t="str">
        <f>HYPERLINK("https://b2b.kobi.pl/pl/product/9675,zarowka-led-mb-6w-e27-4000k-kobi?currency=PLN")</f>
        <v>https://b2b.kobi.pl/pl/product/9675,zarowka-led-mb-6w-e27-4000k-kobi?currency=PLN</v>
      </c>
      <c r="P112" s="31" t="str">
        <f>HYPERLINK("https://eprel.ec.europa.eu/qr/660671")</f>
        <v>https://eprel.ec.europa.eu/qr/660671</v>
      </c>
      <c r="Q112"/>
    </row>
    <row r="113" spans="1:17" ht="15" x14ac:dyDescent="0.25">
      <c r="A113" t="s">
        <v>13</v>
      </c>
      <c r="B113" t="s">
        <v>2114</v>
      </c>
      <c r="C113" t="s">
        <v>858</v>
      </c>
      <c r="D113" t="s">
        <v>2294</v>
      </c>
      <c r="E113" t="s">
        <v>2295</v>
      </c>
      <c r="F113" t="s">
        <v>2026</v>
      </c>
      <c r="G113" s="30">
        <v>10.02</v>
      </c>
      <c r="H113" s="29">
        <f>G113*(1-IFERROR(VLOOKUP(F113,Rabat!$D$10:$E$41,2,FALSE),0))</f>
        <v>10.02</v>
      </c>
      <c r="I113" t="s">
        <v>2546</v>
      </c>
      <c r="J113" t="s">
        <v>151</v>
      </c>
      <c r="K113" t="s">
        <v>2538</v>
      </c>
      <c r="L113">
        <v>100</v>
      </c>
      <c r="M113">
        <v>4800</v>
      </c>
      <c r="N113" t="s">
        <v>2544</v>
      </c>
      <c r="O113" s="31" t="str">
        <f>HYPERLINK("https://b2b.kobi.pl/pl/product/9676,zarowka-led-mb-6w-e27-6000k-kobi?currency=PLN")</f>
        <v>https://b2b.kobi.pl/pl/product/9676,zarowka-led-mb-6w-e27-6000k-kobi?currency=PLN</v>
      </c>
      <c r="P113" s="31" t="str">
        <f>HYPERLINK("https://eprel.ec.europa.eu/qr/660672")</f>
        <v>https://eprel.ec.europa.eu/qr/660672</v>
      </c>
      <c r="Q113"/>
    </row>
    <row r="114" spans="1:17" ht="15" x14ac:dyDescent="0.25">
      <c r="A114" t="s">
        <v>13</v>
      </c>
      <c r="B114" t="s">
        <v>2114</v>
      </c>
      <c r="C114" t="s">
        <v>44</v>
      </c>
      <c r="D114" t="s">
        <v>2296</v>
      </c>
      <c r="E114" t="s">
        <v>2297</v>
      </c>
      <c r="F114" t="s">
        <v>2026</v>
      </c>
      <c r="G114" s="30">
        <v>8</v>
      </c>
      <c r="H114" s="29">
        <f>G114*(1-IFERROR(VLOOKUP(F114,Rabat!$D$10:$E$41,2,FALSE),0))</f>
        <v>8</v>
      </c>
      <c r="I114" t="s">
        <v>2542</v>
      </c>
      <c r="J114" t="s">
        <v>141</v>
      </c>
      <c r="K114" t="s">
        <v>2538</v>
      </c>
      <c r="L114">
        <v>100</v>
      </c>
      <c r="M114">
        <v>5600</v>
      </c>
      <c r="N114" t="s">
        <v>2544</v>
      </c>
      <c r="O114" s="31" t="str">
        <f>HYPERLINK("https://b2b.kobi.pl/pl/product/9618,zarowka-led-mb-7w-e14-3000k-led2b?currency=PLN")</f>
        <v>https://b2b.kobi.pl/pl/product/9618,zarowka-led-mb-7w-e14-3000k-led2b?currency=PLN</v>
      </c>
      <c r="P114" s="31" t="str">
        <f>HYPERLINK("https://eprel.ec.europa.eu/qr/660300")</f>
        <v>https://eprel.ec.europa.eu/qr/660300</v>
      </c>
      <c r="Q114" t="s">
        <v>2700</v>
      </c>
    </row>
    <row r="115" spans="1:17" ht="15" x14ac:dyDescent="0.25">
      <c r="A115" t="s">
        <v>13</v>
      </c>
      <c r="B115" t="s">
        <v>2114</v>
      </c>
      <c r="C115" t="s">
        <v>44</v>
      </c>
      <c r="D115" t="s">
        <v>2298</v>
      </c>
      <c r="E115" t="s">
        <v>2299</v>
      </c>
      <c r="F115" t="s">
        <v>2026</v>
      </c>
      <c r="G115" s="30">
        <v>8</v>
      </c>
      <c r="H115" s="29">
        <f>G115*(1-IFERROR(VLOOKUP(F115,Rabat!$D$10:$E$41,2,FALSE),0))</f>
        <v>8</v>
      </c>
      <c r="I115" t="s">
        <v>2542</v>
      </c>
      <c r="J115" t="s">
        <v>142</v>
      </c>
      <c r="K115" t="s">
        <v>2538</v>
      </c>
      <c r="L115">
        <v>100</v>
      </c>
      <c r="M115">
        <v>5600</v>
      </c>
      <c r="N115" t="s">
        <v>2544</v>
      </c>
      <c r="O115" s="31" t="str">
        <f>HYPERLINK("https://b2b.kobi.pl/pl/product/9620,zarowka-led-mb-7w-e14-6500k-led2b?currency=PLN")</f>
        <v>https://b2b.kobi.pl/pl/product/9620,zarowka-led-mb-7w-e14-6500k-led2b?currency=PLN</v>
      </c>
      <c r="P115" s="31" t="str">
        <f>HYPERLINK("https://eprel.ec.europa.eu/qr/660302")</f>
        <v>https://eprel.ec.europa.eu/qr/660302</v>
      </c>
      <c r="Q115" t="s">
        <v>2700</v>
      </c>
    </row>
    <row r="116" spans="1:17" ht="15" x14ac:dyDescent="0.25">
      <c r="A116" t="s">
        <v>13</v>
      </c>
      <c r="B116" t="s">
        <v>2114</v>
      </c>
      <c r="C116" t="s">
        <v>44</v>
      </c>
      <c r="D116" t="s">
        <v>2300</v>
      </c>
      <c r="E116" t="s">
        <v>2301</v>
      </c>
      <c r="F116" t="s">
        <v>2026</v>
      </c>
      <c r="G116" s="30">
        <v>8</v>
      </c>
      <c r="H116" s="29">
        <f>G116*(1-IFERROR(VLOOKUP(F116,Rabat!$D$10:$E$41,2,FALSE),0))</f>
        <v>8</v>
      </c>
      <c r="I116" t="s">
        <v>2542</v>
      </c>
      <c r="J116" t="s">
        <v>152</v>
      </c>
      <c r="K116" t="s">
        <v>2538</v>
      </c>
      <c r="L116">
        <v>100</v>
      </c>
      <c r="M116">
        <v>5600</v>
      </c>
      <c r="N116" t="s">
        <v>2544</v>
      </c>
      <c r="O116" s="31" t="str">
        <f>HYPERLINK("https://b2b.kobi.pl/pl/product/9626,zarowka-led-mb-7w-e27-3000k-led2b?currency=PLN")</f>
        <v>https://b2b.kobi.pl/pl/product/9626,zarowka-led-mb-7w-e27-3000k-led2b?currency=PLN</v>
      </c>
      <c r="P116" s="31" t="str">
        <f>HYPERLINK("https://eprel.ec.europa.eu/qr/660306")</f>
        <v>https://eprel.ec.europa.eu/qr/660306</v>
      </c>
      <c r="Q116" t="s">
        <v>2700</v>
      </c>
    </row>
    <row r="117" spans="1:17" ht="15" x14ac:dyDescent="0.25">
      <c r="A117" t="s">
        <v>13</v>
      </c>
      <c r="B117" t="s">
        <v>2114</v>
      </c>
      <c r="C117" t="s">
        <v>44</v>
      </c>
      <c r="D117" t="s">
        <v>2302</v>
      </c>
      <c r="E117" t="s">
        <v>2303</v>
      </c>
      <c r="F117" t="s">
        <v>2026</v>
      </c>
      <c r="G117" s="30">
        <v>8</v>
      </c>
      <c r="H117" s="29">
        <f>G117*(1-IFERROR(VLOOKUP(F117,Rabat!$D$10:$E$41,2,FALSE),0))</f>
        <v>8</v>
      </c>
      <c r="I117" t="s">
        <v>2542</v>
      </c>
      <c r="J117" t="s">
        <v>153</v>
      </c>
      <c r="K117" t="s">
        <v>2538</v>
      </c>
      <c r="L117">
        <v>100</v>
      </c>
      <c r="M117">
        <v>5600</v>
      </c>
      <c r="N117" t="s">
        <v>2544</v>
      </c>
      <c r="O117" s="31" t="str">
        <f>HYPERLINK("https://b2b.kobi.pl/pl/product/9627,zarowka-led-mb-7w-e27-4000k-led2b?currency=PLN")</f>
        <v>https://b2b.kobi.pl/pl/product/9627,zarowka-led-mb-7w-e27-4000k-led2b?currency=PLN</v>
      </c>
      <c r="P117" s="31" t="str">
        <f>HYPERLINK("https://eprel.ec.europa.eu/qr/660307")</f>
        <v>https://eprel.ec.europa.eu/qr/660307</v>
      </c>
      <c r="Q117" t="s">
        <v>2700</v>
      </c>
    </row>
    <row r="118" spans="1:17" ht="15" x14ac:dyDescent="0.25">
      <c r="A118" t="s">
        <v>13</v>
      </c>
      <c r="B118" t="s">
        <v>2114</v>
      </c>
      <c r="C118" t="s">
        <v>44</v>
      </c>
      <c r="D118" t="s">
        <v>2304</v>
      </c>
      <c r="E118" t="s">
        <v>2305</v>
      </c>
      <c r="F118" t="s">
        <v>2026</v>
      </c>
      <c r="G118" s="30">
        <v>8</v>
      </c>
      <c r="H118" s="29">
        <f>G118*(1-IFERROR(VLOOKUP(F118,Rabat!$D$10:$E$41,2,FALSE),0))</f>
        <v>8</v>
      </c>
      <c r="I118" t="s">
        <v>2542</v>
      </c>
      <c r="J118" t="s">
        <v>154</v>
      </c>
      <c r="K118" t="s">
        <v>2538</v>
      </c>
      <c r="L118">
        <v>100</v>
      </c>
      <c r="M118">
        <v>5600</v>
      </c>
      <c r="N118" t="s">
        <v>2544</v>
      </c>
      <c r="O118" s="31" t="str">
        <f>HYPERLINK("https://b2b.kobi.pl/pl/product/9628,zarowka-led-mb-7w-e27-6500k-led2b?currency=PLN")</f>
        <v>https://b2b.kobi.pl/pl/product/9628,zarowka-led-mb-7w-e27-6500k-led2b?currency=PLN</v>
      </c>
      <c r="P118" s="31" t="str">
        <f>HYPERLINK("https://eprel.ec.europa.eu/qr/660308")</f>
        <v>https://eprel.ec.europa.eu/qr/660308</v>
      </c>
      <c r="Q118" t="s">
        <v>2700</v>
      </c>
    </row>
    <row r="119" spans="1:17" ht="15" x14ac:dyDescent="0.25">
      <c r="A119" t="s">
        <v>13</v>
      </c>
      <c r="B119" t="s">
        <v>2114</v>
      </c>
      <c r="C119" t="s">
        <v>44</v>
      </c>
      <c r="D119" t="s">
        <v>2306</v>
      </c>
      <c r="E119" t="s">
        <v>2307</v>
      </c>
      <c r="F119" t="s">
        <v>2026</v>
      </c>
      <c r="G119" s="30">
        <v>9.5</v>
      </c>
      <c r="H119" s="29">
        <f>G119*(1-IFERROR(VLOOKUP(F119,Rabat!$D$10:$E$41,2,FALSE),0))</f>
        <v>9.5</v>
      </c>
      <c r="I119" t="s">
        <v>2542</v>
      </c>
      <c r="J119" t="s">
        <v>668</v>
      </c>
      <c r="K119" t="s">
        <v>2538</v>
      </c>
      <c r="L119">
        <v>100</v>
      </c>
      <c r="M119"/>
      <c r="N119" t="s">
        <v>2544</v>
      </c>
      <c r="O119" s="31" t="str">
        <f>HYPERLINK("https://b2b.kobi.pl/pl/product/9621,zarowka-led-mb-8-5w-e14-3000k-led2b?currency=PLN")</f>
        <v>https://b2b.kobi.pl/pl/product/9621,zarowka-led-mb-8-5w-e14-3000k-led2b?currency=PLN</v>
      </c>
      <c r="P119" s="31" t="str">
        <f>HYPERLINK("https://eprel.ec.europa.eu/qr/2044404")</f>
        <v>https://eprel.ec.europa.eu/qr/2044404</v>
      </c>
      <c r="Q119"/>
    </row>
    <row r="120" spans="1:17" ht="15" x14ac:dyDescent="0.25">
      <c r="A120" t="s">
        <v>13</v>
      </c>
      <c r="B120" t="s">
        <v>2114</v>
      </c>
      <c r="C120" t="s">
        <v>44</v>
      </c>
      <c r="D120" t="s">
        <v>2308</v>
      </c>
      <c r="E120" t="s">
        <v>2309</v>
      </c>
      <c r="F120" t="s">
        <v>2026</v>
      </c>
      <c r="G120" s="30">
        <v>9.5</v>
      </c>
      <c r="H120" s="29">
        <f>G120*(1-IFERROR(VLOOKUP(F120,Rabat!$D$10:$E$41,2,FALSE),0))</f>
        <v>9.5</v>
      </c>
      <c r="I120" t="s">
        <v>2542</v>
      </c>
      <c r="J120" t="s">
        <v>669</v>
      </c>
      <c r="K120" t="s">
        <v>2538</v>
      </c>
      <c r="L120">
        <v>100</v>
      </c>
      <c r="M120">
        <v>5600</v>
      </c>
      <c r="N120" t="s">
        <v>2544</v>
      </c>
      <c r="O120" s="31" t="str">
        <f>HYPERLINK("https://b2b.kobi.pl/pl/product/9622,zarowka-led-mb-8-5w-e14-4000k-led2b?currency=PLN")</f>
        <v>https://b2b.kobi.pl/pl/product/9622,zarowka-led-mb-8-5w-e14-4000k-led2b?currency=PLN</v>
      </c>
      <c r="P120" s="31" t="str">
        <f>HYPERLINK("https://eprel.ec.europa.eu/qr/2044417")</f>
        <v>https://eprel.ec.europa.eu/qr/2044417</v>
      </c>
      <c r="Q120"/>
    </row>
    <row r="121" spans="1:17" ht="15" x14ac:dyDescent="0.25">
      <c r="A121" t="s">
        <v>13</v>
      </c>
      <c r="B121" t="s">
        <v>2114</v>
      </c>
      <c r="C121" t="s">
        <v>44</v>
      </c>
      <c r="D121" t="s">
        <v>2310</v>
      </c>
      <c r="E121" t="s">
        <v>2311</v>
      </c>
      <c r="F121" t="s">
        <v>2026</v>
      </c>
      <c r="G121" s="30">
        <v>9.5</v>
      </c>
      <c r="H121" s="29">
        <f>G121*(1-IFERROR(VLOOKUP(F121,Rabat!$D$10:$E$41,2,FALSE),0))</f>
        <v>9.5</v>
      </c>
      <c r="I121" t="s">
        <v>2542</v>
      </c>
      <c r="J121" t="s">
        <v>670</v>
      </c>
      <c r="K121" t="s">
        <v>2538</v>
      </c>
      <c r="L121">
        <v>100</v>
      </c>
      <c r="M121"/>
      <c r="N121" t="s">
        <v>2544</v>
      </c>
      <c r="O121" s="31" t="str">
        <f>HYPERLINK("https://b2b.kobi.pl/pl/product/9623,zarowka-led-mb-8-5w-e14-6500k-led2b?currency=PLN")</f>
        <v>https://b2b.kobi.pl/pl/product/9623,zarowka-led-mb-8-5w-e14-6500k-led2b?currency=PLN</v>
      </c>
      <c r="P121" s="31" t="str">
        <f>HYPERLINK("https://eprel.ec.europa.eu/qr/2044430")</f>
        <v>https://eprel.ec.europa.eu/qr/2044430</v>
      </c>
      <c r="Q121"/>
    </row>
    <row r="122" spans="1:17" ht="15" x14ac:dyDescent="0.25">
      <c r="A122" t="s">
        <v>13</v>
      </c>
      <c r="B122" t="s">
        <v>2114</v>
      </c>
      <c r="C122" t="s">
        <v>44</v>
      </c>
      <c r="D122" t="s">
        <v>2312</v>
      </c>
      <c r="E122" t="s">
        <v>2313</v>
      </c>
      <c r="F122" t="s">
        <v>2026</v>
      </c>
      <c r="G122" s="30">
        <v>9.5</v>
      </c>
      <c r="H122" s="29">
        <f>G122*(1-IFERROR(VLOOKUP(F122,Rabat!$D$10:$E$41,2,FALSE),0))</f>
        <v>9.5</v>
      </c>
      <c r="I122" t="s">
        <v>2542</v>
      </c>
      <c r="J122" t="s">
        <v>671</v>
      </c>
      <c r="K122" t="s">
        <v>2538</v>
      </c>
      <c r="L122">
        <v>100</v>
      </c>
      <c r="M122"/>
      <c r="N122" t="s">
        <v>2544</v>
      </c>
      <c r="O122" s="31" t="str">
        <f>HYPERLINK("https://b2b.kobi.pl/pl/product/9629,zarowka-led-mb-8-5w-e27-3000k-led2b?currency=PLN")</f>
        <v>https://b2b.kobi.pl/pl/product/9629,zarowka-led-mb-8-5w-e27-3000k-led2b?currency=PLN</v>
      </c>
      <c r="P122" s="31" t="str">
        <f>HYPERLINK("https://eprel.ec.europa.eu/qr/2044481")</f>
        <v>https://eprel.ec.europa.eu/qr/2044481</v>
      </c>
      <c r="Q122"/>
    </row>
    <row r="123" spans="1:17" ht="15" x14ac:dyDescent="0.25">
      <c r="A123" t="s">
        <v>13</v>
      </c>
      <c r="B123" t="s">
        <v>2114</v>
      </c>
      <c r="C123" t="s">
        <v>44</v>
      </c>
      <c r="D123" t="s">
        <v>2314</v>
      </c>
      <c r="E123" t="s">
        <v>2315</v>
      </c>
      <c r="F123" t="s">
        <v>2026</v>
      </c>
      <c r="G123" s="30">
        <v>9.5</v>
      </c>
      <c r="H123" s="29">
        <f>G123*(1-IFERROR(VLOOKUP(F123,Rabat!$D$10:$E$41,2,FALSE),0))</f>
        <v>9.5</v>
      </c>
      <c r="I123" t="s">
        <v>2542</v>
      </c>
      <c r="J123" t="s">
        <v>672</v>
      </c>
      <c r="K123" t="s">
        <v>2538</v>
      </c>
      <c r="L123">
        <v>100</v>
      </c>
      <c r="M123">
        <v>5600</v>
      </c>
      <c r="N123" t="s">
        <v>2544</v>
      </c>
      <c r="O123" s="31" t="str">
        <f>HYPERLINK("https://b2b.kobi.pl/pl/product/9630,zarowka-led-mb-8-5w-e27-4000k-led2b?currency=PLN")</f>
        <v>https://b2b.kobi.pl/pl/product/9630,zarowka-led-mb-8-5w-e27-4000k-led2b?currency=PLN</v>
      </c>
      <c r="P123" s="31" t="str">
        <f>HYPERLINK("https://eprel.ec.europa.eu/qr/2044536")</f>
        <v>https://eprel.ec.europa.eu/qr/2044536</v>
      </c>
      <c r="Q123"/>
    </row>
    <row r="124" spans="1:17" ht="15" x14ac:dyDescent="0.25">
      <c r="A124" t="s">
        <v>13</v>
      </c>
      <c r="B124" t="s">
        <v>2114</v>
      </c>
      <c r="C124" t="s">
        <v>44</v>
      </c>
      <c r="D124" t="s">
        <v>2316</v>
      </c>
      <c r="E124" t="s">
        <v>2317</v>
      </c>
      <c r="F124" t="s">
        <v>2026</v>
      </c>
      <c r="G124" s="30">
        <v>9.5</v>
      </c>
      <c r="H124" s="29">
        <f>G124*(1-IFERROR(VLOOKUP(F124,Rabat!$D$10:$E$41,2,FALSE),0))</f>
        <v>9.5</v>
      </c>
      <c r="I124" t="s">
        <v>2542</v>
      </c>
      <c r="J124" t="s">
        <v>673</v>
      </c>
      <c r="K124" t="s">
        <v>2538</v>
      </c>
      <c r="L124">
        <v>100</v>
      </c>
      <c r="M124">
        <v>5600</v>
      </c>
      <c r="N124" t="s">
        <v>2544</v>
      </c>
      <c r="O124" s="31" t="str">
        <f>HYPERLINK("https://b2b.kobi.pl/pl/product/9631,zarowka-led-mb-8-5w-e27-6500k-led2b?currency=PLN")</f>
        <v>https://b2b.kobi.pl/pl/product/9631,zarowka-led-mb-8-5w-e27-6500k-led2b?currency=PLN</v>
      </c>
      <c r="P124" s="31" t="str">
        <f>HYPERLINK("https://eprel.ec.europa.eu/qr/2044546")</f>
        <v>https://eprel.ec.europa.eu/qr/2044546</v>
      </c>
      <c r="Q124"/>
    </row>
    <row r="125" spans="1:17" ht="15" x14ac:dyDescent="0.25">
      <c r="A125" t="s">
        <v>13</v>
      </c>
      <c r="B125" t="s">
        <v>2114</v>
      </c>
      <c r="C125" t="s">
        <v>840</v>
      </c>
      <c r="D125" t="s">
        <v>2318</v>
      </c>
      <c r="E125" t="s">
        <v>2319</v>
      </c>
      <c r="F125" t="s">
        <v>2026</v>
      </c>
      <c r="G125" s="30">
        <v>21.2</v>
      </c>
      <c r="H125" s="29">
        <f>G125*(1-IFERROR(VLOOKUP(F125,Rabat!$D$10:$E$41,2,FALSE),0))</f>
        <v>21.2</v>
      </c>
      <c r="I125" t="s">
        <v>2542</v>
      </c>
      <c r="J125" t="s">
        <v>143</v>
      </c>
      <c r="K125" t="s">
        <v>2538</v>
      </c>
      <c r="L125">
        <v>100</v>
      </c>
      <c r="M125">
        <v>4200</v>
      </c>
      <c r="N125" t="s">
        <v>2544</v>
      </c>
      <c r="O125" s="31" t="str">
        <f>HYPERLINK("https://b2b.kobi.pl/pl/product/9668,zarowka-led-mb-9w-e14-3000k-kobi-premium?currency=PLN")</f>
        <v>https://b2b.kobi.pl/pl/product/9668,zarowka-led-mb-9w-e14-3000k-kobi-premium?currency=PLN</v>
      </c>
      <c r="P125" s="31" t="str">
        <f>HYPERLINK("https://eprel.ec.europa.eu/qr/660660")</f>
        <v>https://eprel.ec.europa.eu/qr/660660</v>
      </c>
      <c r="Q125"/>
    </row>
    <row r="126" spans="1:17" ht="15" x14ac:dyDescent="0.25">
      <c r="A126" t="s">
        <v>13</v>
      </c>
      <c r="B126" t="s">
        <v>2114</v>
      </c>
      <c r="C126" t="s">
        <v>840</v>
      </c>
      <c r="D126" t="s">
        <v>2320</v>
      </c>
      <c r="E126" t="s">
        <v>2321</v>
      </c>
      <c r="F126" t="s">
        <v>2026</v>
      </c>
      <c r="G126" s="30">
        <v>21.2</v>
      </c>
      <c r="H126" s="29">
        <f>G126*(1-IFERROR(VLOOKUP(F126,Rabat!$D$10:$E$41,2,FALSE),0))</f>
        <v>21.2</v>
      </c>
      <c r="I126" t="s">
        <v>2542</v>
      </c>
      <c r="J126" t="s">
        <v>144</v>
      </c>
      <c r="K126" t="s">
        <v>2538</v>
      </c>
      <c r="L126">
        <v>100</v>
      </c>
      <c r="M126">
        <v>4200</v>
      </c>
      <c r="N126" t="s">
        <v>2544</v>
      </c>
      <c r="O126" s="31" t="str">
        <f>HYPERLINK("https://b2b.kobi.pl/pl/product/9669,zarowka-led-mb-9w-e14-4000k-kobi-premium?currency=PLN")</f>
        <v>https://b2b.kobi.pl/pl/product/9669,zarowka-led-mb-9w-e14-4000k-kobi-premium?currency=PLN</v>
      </c>
      <c r="P126" s="31" t="str">
        <f>HYPERLINK("https://eprel.ec.europa.eu/qr/660661")</f>
        <v>https://eprel.ec.europa.eu/qr/660661</v>
      </c>
      <c r="Q126"/>
    </row>
    <row r="127" spans="1:17" ht="15" x14ac:dyDescent="0.25">
      <c r="A127" t="s">
        <v>13</v>
      </c>
      <c r="B127" t="s">
        <v>2114</v>
      </c>
      <c r="C127" t="s">
        <v>840</v>
      </c>
      <c r="D127" t="s">
        <v>2322</v>
      </c>
      <c r="E127" t="s">
        <v>2323</v>
      </c>
      <c r="F127" t="s">
        <v>2026</v>
      </c>
      <c r="G127" s="30">
        <v>21.2</v>
      </c>
      <c r="H127" s="29">
        <f>G127*(1-IFERROR(VLOOKUP(F127,Rabat!$D$10:$E$41,2,FALSE),0))</f>
        <v>21.2</v>
      </c>
      <c r="I127" t="s">
        <v>2542</v>
      </c>
      <c r="J127" t="s">
        <v>145</v>
      </c>
      <c r="K127" t="s">
        <v>2538</v>
      </c>
      <c r="L127">
        <v>100</v>
      </c>
      <c r="M127">
        <v>4200</v>
      </c>
      <c r="N127" t="s">
        <v>2544</v>
      </c>
      <c r="O127" s="31" t="str">
        <f>HYPERLINK("https://b2b.kobi.pl/pl/product/9670,zarowka-led-mb-9w-e14-6000k-kobi-premium?currency=PLN")</f>
        <v>https://b2b.kobi.pl/pl/product/9670,zarowka-led-mb-9w-e14-6000k-kobi-premium?currency=PLN</v>
      </c>
      <c r="P127" s="31" t="str">
        <f>HYPERLINK("https://eprel.ec.europa.eu/qr/660663")</f>
        <v>https://eprel.ec.europa.eu/qr/660663</v>
      </c>
      <c r="Q127"/>
    </row>
    <row r="128" spans="1:17" ht="15" x14ac:dyDescent="0.25">
      <c r="A128" t="s">
        <v>13</v>
      </c>
      <c r="B128" t="s">
        <v>2114</v>
      </c>
      <c r="C128" t="s">
        <v>840</v>
      </c>
      <c r="D128" t="s">
        <v>2324</v>
      </c>
      <c r="E128" t="s">
        <v>2325</v>
      </c>
      <c r="F128" t="s">
        <v>2026</v>
      </c>
      <c r="G128" s="30">
        <v>21.2</v>
      </c>
      <c r="H128" s="29">
        <f>G128*(1-IFERROR(VLOOKUP(F128,Rabat!$D$10:$E$41,2,FALSE),0))</f>
        <v>21.2</v>
      </c>
      <c r="I128" t="s">
        <v>2542</v>
      </c>
      <c r="J128" t="s">
        <v>155</v>
      </c>
      <c r="K128" t="s">
        <v>2538</v>
      </c>
      <c r="L128">
        <v>100</v>
      </c>
      <c r="M128">
        <v>4200</v>
      </c>
      <c r="N128" t="s">
        <v>2544</v>
      </c>
      <c r="O128" s="31" t="str">
        <f>HYPERLINK("https://b2b.kobi.pl/pl/product/9677,zarowka-led-mb-9w-e27-3000k-kobi-premium?currency=PLN")</f>
        <v>https://b2b.kobi.pl/pl/product/9677,zarowka-led-mb-9w-e27-3000k-kobi-premium?currency=PLN</v>
      </c>
      <c r="P128" s="31" t="str">
        <f>HYPERLINK("https://eprel.ec.europa.eu/qr/660675")</f>
        <v>https://eprel.ec.europa.eu/qr/660675</v>
      </c>
      <c r="Q128"/>
    </row>
    <row r="129" spans="1:17" ht="15" x14ac:dyDescent="0.25">
      <c r="A129" t="s">
        <v>13</v>
      </c>
      <c r="B129" t="s">
        <v>2114</v>
      </c>
      <c r="C129" t="s">
        <v>840</v>
      </c>
      <c r="D129" t="s">
        <v>2326</v>
      </c>
      <c r="E129" t="s">
        <v>2327</v>
      </c>
      <c r="F129" t="s">
        <v>2026</v>
      </c>
      <c r="G129" s="30">
        <v>21.2</v>
      </c>
      <c r="H129" s="29">
        <f>G129*(1-IFERROR(VLOOKUP(F129,Rabat!$D$10:$E$41,2,FALSE),0))</f>
        <v>21.2</v>
      </c>
      <c r="I129" t="s">
        <v>2542</v>
      </c>
      <c r="J129" t="s">
        <v>156</v>
      </c>
      <c r="K129" t="s">
        <v>2538</v>
      </c>
      <c r="L129">
        <v>100</v>
      </c>
      <c r="M129">
        <v>4200</v>
      </c>
      <c r="N129" t="s">
        <v>2544</v>
      </c>
      <c r="O129" s="31" t="str">
        <f>HYPERLINK("https://b2b.kobi.pl/pl/product/9678,zarowka-led-mb-9w-e27-4000k-kobi-premium?currency=PLN")</f>
        <v>https://b2b.kobi.pl/pl/product/9678,zarowka-led-mb-9w-e27-4000k-kobi-premium?currency=PLN</v>
      </c>
      <c r="P129" s="31" t="str">
        <f>HYPERLINK("https://eprel.ec.europa.eu/qr/660677")</f>
        <v>https://eprel.ec.europa.eu/qr/660677</v>
      </c>
      <c r="Q129"/>
    </row>
    <row r="130" spans="1:17" ht="15" x14ac:dyDescent="0.25">
      <c r="A130" t="s">
        <v>13</v>
      </c>
      <c r="B130" t="s">
        <v>2114</v>
      </c>
      <c r="C130" t="s">
        <v>840</v>
      </c>
      <c r="D130" t="s">
        <v>2328</v>
      </c>
      <c r="E130" t="s">
        <v>2329</v>
      </c>
      <c r="F130" t="s">
        <v>2026</v>
      </c>
      <c r="G130" s="30">
        <v>21.2</v>
      </c>
      <c r="H130" s="29">
        <f>G130*(1-IFERROR(VLOOKUP(F130,Rabat!$D$10:$E$41,2,FALSE),0))</f>
        <v>21.2</v>
      </c>
      <c r="I130" t="s">
        <v>2542</v>
      </c>
      <c r="J130" t="s">
        <v>157</v>
      </c>
      <c r="K130" t="s">
        <v>2538</v>
      </c>
      <c r="L130">
        <v>100</v>
      </c>
      <c r="M130">
        <v>4200</v>
      </c>
      <c r="N130" t="s">
        <v>2544</v>
      </c>
      <c r="O130" s="31" t="str">
        <f>HYPERLINK("https://b2b.kobi.pl/pl/product/9679,zarowka-led-mb-9w-e27-6000k-kobi-premium?currency=PLN")</f>
        <v>https://b2b.kobi.pl/pl/product/9679,zarowka-led-mb-9w-e27-6000k-kobi-premium?currency=PLN</v>
      </c>
      <c r="P130" s="31" t="str">
        <f>HYPERLINK("https://eprel.ec.europa.eu/qr/660678")</f>
        <v>https://eprel.ec.europa.eu/qr/660678</v>
      </c>
      <c r="Q130"/>
    </row>
    <row r="131" spans="1:17" ht="15" x14ac:dyDescent="0.25">
      <c r="A131" t="s">
        <v>13</v>
      </c>
      <c r="B131" t="s">
        <v>2114</v>
      </c>
      <c r="C131" t="s">
        <v>858</v>
      </c>
      <c r="D131" t="s">
        <v>2348</v>
      </c>
      <c r="E131" t="s">
        <v>2349</v>
      </c>
      <c r="F131" t="s">
        <v>2026</v>
      </c>
      <c r="G131" s="30">
        <v>6.56</v>
      </c>
      <c r="H131" s="29">
        <f>G131*(1-IFERROR(VLOOKUP(F131,Rabat!$D$10:$E$41,2,FALSE),0))</f>
        <v>6.56</v>
      </c>
      <c r="I131" t="s">
        <v>2542</v>
      </c>
      <c r="J131" t="s">
        <v>166</v>
      </c>
      <c r="K131" t="s">
        <v>2538</v>
      </c>
      <c r="L131">
        <v>100</v>
      </c>
      <c r="M131">
        <v>3000</v>
      </c>
      <c r="N131" t="s">
        <v>2544</v>
      </c>
      <c r="O131" s="31" t="str">
        <f>HYPERLINK("https://b2b.kobi.pl/pl/product/9696,zarowka-led-sw-1-5w-e14-4000k-kobi?currency=PLN")</f>
        <v>https://b2b.kobi.pl/pl/product/9696,zarowka-led-sw-1-5w-e14-4000k-kobi?currency=PLN</v>
      </c>
      <c r="P131" s="31" t="str">
        <f>HYPERLINK("https://eprel.ec.europa.eu/qr/909569")</f>
        <v>https://eprel.ec.europa.eu/qr/909569</v>
      </c>
      <c r="Q131" t="s">
        <v>2700</v>
      </c>
    </row>
    <row r="132" spans="1:17" ht="15" x14ac:dyDescent="0.25">
      <c r="A132" t="s">
        <v>13</v>
      </c>
      <c r="B132" t="s">
        <v>2114</v>
      </c>
      <c r="C132" t="s">
        <v>858</v>
      </c>
      <c r="D132" t="s">
        <v>2350</v>
      </c>
      <c r="E132" t="s">
        <v>2351</v>
      </c>
      <c r="F132" t="s">
        <v>2026</v>
      </c>
      <c r="G132" s="30">
        <v>6.56</v>
      </c>
      <c r="H132" s="29">
        <f>G132*(1-IFERROR(VLOOKUP(F132,Rabat!$D$10:$E$41,2,FALSE),0))</f>
        <v>6.56</v>
      </c>
      <c r="I132" t="s">
        <v>2542</v>
      </c>
      <c r="J132" t="s">
        <v>167</v>
      </c>
      <c r="K132" t="s">
        <v>2538</v>
      </c>
      <c r="L132">
        <v>100</v>
      </c>
      <c r="M132">
        <v>3000</v>
      </c>
      <c r="N132" t="s">
        <v>2544</v>
      </c>
      <c r="O132" s="31" t="str">
        <f>HYPERLINK("https://b2b.kobi.pl/pl/product/9697,zarowka-led-sw-1-5w-e14-6000k-kobi?currency=PLN")</f>
        <v>https://b2b.kobi.pl/pl/product/9697,zarowka-led-sw-1-5w-e14-6000k-kobi?currency=PLN</v>
      </c>
      <c r="P132" s="31" t="str">
        <f>HYPERLINK("https://eprel.ec.europa.eu/qr/660756")</f>
        <v>https://eprel.ec.europa.eu/qr/660756</v>
      </c>
      <c r="Q132" t="s">
        <v>2700</v>
      </c>
    </row>
    <row r="133" spans="1:17" ht="15" x14ac:dyDescent="0.25">
      <c r="A133" t="s">
        <v>13</v>
      </c>
      <c r="B133" t="s">
        <v>2114</v>
      </c>
      <c r="C133" t="s">
        <v>858</v>
      </c>
      <c r="D133" t="s">
        <v>2352</v>
      </c>
      <c r="E133" t="s">
        <v>2353</v>
      </c>
      <c r="F133" t="s">
        <v>2026</v>
      </c>
      <c r="G133" s="30">
        <v>6.88</v>
      </c>
      <c r="H133" s="29">
        <f>G133*(1-IFERROR(VLOOKUP(F133,Rabat!$D$10:$E$41,2,FALSE),0))</f>
        <v>6.88</v>
      </c>
      <c r="I133" t="s">
        <v>2546</v>
      </c>
      <c r="J133" t="s">
        <v>168</v>
      </c>
      <c r="K133" t="s">
        <v>2538</v>
      </c>
      <c r="L133">
        <v>100</v>
      </c>
      <c r="M133">
        <v>6000</v>
      </c>
      <c r="N133" t="s">
        <v>2544</v>
      </c>
      <c r="O133" s="31" t="str">
        <f>HYPERLINK("https://b2b.kobi.pl/pl/product/9698,zarowka-led-sw-3w-e14-3000k-kobi?currency=PLN")</f>
        <v>https://b2b.kobi.pl/pl/product/9698,zarowka-led-sw-3w-e14-3000k-kobi?currency=PLN</v>
      </c>
      <c r="P133" s="31" t="str">
        <f>HYPERLINK("https://eprel.ec.europa.eu/qr/660758")</f>
        <v>https://eprel.ec.europa.eu/qr/660758</v>
      </c>
      <c r="Q133"/>
    </row>
    <row r="134" spans="1:17" ht="15" x14ac:dyDescent="0.25">
      <c r="A134" t="s">
        <v>13</v>
      </c>
      <c r="B134" t="s">
        <v>2114</v>
      </c>
      <c r="C134" t="s">
        <v>858</v>
      </c>
      <c r="D134" t="s">
        <v>2354</v>
      </c>
      <c r="E134" t="s">
        <v>2355</v>
      </c>
      <c r="F134" t="s">
        <v>2026</v>
      </c>
      <c r="G134" s="30">
        <v>9.33</v>
      </c>
      <c r="H134" s="29">
        <f>G134*(1-IFERROR(VLOOKUP(F134,Rabat!$D$10:$E$41,2,FALSE),0))</f>
        <v>9.33</v>
      </c>
      <c r="I134" t="s">
        <v>2542</v>
      </c>
      <c r="J134" t="s">
        <v>169</v>
      </c>
      <c r="K134" t="s">
        <v>2538</v>
      </c>
      <c r="L134">
        <v>100</v>
      </c>
      <c r="M134">
        <v>6000</v>
      </c>
      <c r="N134" t="s">
        <v>2544</v>
      </c>
      <c r="O134" s="31" t="str">
        <f>HYPERLINK("https://b2b.kobi.pl/pl/product/9699,zarowka-led-sw-4-5w-e14-3000k-kobi?currency=PLN")</f>
        <v>https://b2b.kobi.pl/pl/product/9699,zarowka-led-sw-4-5w-e14-3000k-kobi?currency=PLN</v>
      </c>
      <c r="P134" s="31" t="str">
        <f>HYPERLINK("https://eprel.ec.europa.eu/qr/660760")</f>
        <v>https://eprel.ec.europa.eu/qr/660760</v>
      </c>
      <c r="Q134"/>
    </row>
    <row r="135" spans="1:17" ht="15" x14ac:dyDescent="0.25">
      <c r="A135" t="s">
        <v>13</v>
      </c>
      <c r="B135" t="s">
        <v>2114</v>
      </c>
      <c r="C135" t="s">
        <v>858</v>
      </c>
      <c r="D135" t="s">
        <v>2356</v>
      </c>
      <c r="E135" t="s">
        <v>2357</v>
      </c>
      <c r="F135" t="s">
        <v>2026</v>
      </c>
      <c r="G135" s="30">
        <v>9.33</v>
      </c>
      <c r="H135" s="29">
        <f>G135*(1-IFERROR(VLOOKUP(F135,Rabat!$D$10:$E$41,2,FALSE),0))</f>
        <v>9.33</v>
      </c>
      <c r="I135" t="s">
        <v>2542</v>
      </c>
      <c r="J135" t="s">
        <v>170</v>
      </c>
      <c r="K135" t="s">
        <v>2538</v>
      </c>
      <c r="L135">
        <v>100</v>
      </c>
      <c r="M135">
        <v>6000</v>
      </c>
      <c r="N135" t="s">
        <v>2544</v>
      </c>
      <c r="O135" s="31" t="str">
        <f>HYPERLINK("https://b2b.kobi.pl/pl/product/9700,zarowka-led-sw-4-5w-e14-4000k-kobi?currency=PLN")</f>
        <v>https://b2b.kobi.pl/pl/product/9700,zarowka-led-sw-4-5w-e14-4000k-kobi?currency=PLN</v>
      </c>
      <c r="P135" s="31" t="str">
        <f>HYPERLINK("https://eprel.ec.europa.eu/qr/660762")</f>
        <v>https://eprel.ec.europa.eu/qr/660762</v>
      </c>
      <c r="Q135"/>
    </row>
    <row r="136" spans="1:17" ht="15" x14ac:dyDescent="0.25">
      <c r="A136" t="s">
        <v>13</v>
      </c>
      <c r="B136" t="s">
        <v>2114</v>
      </c>
      <c r="C136" t="s">
        <v>858</v>
      </c>
      <c r="D136" t="s">
        <v>2358</v>
      </c>
      <c r="E136" t="s">
        <v>2359</v>
      </c>
      <c r="F136" t="s">
        <v>2026</v>
      </c>
      <c r="G136" s="30">
        <v>9.33</v>
      </c>
      <c r="H136" s="29">
        <f>G136*(1-IFERROR(VLOOKUP(F136,Rabat!$D$10:$E$41,2,FALSE),0))</f>
        <v>9.33</v>
      </c>
      <c r="I136" t="s">
        <v>2542</v>
      </c>
      <c r="J136" t="s">
        <v>171</v>
      </c>
      <c r="K136" t="s">
        <v>2538</v>
      </c>
      <c r="L136">
        <v>100</v>
      </c>
      <c r="M136">
        <v>6000</v>
      </c>
      <c r="N136" t="s">
        <v>2544</v>
      </c>
      <c r="O136" s="31" t="str">
        <f>HYPERLINK("https://b2b.kobi.pl/pl/product/9701,zarowka-led-sw-4-5w-e14-6000k-kobi?currency=PLN")</f>
        <v>https://b2b.kobi.pl/pl/product/9701,zarowka-led-sw-4-5w-e14-6000k-kobi?currency=PLN</v>
      </c>
      <c r="P136" s="31" t="str">
        <f>HYPERLINK("https://eprel.ec.europa.eu/qr/660763")</f>
        <v>https://eprel.ec.europa.eu/qr/660763</v>
      </c>
      <c r="Q136"/>
    </row>
    <row r="137" spans="1:17" ht="15" x14ac:dyDescent="0.25">
      <c r="A137" t="s">
        <v>13</v>
      </c>
      <c r="B137" t="s">
        <v>2114</v>
      </c>
      <c r="C137" t="s">
        <v>858</v>
      </c>
      <c r="D137" t="s">
        <v>2360</v>
      </c>
      <c r="E137" t="s">
        <v>2361</v>
      </c>
      <c r="F137" t="s">
        <v>2026</v>
      </c>
      <c r="G137" s="30">
        <v>9.33</v>
      </c>
      <c r="H137" s="29">
        <f>G137*(1-IFERROR(VLOOKUP(F137,Rabat!$D$10:$E$41,2,FALSE),0))</f>
        <v>9.33</v>
      </c>
      <c r="I137" t="s">
        <v>2542</v>
      </c>
      <c r="J137" t="s">
        <v>180</v>
      </c>
      <c r="K137" t="s">
        <v>2538</v>
      </c>
      <c r="L137">
        <v>100</v>
      </c>
      <c r="M137"/>
      <c r="N137" t="s">
        <v>2544</v>
      </c>
      <c r="O137" s="31" t="str">
        <f>HYPERLINK("https://b2b.kobi.pl/pl/product/9710,zarowka-led-sw-4-5w-e27-3000k-kobi?currency=PLN")</f>
        <v>https://b2b.kobi.pl/pl/product/9710,zarowka-led-sw-4-5w-e27-3000k-kobi?currency=PLN</v>
      </c>
      <c r="P137" s="31" t="str">
        <f>HYPERLINK("https://eprel.ec.europa.eu/qr/660774")</f>
        <v>https://eprel.ec.europa.eu/qr/660774</v>
      </c>
      <c r="Q137" t="s">
        <v>2700</v>
      </c>
    </row>
    <row r="138" spans="1:17" ht="15" x14ac:dyDescent="0.25">
      <c r="A138" t="s">
        <v>13</v>
      </c>
      <c r="B138" t="s">
        <v>2114</v>
      </c>
      <c r="C138" t="s">
        <v>858</v>
      </c>
      <c r="D138" t="s">
        <v>2362</v>
      </c>
      <c r="E138" t="s">
        <v>2363</v>
      </c>
      <c r="F138" t="s">
        <v>2026</v>
      </c>
      <c r="G138" s="30">
        <v>10.02</v>
      </c>
      <c r="H138" s="29">
        <f>G138*(1-IFERROR(VLOOKUP(F138,Rabat!$D$10:$E$41,2,FALSE),0))</f>
        <v>10.02</v>
      </c>
      <c r="I138" t="s">
        <v>2546</v>
      </c>
      <c r="J138" t="s">
        <v>172</v>
      </c>
      <c r="K138" t="s">
        <v>2538</v>
      </c>
      <c r="L138">
        <v>100</v>
      </c>
      <c r="M138">
        <v>6000</v>
      </c>
      <c r="N138" t="s">
        <v>2544</v>
      </c>
      <c r="O138" s="31" t="str">
        <f>HYPERLINK("https://b2b.kobi.pl/pl/product/9702,zarowka-led-sw-6w-e14-3000k-kobi?currency=PLN")</f>
        <v>https://b2b.kobi.pl/pl/product/9702,zarowka-led-sw-6w-e14-3000k-kobi?currency=PLN</v>
      </c>
      <c r="P138" s="31" t="str">
        <f>HYPERLINK("https://eprel.ec.europa.eu/qr/660765")</f>
        <v>https://eprel.ec.europa.eu/qr/660765</v>
      </c>
      <c r="Q138"/>
    </row>
    <row r="139" spans="1:17" ht="15" x14ac:dyDescent="0.25">
      <c r="A139" t="s">
        <v>13</v>
      </c>
      <c r="B139" t="s">
        <v>2114</v>
      </c>
      <c r="C139" t="s">
        <v>858</v>
      </c>
      <c r="D139" t="s">
        <v>2364</v>
      </c>
      <c r="E139" t="s">
        <v>2365</v>
      </c>
      <c r="F139" t="s">
        <v>2026</v>
      </c>
      <c r="G139" s="30">
        <v>10.02</v>
      </c>
      <c r="H139" s="29">
        <f>G139*(1-IFERROR(VLOOKUP(F139,Rabat!$D$10:$E$41,2,FALSE),0))</f>
        <v>10.02</v>
      </c>
      <c r="I139" t="s">
        <v>2546</v>
      </c>
      <c r="J139" t="s">
        <v>173</v>
      </c>
      <c r="K139" t="s">
        <v>2538</v>
      </c>
      <c r="L139">
        <v>100</v>
      </c>
      <c r="M139">
        <v>6000</v>
      </c>
      <c r="N139" t="s">
        <v>2544</v>
      </c>
      <c r="O139" s="31" t="str">
        <f>HYPERLINK("https://b2b.kobi.pl/pl/product/9703,zarowka-led-sw-6w-e14-4000k-kobi?currency=PLN")</f>
        <v>https://b2b.kobi.pl/pl/product/9703,zarowka-led-sw-6w-e14-4000k-kobi?currency=PLN</v>
      </c>
      <c r="P139" s="31" t="str">
        <f>HYPERLINK("https://eprel.ec.europa.eu/qr/660766")</f>
        <v>https://eprel.ec.europa.eu/qr/660766</v>
      </c>
      <c r="Q139"/>
    </row>
    <row r="140" spans="1:17" ht="15" x14ac:dyDescent="0.25">
      <c r="A140" t="s">
        <v>13</v>
      </c>
      <c r="B140" t="s">
        <v>2114</v>
      </c>
      <c r="C140" t="s">
        <v>858</v>
      </c>
      <c r="D140" t="s">
        <v>2366</v>
      </c>
      <c r="E140" t="s">
        <v>2367</v>
      </c>
      <c r="F140" t="s">
        <v>2026</v>
      </c>
      <c r="G140" s="30">
        <v>10.02</v>
      </c>
      <c r="H140" s="29">
        <f>G140*(1-IFERROR(VLOOKUP(F140,Rabat!$D$10:$E$41,2,FALSE),0))</f>
        <v>10.02</v>
      </c>
      <c r="I140" t="s">
        <v>2546</v>
      </c>
      <c r="J140" t="s">
        <v>174</v>
      </c>
      <c r="K140" t="s">
        <v>2538</v>
      </c>
      <c r="L140">
        <v>100</v>
      </c>
      <c r="M140">
        <v>6000</v>
      </c>
      <c r="N140" t="s">
        <v>2544</v>
      </c>
      <c r="O140" s="31" t="str">
        <f>HYPERLINK("https://b2b.kobi.pl/pl/product/9704,zarowka-led-sw-6w-e14-6000k-kobi?currency=PLN")</f>
        <v>https://b2b.kobi.pl/pl/product/9704,zarowka-led-sw-6w-e14-6000k-kobi?currency=PLN</v>
      </c>
      <c r="P140" s="31" t="str">
        <f>HYPERLINK("https://eprel.ec.europa.eu/qr/660767")</f>
        <v>https://eprel.ec.europa.eu/qr/660767</v>
      </c>
      <c r="Q140"/>
    </row>
    <row r="141" spans="1:17" ht="15" x14ac:dyDescent="0.25">
      <c r="A141" t="s">
        <v>13</v>
      </c>
      <c r="B141" t="s">
        <v>2114</v>
      </c>
      <c r="C141" t="s">
        <v>858</v>
      </c>
      <c r="D141" t="s">
        <v>2368</v>
      </c>
      <c r="E141" t="s">
        <v>2369</v>
      </c>
      <c r="F141" t="s">
        <v>2026</v>
      </c>
      <c r="G141" s="30">
        <v>10.02</v>
      </c>
      <c r="H141" s="29">
        <f>G141*(1-IFERROR(VLOOKUP(F141,Rabat!$D$10:$E$41,2,FALSE),0))</f>
        <v>10.02</v>
      </c>
      <c r="I141" t="s">
        <v>2546</v>
      </c>
      <c r="J141" t="s">
        <v>181</v>
      </c>
      <c r="K141" t="s">
        <v>2538</v>
      </c>
      <c r="L141">
        <v>100</v>
      </c>
      <c r="M141"/>
      <c r="N141" t="s">
        <v>2544</v>
      </c>
      <c r="O141" s="31" t="str">
        <f>HYPERLINK("https://b2b.kobi.pl/pl/product/9711,zarowka-led-sw-6w-e27-3000k-kobi?currency=PLN")</f>
        <v>https://b2b.kobi.pl/pl/product/9711,zarowka-led-sw-6w-e27-3000k-kobi?currency=PLN</v>
      </c>
      <c r="P141" s="31" t="str">
        <f>HYPERLINK("https://eprel.ec.europa.eu/qr/660782")</f>
        <v>https://eprel.ec.europa.eu/qr/660782</v>
      </c>
      <c r="Q141"/>
    </row>
    <row r="142" spans="1:17" ht="15" x14ac:dyDescent="0.25">
      <c r="A142" t="s">
        <v>13</v>
      </c>
      <c r="B142" t="s">
        <v>2114</v>
      </c>
      <c r="C142" t="s">
        <v>858</v>
      </c>
      <c r="D142" t="s">
        <v>2370</v>
      </c>
      <c r="E142" t="s">
        <v>2371</v>
      </c>
      <c r="F142" t="s">
        <v>2026</v>
      </c>
      <c r="G142" s="30">
        <v>10.02</v>
      </c>
      <c r="H142" s="29">
        <f>G142*(1-IFERROR(VLOOKUP(F142,Rabat!$D$10:$E$41,2,FALSE),0))</f>
        <v>10.02</v>
      </c>
      <c r="I142" t="s">
        <v>2546</v>
      </c>
      <c r="J142" t="s">
        <v>182</v>
      </c>
      <c r="K142" t="s">
        <v>2538</v>
      </c>
      <c r="L142">
        <v>100</v>
      </c>
      <c r="M142"/>
      <c r="N142" t="s">
        <v>2544</v>
      </c>
      <c r="O142" s="31" t="str">
        <f>HYPERLINK("https://b2b.kobi.pl/pl/product/9712,zarowka-led-sw-6w-e27-4000k-kobi?currency=PLN")</f>
        <v>https://b2b.kobi.pl/pl/product/9712,zarowka-led-sw-6w-e27-4000k-kobi?currency=PLN</v>
      </c>
      <c r="P142" s="31" t="str">
        <f>HYPERLINK("https://eprel.ec.europa.eu/qr/660784")</f>
        <v>https://eprel.ec.europa.eu/qr/660784</v>
      </c>
      <c r="Q142"/>
    </row>
    <row r="143" spans="1:17" ht="15" x14ac:dyDescent="0.25">
      <c r="A143" t="s">
        <v>13</v>
      </c>
      <c r="B143" t="s">
        <v>2114</v>
      </c>
      <c r="C143" t="s">
        <v>858</v>
      </c>
      <c r="D143" t="s">
        <v>2372</v>
      </c>
      <c r="E143" t="s">
        <v>2373</v>
      </c>
      <c r="F143" t="s">
        <v>2026</v>
      </c>
      <c r="G143" s="30">
        <v>10.02</v>
      </c>
      <c r="H143" s="29">
        <f>G143*(1-IFERROR(VLOOKUP(F143,Rabat!$D$10:$E$41,2,FALSE),0))</f>
        <v>10.02</v>
      </c>
      <c r="I143" t="s">
        <v>2546</v>
      </c>
      <c r="J143" t="s">
        <v>183</v>
      </c>
      <c r="K143" t="s">
        <v>2538</v>
      </c>
      <c r="L143">
        <v>100</v>
      </c>
      <c r="M143"/>
      <c r="N143" t="s">
        <v>2544</v>
      </c>
      <c r="O143" s="31" t="str">
        <f>HYPERLINK("https://b2b.kobi.pl/pl/product/9713,zarowka-led-sw-6w-e27-6000k-kobi?currency=PLN")</f>
        <v>https://b2b.kobi.pl/pl/product/9713,zarowka-led-sw-6w-e27-6000k-kobi?currency=PLN</v>
      </c>
      <c r="P143" s="31" t="str">
        <f>HYPERLINK("https://eprel.ec.europa.eu/qr/660786")</f>
        <v>https://eprel.ec.europa.eu/qr/660786</v>
      </c>
      <c r="Q143"/>
    </row>
    <row r="144" spans="1:17" ht="15" x14ac:dyDescent="0.25">
      <c r="A144" t="s">
        <v>13</v>
      </c>
      <c r="B144" t="s">
        <v>2114</v>
      </c>
      <c r="C144" t="s">
        <v>44</v>
      </c>
      <c r="D144" t="s">
        <v>2374</v>
      </c>
      <c r="E144" t="s">
        <v>2375</v>
      </c>
      <c r="F144" t="s">
        <v>2026</v>
      </c>
      <c r="G144" s="30">
        <v>8</v>
      </c>
      <c r="H144" s="29">
        <f>G144*(1-IFERROR(VLOOKUP(F144,Rabat!$D$10:$E$41,2,FALSE),0))</f>
        <v>8</v>
      </c>
      <c r="I144" t="s">
        <v>2542</v>
      </c>
      <c r="J144" t="s">
        <v>175</v>
      </c>
      <c r="K144" t="s">
        <v>2538</v>
      </c>
      <c r="L144">
        <v>100</v>
      </c>
      <c r="M144">
        <v>6000</v>
      </c>
      <c r="N144" t="s">
        <v>2544</v>
      </c>
      <c r="O144" s="31" t="str">
        <f>HYPERLINK("https://b2b.kobi.pl/pl/product/9632,zarowka-led-sw-7w-e14-3000k-led2b?currency=PLN")</f>
        <v>https://b2b.kobi.pl/pl/product/9632,zarowka-led-sw-7w-e14-3000k-led2b?currency=PLN</v>
      </c>
      <c r="P144" s="31" t="str">
        <f>HYPERLINK("https://eprel.ec.europa.eu/qr/660313")</f>
        <v>https://eprel.ec.europa.eu/qr/660313</v>
      </c>
      <c r="Q144" t="s">
        <v>2700</v>
      </c>
    </row>
    <row r="145" spans="1:17" ht="15" x14ac:dyDescent="0.25">
      <c r="A145" t="s">
        <v>13</v>
      </c>
      <c r="B145" t="s">
        <v>2114</v>
      </c>
      <c r="C145" t="s">
        <v>44</v>
      </c>
      <c r="D145" t="s">
        <v>2376</v>
      </c>
      <c r="E145" t="s">
        <v>2377</v>
      </c>
      <c r="F145" t="s">
        <v>2026</v>
      </c>
      <c r="G145" s="30">
        <v>8</v>
      </c>
      <c r="H145" s="29">
        <f>G145*(1-IFERROR(VLOOKUP(F145,Rabat!$D$10:$E$41,2,FALSE),0))</f>
        <v>8</v>
      </c>
      <c r="I145" t="s">
        <v>2542</v>
      </c>
      <c r="J145" t="s">
        <v>176</v>
      </c>
      <c r="K145" t="s">
        <v>2538</v>
      </c>
      <c r="L145">
        <v>100</v>
      </c>
      <c r="M145">
        <v>6000</v>
      </c>
      <c r="N145" t="s">
        <v>2544</v>
      </c>
      <c r="O145" s="31" t="str">
        <f>HYPERLINK("https://b2b.kobi.pl/pl/product/9634,zarowka-led-sw-7w-e14-6500k-led2b?currency=PLN")</f>
        <v>https://b2b.kobi.pl/pl/product/9634,zarowka-led-sw-7w-e14-6500k-led2b?currency=PLN</v>
      </c>
      <c r="P145" s="31" t="str">
        <f>HYPERLINK("https://eprel.ec.europa.eu/qr/660316")</f>
        <v>https://eprel.ec.europa.eu/qr/660316</v>
      </c>
      <c r="Q145" t="s">
        <v>2700</v>
      </c>
    </row>
    <row r="146" spans="1:17" ht="15" x14ac:dyDescent="0.25">
      <c r="A146" t="s">
        <v>13</v>
      </c>
      <c r="B146" t="s">
        <v>2114</v>
      </c>
      <c r="C146" t="s">
        <v>44</v>
      </c>
      <c r="D146" t="s">
        <v>2378</v>
      </c>
      <c r="E146" t="s">
        <v>2379</v>
      </c>
      <c r="F146" t="s">
        <v>2026</v>
      </c>
      <c r="G146" s="30">
        <v>8</v>
      </c>
      <c r="H146" s="29">
        <f>G146*(1-IFERROR(VLOOKUP(F146,Rabat!$D$10:$E$41,2,FALSE),0))</f>
        <v>8</v>
      </c>
      <c r="I146" t="s">
        <v>2542</v>
      </c>
      <c r="J146" t="s">
        <v>184</v>
      </c>
      <c r="K146" t="s">
        <v>2538</v>
      </c>
      <c r="L146">
        <v>100</v>
      </c>
      <c r="M146">
        <v>6000</v>
      </c>
      <c r="N146" t="s">
        <v>2544</v>
      </c>
      <c r="O146" s="31" t="str">
        <f>HYPERLINK("https://b2b.kobi.pl/pl/product/9638,zarowka-led-sw-7w-e27-3000k-led2b?currency=PLN")</f>
        <v>https://b2b.kobi.pl/pl/product/9638,zarowka-led-sw-7w-e27-3000k-led2b?currency=PLN</v>
      </c>
      <c r="P146" s="31" t="str">
        <f>HYPERLINK("https://eprel.ec.europa.eu/qr/660526")</f>
        <v>https://eprel.ec.europa.eu/qr/660526</v>
      </c>
      <c r="Q146" t="s">
        <v>2700</v>
      </c>
    </row>
    <row r="147" spans="1:17" ht="15" x14ac:dyDescent="0.25">
      <c r="A147" t="s">
        <v>13</v>
      </c>
      <c r="B147" t="s">
        <v>2114</v>
      </c>
      <c r="C147" t="s">
        <v>44</v>
      </c>
      <c r="D147" t="s">
        <v>2380</v>
      </c>
      <c r="E147" t="s">
        <v>2381</v>
      </c>
      <c r="F147" t="s">
        <v>2026</v>
      </c>
      <c r="G147" s="30">
        <v>8</v>
      </c>
      <c r="H147" s="29">
        <f>G147*(1-IFERROR(VLOOKUP(F147,Rabat!$D$10:$E$41,2,FALSE),0))</f>
        <v>8</v>
      </c>
      <c r="I147" t="s">
        <v>2542</v>
      </c>
      <c r="J147" t="s">
        <v>185</v>
      </c>
      <c r="K147" t="s">
        <v>2538</v>
      </c>
      <c r="L147">
        <v>100</v>
      </c>
      <c r="M147">
        <v>6000</v>
      </c>
      <c r="N147" t="s">
        <v>2544</v>
      </c>
      <c r="O147" s="31" t="str">
        <f>HYPERLINK("https://b2b.kobi.pl/pl/product/9639,zarowka-led-sw-7w-e27-4000k-led2b?currency=PLN")</f>
        <v>https://b2b.kobi.pl/pl/product/9639,zarowka-led-sw-7w-e27-4000k-led2b?currency=PLN</v>
      </c>
      <c r="P147" s="31" t="str">
        <f>HYPERLINK("https://eprel.ec.europa.eu/qr/660607")</f>
        <v>https://eprel.ec.europa.eu/qr/660607</v>
      </c>
      <c r="Q147" t="s">
        <v>2700</v>
      </c>
    </row>
    <row r="148" spans="1:17" ht="15" x14ac:dyDescent="0.25">
      <c r="A148" t="s">
        <v>13</v>
      </c>
      <c r="B148" t="s">
        <v>2114</v>
      </c>
      <c r="C148" t="s">
        <v>44</v>
      </c>
      <c r="D148" t="s">
        <v>2382</v>
      </c>
      <c r="E148" t="s">
        <v>2383</v>
      </c>
      <c r="F148" t="s">
        <v>2026</v>
      </c>
      <c r="G148" s="30">
        <v>8</v>
      </c>
      <c r="H148" s="29">
        <f>G148*(1-IFERROR(VLOOKUP(F148,Rabat!$D$10:$E$41,2,FALSE),0))</f>
        <v>8</v>
      </c>
      <c r="I148" t="s">
        <v>2542</v>
      </c>
      <c r="J148" t="s">
        <v>186</v>
      </c>
      <c r="K148" t="s">
        <v>2538</v>
      </c>
      <c r="L148">
        <v>100</v>
      </c>
      <c r="M148">
        <v>6000</v>
      </c>
      <c r="N148" t="s">
        <v>2544</v>
      </c>
      <c r="O148" s="31" t="str">
        <f>HYPERLINK("https://b2b.kobi.pl/pl/product/9640,zarowka-led-sw-7w-e27-6500k-led2b?currency=PLN")</f>
        <v>https://b2b.kobi.pl/pl/product/9640,zarowka-led-sw-7w-e27-6500k-led2b?currency=PLN</v>
      </c>
      <c r="P148" s="31" t="str">
        <f>HYPERLINK("https://eprel.ec.europa.eu/qr/660609")</f>
        <v>https://eprel.ec.europa.eu/qr/660609</v>
      </c>
      <c r="Q148" t="s">
        <v>2700</v>
      </c>
    </row>
    <row r="149" spans="1:17" ht="15" x14ac:dyDescent="0.25">
      <c r="A149" t="s">
        <v>13</v>
      </c>
      <c r="B149" t="s">
        <v>2114</v>
      </c>
      <c r="C149" t="s">
        <v>44</v>
      </c>
      <c r="D149" t="s">
        <v>2384</v>
      </c>
      <c r="E149" t="s">
        <v>2385</v>
      </c>
      <c r="F149" t="s">
        <v>2026</v>
      </c>
      <c r="G149" s="30">
        <v>9.5</v>
      </c>
      <c r="H149" s="29">
        <f>G149*(1-IFERROR(VLOOKUP(F149,Rabat!$D$10:$E$41,2,FALSE),0))</f>
        <v>9.5</v>
      </c>
      <c r="I149" t="s">
        <v>2542</v>
      </c>
      <c r="J149" t="s">
        <v>674</v>
      </c>
      <c r="K149" t="s">
        <v>2538</v>
      </c>
      <c r="L149">
        <v>100</v>
      </c>
      <c r="M149">
        <v>6000</v>
      </c>
      <c r="N149" t="s">
        <v>2544</v>
      </c>
      <c r="O149" s="31" t="str">
        <f>HYPERLINK("https://b2b.kobi.pl/pl/product/9635,zarowka-led-sw-8-5w-e14-3000k-led2b?currency=PLN")</f>
        <v>https://b2b.kobi.pl/pl/product/9635,zarowka-led-sw-8-5w-e14-3000k-led2b?currency=PLN</v>
      </c>
      <c r="P149" s="31" t="str">
        <f>HYPERLINK("https://eprel.ec.europa.eu/qr/2044603")</f>
        <v>https://eprel.ec.europa.eu/qr/2044603</v>
      </c>
      <c r="Q149"/>
    </row>
    <row r="150" spans="1:17" ht="15" x14ac:dyDescent="0.25">
      <c r="A150" t="s">
        <v>13</v>
      </c>
      <c r="B150" t="s">
        <v>2114</v>
      </c>
      <c r="C150" t="s">
        <v>44</v>
      </c>
      <c r="D150" t="s">
        <v>2386</v>
      </c>
      <c r="E150" t="s">
        <v>2387</v>
      </c>
      <c r="F150" t="s">
        <v>2026</v>
      </c>
      <c r="G150" s="30">
        <v>9.5</v>
      </c>
      <c r="H150" s="29">
        <f>G150*(1-IFERROR(VLOOKUP(F150,Rabat!$D$10:$E$41,2,FALSE),0))</f>
        <v>9.5</v>
      </c>
      <c r="I150" t="s">
        <v>2542</v>
      </c>
      <c r="J150" t="s">
        <v>675</v>
      </c>
      <c r="K150" t="s">
        <v>2538</v>
      </c>
      <c r="L150">
        <v>100</v>
      </c>
      <c r="M150">
        <v>6000</v>
      </c>
      <c r="N150" t="s">
        <v>2544</v>
      </c>
      <c r="O150" s="31" t="str">
        <f>HYPERLINK("https://b2b.kobi.pl/pl/product/9636,zarowka-led-sw-8-5w-e14-4000k-led2b?currency=PLN")</f>
        <v>https://b2b.kobi.pl/pl/product/9636,zarowka-led-sw-8-5w-e14-4000k-led2b?currency=PLN</v>
      </c>
      <c r="P150" s="31" t="str">
        <f>HYPERLINK("https://eprel.ec.europa.eu/qr/2044637")</f>
        <v>https://eprel.ec.europa.eu/qr/2044637</v>
      </c>
      <c r="Q150"/>
    </row>
    <row r="151" spans="1:17" ht="15" x14ac:dyDescent="0.25">
      <c r="A151" t="s">
        <v>13</v>
      </c>
      <c r="B151" t="s">
        <v>2114</v>
      </c>
      <c r="C151" t="s">
        <v>44</v>
      </c>
      <c r="D151" t="s">
        <v>2388</v>
      </c>
      <c r="E151" t="s">
        <v>2389</v>
      </c>
      <c r="F151" t="s">
        <v>2026</v>
      </c>
      <c r="G151" s="30">
        <v>9.5</v>
      </c>
      <c r="H151" s="29">
        <f>G151*(1-IFERROR(VLOOKUP(F151,Rabat!$D$10:$E$41,2,FALSE),0))</f>
        <v>9.5</v>
      </c>
      <c r="I151" t="s">
        <v>2542</v>
      </c>
      <c r="J151" t="s">
        <v>676</v>
      </c>
      <c r="K151" t="s">
        <v>2538</v>
      </c>
      <c r="L151">
        <v>100</v>
      </c>
      <c r="M151"/>
      <c r="N151" t="s">
        <v>2544</v>
      </c>
      <c r="O151" s="31" t="str">
        <f>HYPERLINK("https://b2b.kobi.pl/pl/product/9637,zarowka-led-sw-8-5w-e14-6500k-led2b?currency=PLN")</f>
        <v>https://b2b.kobi.pl/pl/product/9637,zarowka-led-sw-8-5w-e14-6500k-led2b?currency=PLN</v>
      </c>
      <c r="P151" s="31" t="str">
        <f>HYPERLINK("https://eprel.ec.europa.eu/qr/2044649")</f>
        <v>https://eprel.ec.europa.eu/qr/2044649</v>
      </c>
      <c r="Q151"/>
    </row>
    <row r="152" spans="1:17" ht="15" x14ac:dyDescent="0.25">
      <c r="A152" t="s">
        <v>13</v>
      </c>
      <c r="B152" t="s">
        <v>2114</v>
      </c>
      <c r="C152" t="s">
        <v>44</v>
      </c>
      <c r="D152" t="s">
        <v>2390</v>
      </c>
      <c r="E152" t="s">
        <v>2391</v>
      </c>
      <c r="F152" t="s">
        <v>2026</v>
      </c>
      <c r="G152" s="30">
        <v>9.5</v>
      </c>
      <c r="H152" s="29">
        <f>G152*(1-IFERROR(VLOOKUP(F152,Rabat!$D$10:$E$41,2,FALSE),0))</f>
        <v>9.5</v>
      </c>
      <c r="I152" t="s">
        <v>2542</v>
      </c>
      <c r="J152" t="s">
        <v>677</v>
      </c>
      <c r="K152" t="s">
        <v>2538</v>
      </c>
      <c r="L152">
        <v>100</v>
      </c>
      <c r="M152"/>
      <c r="N152" t="s">
        <v>2544</v>
      </c>
      <c r="O152" s="31" t="str">
        <f>HYPERLINK("https://b2b.kobi.pl/pl/product/9641,zarowka-led-sw-8-5w-e27-3000k-led2b?currency=PLN")</f>
        <v>https://b2b.kobi.pl/pl/product/9641,zarowka-led-sw-8-5w-e27-3000k-led2b?currency=PLN</v>
      </c>
      <c r="P152" s="31" t="str">
        <f>HYPERLINK("https://eprel.ec.europa.eu/qr/2044603")</f>
        <v>https://eprel.ec.europa.eu/qr/2044603</v>
      </c>
      <c r="Q152"/>
    </row>
    <row r="153" spans="1:17" ht="15" x14ac:dyDescent="0.25">
      <c r="A153" t="s">
        <v>13</v>
      </c>
      <c r="B153" t="s">
        <v>2114</v>
      </c>
      <c r="C153" t="s">
        <v>44</v>
      </c>
      <c r="D153" t="s">
        <v>2392</v>
      </c>
      <c r="E153" t="s">
        <v>2393</v>
      </c>
      <c r="F153" t="s">
        <v>2026</v>
      </c>
      <c r="G153" s="30">
        <v>9.5</v>
      </c>
      <c r="H153" s="29">
        <f>G153*(1-IFERROR(VLOOKUP(F153,Rabat!$D$10:$E$41,2,FALSE),0))</f>
        <v>9.5</v>
      </c>
      <c r="I153" t="s">
        <v>2542</v>
      </c>
      <c r="J153" t="s">
        <v>678</v>
      </c>
      <c r="K153" t="s">
        <v>2538</v>
      </c>
      <c r="L153">
        <v>100</v>
      </c>
      <c r="M153">
        <v>6000</v>
      </c>
      <c r="N153" t="s">
        <v>2544</v>
      </c>
      <c r="O153" s="31" t="str">
        <f>HYPERLINK("https://b2b.kobi.pl/pl/product/9642,zarowka-led-sw-8-5w-e27-4000k-led2b?currency=PLN")</f>
        <v>https://b2b.kobi.pl/pl/product/9642,zarowka-led-sw-8-5w-e27-4000k-led2b?currency=PLN</v>
      </c>
      <c r="P153" s="31" t="str">
        <f>HYPERLINK("https://eprel.ec.europa.eu/qr/2044637")</f>
        <v>https://eprel.ec.europa.eu/qr/2044637</v>
      </c>
      <c r="Q153"/>
    </row>
    <row r="154" spans="1:17" ht="15" x14ac:dyDescent="0.25">
      <c r="A154" t="s">
        <v>13</v>
      </c>
      <c r="B154" t="s">
        <v>2114</v>
      </c>
      <c r="C154" t="s">
        <v>44</v>
      </c>
      <c r="D154" t="s">
        <v>2394</v>
      </c>
      <c r="E154" t="s">
        <v>2395</v>
      </c>
      <c r="F154" t="s">
        <v>2026</v>
      </c>
      <c r="G154" s="30">
        <v>9.5</v>
      </c>
      <c r="H154" s="29">
        <f>G154*(1-IFERROR(VLOOKUP(F154,Rabat!$D$10:$E$41,2,FALSE),0))</f>
        <v>9.5</v>
      </c>
      <c r="I154" t="s">
        <v>2542</v>
      </c>
      <c r="J154" t="s">
        <v>679</v>
      </c>
      <c r="K154" t="s">
        <v>2538</v>
      </c>
      <c r="L154">
        <v>100</v>
      </c>
      <c r="M154"/>
      <c r="N154" t="s">
        <v>2544</v>
      </c>
      <c r="O154" s="31" t="str">
        <f>HYPERLINK("https://b2b.kobi.pl/pl/product/9643,zarowka-led-sw-8-5w-e27-6500k-led2b?currency=PLN")</f>
        <v>https://b2b.kobi.pl/pl/product/9643,zarowka-led-sw-8-5w-e27-6500k-led2b?currency=PLN</v>
      </c>
      <c r="P154" s="31" t="str">
        <f>HYPERLINK("https://eprel.ec.europa.eu/qr/2044603")</f>
        <v>https://eprel.ec.europa.eu/qr/2044603</v>
      </c>
      <c r="Q154"/>
    </row>
    <row r="155" spans="1:17" ht="15" x14ac:dyDescent="0.25">
      <c r="A155" t="s">
        <v>13</v>
      </c>
      <c r="B155" t="s">
        <v>2114</v>
      </c>
      <c r="C155" t="s">
        <v>840</v>
      </c>
      <c r="D155" t="s">
        <v>2396</v>
      </c>
      <c r="E155" t="s">
        <v>2397</v>
      </c>
      <c r="F155" t="s">
        <v>2026</v>
      </c>
      <c r="G155" s="30">
        <v>21.2</v>
      </c>
      <c r="H155" s="29">
        <f>G155*(1-IFERROR(VLOOKUP(F155,Rabat!$D$10:$E$41,2,FALSE),0))</f>
        <v>21.2</v>
      </c>
      <c r="I155" t="s">
        <v>2542</v>
      </c>
      <c r="J155" t="s">
        <v>177</v>
      </c>
      <c r="K155" t="s">
        <v>2538</v>
      </c>
      <c r="L155">
        <v>100</v>
      </c>
      <c r="M155">
        <v>3600</v>
      </c>
      <c r="N155" t="s">
        <v>2544</v>
      </c>
      <c r="O155" s="31" t="str">
        <f>HYPERLINK("https://b2b.kobi.pl/pl/product/9707,zarowka-led-sw-9w-e14-3000k-kobi-premium?currency=PLN")</f>
        <v>https://b2b.kobi.pl/pl/product/9707,zarowka-led-sw-9w-e14-3000k-kobi-premium?currency=PLN</v>
      </c>
      <c r="P155" s="31" t="str">
        <f>HYPERLINK("https://eprel.ec.europa.eu/qr/660768")</f>
        <v>https://eprel.ec.europa.eu/qr/660768</v>
      </c>
      <c r="Q155"/>
    </row>
    <row r="156" spans="1:17" ht="15" x14ac:dyDescent="0.25">
      <c r="A156" t="s">
        <v>13</v>
      </c>
      <c r="B156" t="s">
        <v>2114</v>
      </c>
      <c r="C156" t="s">
        <v>840</v>
      </c>
      <c r="D156" t="s">
        <v>2398</v>
      </c>
      <c r="E156" t="s">
        <v>2399</v>
      </c>
      <c r="F156" t="s">
        <v>2026</v>
      </c>
      <c r="G156" s="30">
        <v>21.2</v>
      </c>
      <c r="H156" s="29">
        <f>G156*(1-IFERROR(VLOOKUP(F156,Rabat!$D$10:$E$41,2,FALSE),0))</f>
        <v>21.2</v>
      </c>
      <c r="I156" t="s">
        <v>2542</v>
      </c>
      <c r="J156" t="s">
        <v>178</v>
      </c>
      <c r="K156" t="s">
        <v>2538</v>
      </c>
      <c r="L156">
        <v>100</v>
      </c>
      <c r="M156">
        <v>3600</v>
      </c>
      <c r="N156" t="s">
        <v>2544</v>
      </c>
      <c r="O156" s="31" t="str">
        <f>HYPERLINK("https://b2b.kobi.pl/pl/product/9708,zarowka-led-sw-9w-e14-4000k-kobi-premium?currency=PLN")</f>
        <v>https://b2b.kobi.pl/pl/product/9708,zarowka-led-sw-9w-e14-4000k-kobi-premium?currency=PLN</v>
      </c>
      <c r="P156" s="31" t="str">
        <f>HYPERLINK("https://eprel.ec.europa.eu/qr/660769")</f>
        <v>https://eprel.ec.europa.eu/qr/660769</v>
      </c>
      <c r="Q156"/>
    </row>
    <row r="157" spans="1:17" ht="15" x14ac:dyDescent="0.25">
      <c r="A157" t="s">
        <v>13</v>
      </c>
      <c r="B157" t="s">
        <v>2114</v>
      </c>
      <c r="C157" t="s">
        <v>840</v>
      </c>
      <c r="D157" t="s">
        <v>2400</v>
      </c>
      <c r="E157" t="s">
        <v>2401</v>
      </c>
      <c r="F157" t="s">
        <v>2026</v>
      </c>
      <c r="G157" s="30">
        <v>21.2</v>
      </c>
      <c r="H157" s="29">
        <f>G157*(1-IFERROR(VLOOKUP(F157,Rabat!$D$10:$E$41,2,FALSE),0))</f>
        <v>21.2</v>
      </c>
      <c r="I157" t="s">
        <v>2542</v>
      </c>
      <c r="J157" t="s">
        <v>179</v>
      </c>
      <c r="K157" t="s">
        <v>2538</v>
      </c>
      <c r="L157">
        <v>100</v>
      </c>
      <c r="M157">
        <v>3600</v>
      </c>
      <c r="N157" t="s">
        <v>2544</v>
      </c>
      <c r="O157" s="31" t="str">
        <f>HYPERLINK("https://b2b.kobi.pl/pl/product/9709,zarowka-led-sw-9w-e14-6000k-kobi-premium?currency=PLN")</f>
        <v>https://b2b.kobi.pl/pl/product/9709,zarowka-led-sw-9w-e14-6000k-kobi-premium?currency=PLN</v>
      </c>
      <c r="P157" s="31" t="str">
        <f>HYPERLINK("https://eprel.ec.europa.eu/qr/660771")</f>
        <v>https://eprel.ec.europa.eu/qr/660771</v>
      </c>
      <c r="Q157"/>
    </row>
    <row r="158" spans="1:17" ht="15" x14ac:dyDescent="0.25">
      <c r="A158" t="s">
        <v>13</v>
      </c>
      <c r="B158" t="s">
        <v>2114</v>
      </c>
      <c r="C158" t="s">
        <v>840</v>
      </c>
      <c r="D158" t="s">
        <v>2402</v>
      </c>
      <c r="E158" t="s">
        <v>2403</v>
      </c>
      <c r="F158" t="s">
        <v>2026</v>
      </c>
      <c r="G158" s="30">
        <v>21.2</v>
      </c>
      <c r="H158" s="29">
        <f>G158*(1-IFERROR(VLOOKUP(F158,Rabat!$D$10:$E$41,2,FALSE),0))</f>
        <v>21.2</v>
      </c>
      <c r="I158" t="s">
        <v>2542</v>
      </c>
      <c r="J158" t="s">
        <v>187</v>
      </c>
      <c r="K158" t="s">
        <v>2538</v>
      </c>
      <c r="L158">
        <v>100</v>
      </c>
      <c r="M158">
        <v>3600</v>
      </c>
      <c r="N158" t="s">
        <v>2544</v>
      </c>
      <c r="O158" s="31" t="str">
        <f>HYPERLINK("https://b2b.kobi.pl/pl/product/9714,zarowka-led-sw-9w-e27-3000k-kobi-premium?currency=PLN")</f>
        <v>https://b2b.kobi.pl/pl/product/9714,zarowka-led-sw-9w-e27-3000k-kobi-premium?currency=PLN</v>
      </c>
      <c r="P158" s="31" t="str">
        <f>HYPERLINK("https://eprel.ec.europa.eu/qr/660788")</f>
        <v>https://eprel.ec.europa.eu/qr/660788</v>
      </c>
      <c r="Q158"/>
    </row>
    <row r="159" spans="1:17" ht="15" x14ac:dyDescent="0.25">
      <c r="A159" t="s">
        <v>13</v>
      </c>
      <c r="B159" t="s">
        <v>2114</v>
      </c>
      <c r="C159" t="s">
        <v>840</v>
      </c>
      <c r="D159" t="s">
        <v>2404</v>
      </c>
      <c r="E159" t="s">
        <v>2405</v>
      </c>
      <c r="F159" t="s">
        <v>2026</v>
      </c>
      <c r="G159" s="30">
        <v>21.2</v>
      </c>
      <c r="H159" s="29">
        <f>G159*(1-IFERROR(VLOOKUP(F159,Rabat!$D$10:$E$41,2,FALSE),0))</f>
        <v>21.2</v>
      </c>
      <c r="I159" t="s">
        <v>2542</v>
      </c>
      <c r="J159" t="s">
        <v>188</v>
      </c>
      <c r="K159" t="s">
        <v>2538</v>
      </c>
      <c r="L159">
        <v>100</v>
      </c>
      <c r="M159">
        <v>3600</v>
      </c>
      <c r="N159" t="s">
        <v>2544</v>
      </c>
      <c r="O159" s="31" t="str">
        <f>HYPERLINK("https://b2b.kobi.pl/pl/product/9715,zarowka-led-sw-9w-e27-4000k-kobi-premium?currency=PLN")</f>
        <v>https://b2b.kobi.pl/pl/product/9715,zarowka-led-sw-9w-e27-4000k-kobi-premium?currency=PLN</v>
      </c>
      <c r="P159" s="31" t="str">
        <f>HYPERLINK("https://eprel.ec.europa.eu/qr/660791")</f>
        <v>https://eprel.ec.europa.eu/qr/660791</v>
      </c>
      <c r="Q159"/>
    </row>
    <row r="160" spans="1:17" ht="15" x14ac:dyDescent="0.25">
      <c r="A160" t="s">
        <v>13</v>
      </c>
      <c r="B160" t="s">
        <v>2114</v>
      </c>
      <c r="C160" t="s">
        <v>840</v>
      </c>
      <c r="D160" t="s">
        <v>2406</v>
      </c>
      <c r="E160" t="s">
        <v>2407</v>
      </c>
      <c r="F160" t="s">
        <v>2026</v>
      </c>
      <c r="G160" s="30">
        <v>21.2</v>
      </c>
      <c r="H160" s="29">
        <f>G160*(1-IFERROR(VLOOKUP(F160,Rabat!$D$10:$E$41,2,FALSE),0))</f>
        <v>21.2</v>
      </c>
      <c r="I160" t="s">
        <v>2542</v>
      </c>
      <c r="J160" t="s">
        <v>189</v>
      </c>
      <c r="K160" t="s">
        <v>2538</v>
      </c>
      <c r="L160">
        <v>100</v>
      </c>
      <c r="M160">
        <v>3600</v>
      </c>
      <c r="N160" t="s">
        <v>2544</v>
      </c>
      <c r="O160" s="31" t="str">
        <f>HYPERLINK("https://b2b.kobi.pl/pl/product/9716,zarowka-led-sw-9w-e27-6000k-kobi-premium?currency=PLN")</f>
        <v>https://b2b.kobi.pl/pl/product/9716,zarowka-led-sw-9w-e27-6000k-kobi-premium?currency=PLN</v>
      </c>
      <c r="P160" s="31" t="str">
        <f>HYPERLINK("https://eprel.ec.europa.eu/qr/660792")</f>
        <v>https://eprel.ec.europa.eu/qr/660792</v>
      </c>
      <c r="Q160"/>
    </row>
    <row r="161" spans="1:17" ht="15" x14ac:dyDescent="0.25">
      <c r="A161" t="s">
        <v>13</v>
      </c>
      <c r="B161" t="s">
        <v>2114</v>
      </c>
      <c r="C161" t="s">
        <v>2115</v>
      </c>
      <c r="D161" t="s">
        <v>2118</v>
      </c>
      <c r="E161" t="s">
        <v>2119</v>
      </c>
      <c r="F161" t="s">
        <v>2026</v>
      </c>
      <c r="G161" s="30">
        <v>17.5</v>
      </c>
      <c r="H161" s="29">
        <f>G161*(1-IFERROR(VLOOKUP(F161,Rabat!$D$10:$E$41,2,FALSE),0))</f>
        <v>17.5</v>
      </c>
      <c r="I161" t="s">
        <v>2537</v>
      </c>
      <c r="J161" t="s">
        <v>62</v>
      </c>
      <c r="K161" t="s">
        <v>2538</v>
      </c>
      <c r="L161">
        <v>100</v>
      </c>
      <c r="M161">
        <v>2500</v>
      </c>
      <c r="N161" t="s">
        <v>2544</v>
      </c>
      <c r="O161" s="31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61" s="31" t="str">
        <f>HYPERLINK("https://eprel.ec.europa.eu/qr/659645")</f>
        <v>https://eprel.ec.europa.eu/qr/659645</v>
      </c>
      <c r="Q161"/>
    </row>
    <row r="162" spans="1:17" ht="15" x14ac:dyDescent="0.25">
      <c r="A162" t="s">
        <v>13</v>
      </c>
      <c r="B162" t="s">
        <v>2114</v>
      </c>
      <c r="C162" t="s">
        <v>2115</v>
      </c>
      <c r="D162" t="s">
        <v>2120</v>
      </c>
      <c r="E162" t="s">
        <v>2121</v>
      </c>
      <c r="F162" t="s">
        <v>2026</v>
      </c>
      <c r="G162" s="30">
        <v>17.5</v>
      </c>
      <c r="H162" s="29">
        <f>G162*(1-IFERROR(VLOOKUP(F162,Rabat!$D$10:$E$41,2,FALSE),0))</f>
        <v>17.5</v>
      </c>
      <c r="I162" t="s">
        <v>2537</v>
      </c>
      <c r="J162" t="s">
        <v>63</v>
      </c>
      <c r="K162" t="s">
        <v>2538</v>
      </c>
      <c r="L162">
        <v>100</v>
      </c>
      <c r="M162">
        <v>2500</v>
      </c>
      <c r="N162" t="s">
        <v>2544</v>
      </c>
      <c r="O162" s="31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62" s="31" t="str">
        <f>HYPERLINK("https://eprel.ec.europa.eu/qr/659651")</f>
        <v>https://eprel.ec.europa.eu/qr/659651</v>
      </c>
      <c r="Q162"/>
    </row>
    <row r="163" spans="1:17" ht="15" x14ac:dyDescent="0.25">
      <c r="A163" t="s">
        <v>13</v>
      </c>
      <c r="B163" t="s">
        <v>2114</v>
      </c>
      <c r="C163" t="s">
        <v>2115</v>
      </c>
      <c r="D163" t="s">
        <v>2122</v>
      </c>
      <c r="E163" t="s">
        <v>2123</v>
      </c>
      <c r="F163" t="s">
        <v>2026</v>
      </c>
      <c r="G163" s="30">
        <v>34.6</v>
      </c>
      <c r="H163" s="29">
        <f>G163*(1-IFERROR(VLOOKUP(F163,Rabat!$D$10:$E$41,2,FALSE),0))</f>
        <v>34.6</v>
      </c>
      <c r="I163" t="s">
        <v>2537</v>
      </c>
      <c r="J163" t="s">
        <v>64</v>
      </c>
      <c r="K163" t="s">
        <v>2538</v>
      </c>
      <c r="L163">
        <v>100</v>
      </c>
      <c r="M163">
        <v>2500</v>
      </c>
      <c r="N163" t="s">
        <v>2544</v>
      </c>
      <c r="O163" s="31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3" s="31" t="str">
        <f>HYPERLINK("https://eprel.ec.europa.eu/qr/659629")</f>
        <v>https://eprel.ec.europa.eu/qr/659629</v>
      </c>
      <c r="Q163" t="s">
        <v>2700</v>
      </c>
    </row>
    <row r="164" spans="1:17" ht="15" x14ac:dyDescent="0.25">
      <c r="A164" t="s">
        <v>13</v>
      </c>
      <c r="B164" t="s">
        <v>2114</v>
      </c>
      <c r="C164" t="s">
        <v>2115</v>
      </c>
      <c r="D164" t="s">
        <v>2124</v>
      </c>
      <c r="E164" t="s">
        <v>2125</v>
      </c>
      <c r="F164" t="s">
        <v>2026</v>
      </c>
      <c r="G164" s="30">
        <v>34.6</v>
      </c>
      <c r="H164" s="29">
        <f>G164*(1-IFERROR(VLOOKUP(F164,Rabat!$D$10:$E$41,2,FALSE),0))</f>
        <v>34.6</v>
      </c>
      <c r="I164" t="s">
        <v>2537</v>
      </c>
      <c r="J164" t="s">
        <v>65</v>
      </c>
      <c r="K164" t="s">
        <v>2538</v>
      </c>
      <c r="L164">
        <v>100</v>
      </c>
      <c r="M164">
        <v>2500</v>
      </c>
      <c r="N164" t="s">
        <v>2544</v>
      </c>
      <c r="O164" s="31" t="str">
        <f>HYPERLINK("https://b2b.kobi.pl/pl/product/9474,zarowka-filamentowa-led-fgs-11-5w-e27-4000k-kobi-360-line?currency=PLN")</f>
        <v>https://b2b.kobi.pl/pl/product/9474,zarowka-filamentowa-led-fgs-11-5w-e27-4000k-kobi-360-line?currency=PLN</v>
      </c>
      <c r="P164" s="31" t="str">
        <f>HYPERLINK("https://eprel.ec.europa.eu/qr/659640")</f>
        <v>https://eprel.ec.europa.eu/qr/659640</v>
      </c>
      <c r="Q164" t="s">
        <v>2700</v>
      </c>
    </row>
    <row r="165" spans="1:17" ht="15" x14ac:dyDescent="0.25">
      <c r="A165" t="s">
        <v>13</v>
      </c>
      <c r="B165" t="s">
        <v>2114</v>
      </c>
      <c r="C165" t="s">
        <v>2115</v>
      </c>
      <c r="D165" t="s">
        <v>2116</v>
      </c>
      <c r="E165" t="s">
        <v>2117</v>
      </c>
      <c r="F165" t="s">
        <v>2026</v>
      </c>
      <c r="G165" s="30">
        <v>12.85</v>
      </c>
      <c r="H165" s="29">
        <f>G165*(1-IFERROR(VLOOKUP(F165,Rabat!$D$10:$E$41,2,FALSE),0))</f>
        <v>12.85</v>
      </c>
      <c r="I165" t="s">
        <v>2537</v>
      </c>
      <c r="J165" t="s">
        <v>58</v>
      </c>
      <c r="K165" t="s">
        <v>2538</v>
      </c>
      <c r="L165">
        <v>100</v>
      </c>
      <c r="M165">
        <v>3500</v>
      </c>
      <c r="N165" t="s">
        <v>2544</v>
      </c>
      <c r="O165" s="31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5" s="31" t="str">
        <f>HYPERLINK("https://eprel.ec.europa.eu/qr/659618")</f>
        <v>https://eprel.ec.europa.eu/qr/659618</v>
      </c>
      <c r="Q165"/>
    </row>
    <row r="166" spans="1:17" ht="15" x14ac:dyDescent="0.25">
      <c r="A166" t="s">
        <v>13</v>
      </c>
      <c r="B166" t="s">
        <v>2114</v>
      </c>
      <c r="C166" t="s">
        <v>2115</v>
      </c>
      <c r="D166" t="s">
        <v>2128</v>
      </c>
      <c r="E166" t="s">
        <v>2129</v>
      </c>
      <c r="F166" t="s">
        <v>2026</v>
      </c>
      <c r="G166" s="30">
        <v>14.24</v>
      </c>
      <c r="H166" s="29">
        <f>G166*(1-IFERROR(VLOOKUP(F166,Rabat!$D$10:$E$41,2,FALSE),0))</f>
        <v>14.24</v>
      </c>
      <c r="I166" t="s">
        <v>2537</v>
      </c>
      <c r="J166" t="s">
        <v>59</v>
      </c>
      <c r="K166" t="s">
        <v>2538</v>
      </c>
      <c r="L166">
        <v>100</v>
      </c>
      <c r="M166">
        <v>4200</v>
      </c>
      <c r="N166" t="s">
        <v>2544</v>
      </c>
      <c r="O166" s="31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6" s="31" t="str">
        <f>HYPERLINK("https://eprel.ec.europa.eu/qr/659698")</f>
        <v>https://eprel.ec.europa.eu/qr/659698</v>
      </c>
      <c r="Q166"/>
    </row>
    <row r="167" spans="1:17" ht="15" x14ac:dyDescent="0.25">
      <c r="A167" t="s">
        <v>13</v>
      </c>
      <c r="B167" t="s">
        <v>2114</v>
      </c>
      <c r="C167" t="s">
        <v>2115</v>
      </c>
      <c r="D167" t="s">
        <v>2130</v>
      </c>
      <c r="E167" t="s">
        <v>2131</v>
      </c>
      <c r="F167" t="s">
        <v>2026</v>
      </c>
      <c r="G167" s="30">
        <v>14.24</v>
      </c>
      <c r="H167" s="29">
        <f>G167*(1-IFERROR(VLOOKUP(F167,Rabat!$D$10:$E$41,2,FALSE),0))</f>
        <v>14.24</v>
      </c>
      <c r="I167" t="s">
        <v>2537</v>
      </c>
      <c r="J167" t="s">
        <v>67</v>
      </c>
      <c r="K167" t="s">
        <v>2538</v>
      </c>
      <c r="L167">
        <v>100</v>
      </c>
      <c r="M167">
        <v>4800</v>
      </c>
      <c r="N167" t="s">
        <v>2544</v>
      </c>
      <c r="O167" s="31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7" s="31" t="str">
        <f>HYPERLINK("https://eprel.ec.europa.eu/qr/659707")</f>
        <v>https://eprel.ec.europa.eu/qr/659707</v>
      </c>
      <c r="Q167"/>
    </row>
    <row r="168" spans="1:17" ht="15" x14ac:dyDescent="0.25">
      <c r="A168" t="s">
        <v>13</v>
      </c>
      <c r="B168" t="s">
        <v>2114</v>
      </c>
      <c r="C168" t="s">
        <v>2115</v>
      </c>
      <c r="D168" t="s">
        <v>2132</v>
      </c>
      <c r="E168" t="s">
        <v>2133</v>
      </c>
      <c r="F168" t="s">
        <v>2026</v>
      </c>
      <c r="G168" s="30">
        <v>14.24</v>
      </c>
      <c r="H168" s="29">
        <f>G168*(1-IFERROR(VLOOKUP(F168,Rabat!$D$10:$E$41,2,FALSE),0))</f>
        <v>14.24</v>
      </c>
      <c r="I168" t="s">
        <v>2537</v>
      </c>
      <c r="J168" t="s">
        <v>60</v>
      </c>
      <c r="K168" t="s">
        <v>2538</v>
      </c>
      <c r="L168">
        <v>100</v>
      </c>
      <c r="M168">
        <v>4200</v>
      </c>
      <c r="N168" t="s">
        <v>2544</v>
      </c>
      <c r="O168" s="31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68" s="31" t="str">
        <f>HYPERLINK("https://eprel.ec.europa.eu/qr/659719")</f>
        <v>https://eprel.ec.europa.eu/qr/659719</v>
      </c>
      <c r="Q168"/>
    </row>
    <row r="169" spans="1:17" ht="15" x14ac:dyDescent="0.25">
      <c r="A169" t="s">
        <v>13</v>
      </c>
      <c r="B169" t="s">
        <v>2114</v>
      </c>
      <c r="C169" t="s">
        <v>44</v>
      </c>
      <c r="D169" t="s">
        <v>2346</v>
      </c>
      <c r="E169" t="s">
        <v>2347</v>
      </c>
      <c r="F169" t="s">
        <v>2026</v>
      </c>
      <c r="G169" s="30">
        <v>4.1500000000000004</v>
      </c>
      <c r="H169" s="29">
        <f>G169*(1-IFERROR(VLOOKUP(F169,Rabat!$D$10:$E$41,2,FALSE),0))</f>
        <v>4.1500000000000004</v>
      </c>
      <c r="I169" t="s">
        <v>2540</v>
      </c>
      <c r="J169" t="s">
        <v>68</v>
      </c>
      <c r="K169" t="s">
        <v>2538</v>
      </c>
      <c r="L169">
        <v>200</v>
      </c>
      <c r="M169"/>
      <c r="N169" t="s">
        <v>2544</v>
      </c>
      <c r="O169" s="31" t="str">
        <f>HYPERLINK("https://b2b.kobi.pl/pl/product/9588,zarowka-led-st45-1w-e27-2700k-led2b?currency=PLN")</f>
        <v>https://b2b.kobi.pl/pl/product/9588,zarowka-led-st45-1w-e27-2700k-led2b?currency=PLN</v>
      </c>
      <c r="P169" t="s">
        <v>16</v>
      </c>
      <c r="Q169"/>
    </row>
    <row r="170" spans="1:17" ht="15" x14ac:dyDescent="0.25">
      <c r="A170" t="s">
        <v>13</v>
      </c>
      <c r="B170" t="s">
        <v>2114</v>
      </c>
      <c r="C170" t="s">
        <v>2115</v>
      </c>
      <c r="D170" t="s">
        <v>2126</v>
      </c>
      <c r="E170" t="s">
        <v>2127</v>
      </c>
      <c r="F170" t="s">
        <v>2026</v>
      </c>
      <c r="G170" s="30">
        <v>11.57</v>
      </c>
      <c r="H170" s="29">
        <f>G170*(1-IFERROR(VLOOKUP(F170,Rabat!$D$10:$E$41,2,FALSE),0))</f>
        <v>11.57</v>
      </c>
      <c r="I170" t="s">
        <v>2540</v>
      </c>
      <c r="J170" t="s">
        <v>66</v>
      </c>
      <c r="K170" t="s">
        <v>2538</v>
      </c>
      <c r="L170">
        <v>100</v>
      </c>
      <c r="M170">
        <v>4000</v>
      </c>
      <c r="N170" t="s">
        <v>2544</v>
      </c>
      <c r="O170" s="31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0" t="s">
        <v>16</v>
      </c>
      <c r="Q170"/>
    </row>
    <row r="171" spans="1:17" ht="15" x14ac:dyDescent="0.25">
      <c r="A171" t="s">
        <v>13</v>
      </c>
      <c r="B171" t="s">
        <v>2114</v>
      </c>
      <c r="C171" t="s">
        <v>2115</v>
      </c>
      <c r="D171" t="s">
        <v>2432</v>
      </c>
      <c r="E171" t="s">
        <v>2433</v>
      </c>
      <c r="F171" t="s">
        <v>2026</v>
      </c>
      <c r="G171" s="30">
        <v>50.5</v>
      </c>
      <c r="H171" s="29">
        <f>G171*(1-IFERROR(VLOOKUP(F171,Rabat!$D$10:$E$41,2,FALSE),0))</f>
        <v>50.5</v>
      </c>
      <c r="I171" t="s">
        <v>2537</v>
      </c>
      <c r="J171" t="s">
        <v>61</v>
      </c>
      <c r="K171" t="s">
        <v>2538</v>
      </c>
      <c r="L171">
        <v>50</v>
      </c>
      <c r="M171">
        <v>300</v>
      </c>
      <c r="N171" t="s">
        <v>2544</v>
      </c>
      <c r="O171" s="31" t="str">
        <f>HYPERLINK("https://b2b.kobi.pl/pl/product/9472,zarowka-filamentowa-led-fg125-7w-e27-2700k-kobi-360-line?currency=PLN")</f>
        <v>https://b2b.kobi.pl/pl/product/9472,zarowka-filamentowa-led-fg125-7w-e27-2700k-kobi-360-line?currency=PLN</v>
      </c>
      <c r="P171" s="31" t="str">
        <f>HYPERLINK("https://eprel.ec.europa.eu/qr/659623")</f>
        <v>https://eprel.ec.europa.eu/qr/659623</v>
      </c>
      <c r="Q171" t="s">
        <v>2700</v>
      </c>
    </row>
    <row r="172" spans="1:17" ht="15" x14ac:dyDescent="0.25">
      <c r="A172" t="s">
        <v>13</v>
      </c>
      <c r="B172" t="s">
        <v>2114</v>
      </c>
      <c r="C172" t="s">
        <v>858</v>
      </c>
      <c r="D172" t="s">
        <v>2336</v>
      </c>
      <c r="E172" t="s">
        <v>2337</v>
      </c>
      <c r="F172" t="s">
        <v>2026</v>
      </c>
      <c r="G172" s="30">
        <v>10.65</v>
      </c>
      <c r="H172" s="29">
        <f>G172*(1-IFERROR(VLOOKUP(F172,Rabat!$D$10:$E$41,2,FALSE),0))</f>
        <v>10.65</v>
      </c>
      <c r="I172" t="s">
        <v>2546</v>
      </c>
      <c r="J172" t="s">
        <v>161</v>
      </c>
      <c r="K172" t="s">
        <v>2538</v>
      </c>
      <c r="L172">
        <v>100</v>
      </c>
      <c r="M172">
        <v>4800</v>
      </c>
      <c r="N172" t="s">
        <v>2544</v>
      </c>
      <c r="O172" s="31" t="str">
        <f>HYPERLINK("https://b2b.kobi.pl/pl/product/9689,zarowka-led-r50-5w-e14-3000k-kobi?currency=PLN")</f>
        <v>https://b2b.kobi.pl/pl/product/9689,zarowka-led-r50-5w-e14-3000k-kobi?currency=PLN</v>
      </c>
      <c r="P172" s="31" t="str">
        <f>HYPERLINK("https://eprel.ec.europa.eu/qr/660746")</f>
        <v>https://eprel.ec.europa.eu/qr/660746</v>
      </c>
      <c r="Q172"/>
    </row>
    <row r="173" spans="1:17" ht="15" x14ac:dyDescent="0.25">
      <c r="A173" t="s">
        <v>13</v>
      </c>
      <c r="B173" t="s">
        <v>2114</v>
      </c>
      <c r="C173" t="s">
        <v>858</v>
      </c>
      <c r="D173" t="s">
        <v>2338</v>
      </c>
      <c r="E173" t="s">
        <v>2339</v>
      </c>
      <c r="F173" t="s">
        <v>2026</v>
      </c>
      <c r="G173" s="30">
        <v>10.65</v>
      </c>
      <c r="H173" s="29">
        <f>G173*(1-IFERROR(VLOOKUP(F173,Rabat!$D$10:$E$41,2,FALSE),0))</f>
        <v>10.65</v>
      </c>
      <c r="I173" t="s">
        <v>2546</v>
      </c>
      <c r="J173" t="s">
        <v>162</v>
      </c>
      <c r="K173" t="s">
        <v>2538</v>
      </c>
      <c r="L173">
        <v>100</v>
      </c>
      <c r="M173">
        <v>4800</v>
      </c>
      <c r="N173" t="s">
        <v>2544</v>
      </c>
      <c r="O173" s="31" t="str">
        <f>HYPERLINK("https://b2b.kobi.pl/pl/product/9690,zarowka-led-r50-5w-e14-4000k-kobi?currency=PLN")</f>
        <v>https://b2b.kobi.pl/pl/product/9690,zarowka-led-r50-5w-e14-4000k-kobi?currency=PLN</v>
      </c>
      <c r="P173" s="31" t="str">
        <f>HYPERLINK("https://eprel.ec.europa.eu/qr/660747")</f>
        <v>https://eprel.ec.europa.eu/qr/660747</v>
      </c>
      <c r="Q173"/>
    </row>
    <row r="174" spans="1:17" ht="15" x14ac:dyDescent="0.25">
      <c r="A174" t="s">
        <v>13</v>
      </c>
      <c r="B174" t="s">
        <v>2114</v>
      </c>
      <c r="C174" t="s">
        <v>858</v>
      </c>
      <c r="D174" t="s">
        <v>2340</v>
      </c>
      <c r="E174" t="s">
        <v>2341</v>
      </c>
      <c r="F174" t="s">
        <v>2026</v>
      </c>
      <c r="G174" s="30">
        <v>12.64</v>
      </c>
      <c r="H174" s="29">
        <f>G174*(1-IFERROR(VLOOKUP(F174,Rabat!$D$10:$E$41,2,FALSE),0))</f>
        <v>12.64</v>
      </c>
      <c r="I174" t="s">
        <v>2542</v>
      </c>
      <c r="J174" t="s">
        <v>163</v>
      </c>
      <c r="K174" t="s">
        <v>2538</v>
      </c>
      <c r="L174">
        <v>100</v>
      </c>
      <c r="M174">
        <v>2500</v>
      </c>
      <c r="N174" t="s">
        <v>2544</v>
      </c>
      <c r="O174" s="31" t="str">
        <f>HYPERLINK("https://b2b.kobi.pl/pl/product/9692,zarowka-led-r63-8w-e27-3000k-kobi?currency=PLN")</f>
        <v>https://b2b.kobi.pl/pl/product/9692,zarowka-led-r63-8w-e27-3000k-kobi?currency=PLN</v>
      </c>
      <c r="P174" s="31" t="str">
        <f>HYPERLINK("https://eprel.ec.europa.eu/qr/660751")</f>
        <v>https://eprel.ec.europa.eu/qr/660751</v>
      </c>
      <c r="Q174"/>
    </row>
    <row r="175" spans="1:17" ht="15" x14ac:dyDescent="0.25">
      <c r="A175" t="s">
        <v>13</v>
      </c>
      <c r="B175" t="s">
        <v>2114</v>
      </c>
      <c r="C175" t="s">
        <v>858</v>
      </c>
      <c r="D175" t="s">
        <v>2342</v>
      </c>
      <c r="E175" t="s">
        <v>2343</v>
      </c>
      <c r="F175" t="s">
        <v>2026</v>
      </c>
      <c r="G175" s="30">
        <v>12.64</v>
      </c>
      <c r="H175" s="29">
        <f>G175*(1-IFERROR(VLOOKUP(F175,Rabat!$D$10:$E$41,2,FALSE),0))</f>
        <v>12.64</v>
      </c>
      <c r="I175" t="s">
        <v>2542</v>
      </c>
      <c r="J175" t="s">
        <v>164</v>
      </c>
      <c r="K175" t="s">
        <v>2538</v>
      </c>
      <c r="L175">
        <v>100</v>
      </c>
      <c r="M175">
        <v>2500</v>
      </c>
      <c r="N175" t="s">
        <v>2544</v>
      </c>
      <c r="O175" s="31" t="str">
        <f>HYPERLINK("https://b2b.kobi.pl/pl/product/9693,zarowka-led-r63-8w-e27-4000k-kobi?currency=PLN")</f>
        <v>https://b2b.kobi.pl/pl/product/9693,zarowka-led-r63-8w-e27-4000k-kobi?currency=PLN</v>
      </c>
      <c r="P175" s="31" t="str">
        <f>HYPERLINK("https://eprel.ec.europa.eu/qr/660752")</f>
        <v>https://eprel.ec.europa.eu/qr/660752</v>
      </c>
      <c r="Q175"/>
    </row>
    <row r="176" spans="1:17" ht="15" x14ac:dyDescent="0.25">
      <c r="A176" t="s">
        <v>13</v>
      </c>
      <c r="B176" t="s">
        <v>2114</v>
      </c>
      <c r="C176" t="s">
        <v>858</v>
      </c>
      <c r="D176" t="s">
        <v>2344</v>
      </c>
      <c r="E176" t="s">
        <v>2345</v>
      </c>
      <c r="F176" t="s">
        <v>2026</v>
      </c>
      <c r="G176" s="30">
        <v>12.64</v>
      </c>
      <c r="H176" s="29">
        <f>G176*(1-IFERROR(VLOOKUP(F176,Rabat!$D$10:$E$41,2,FALSE),0))</f>
        <v>12.64</v>
      </c>
      <c r="I176" t="s">
        <v>2542</v>
      </c>
      <c r="J176" t="s">
        <v>165</v>
      </c>
      <c r="K176" t="s">
        <v>2538</v>
      </c>
      <c r="L176">
        <v>100</v>
      </c>
      <c r="M176">
        <v>2500</v>
      </c>
      <c r="N176" t="s">
        <v>2544</v>
      </c>
      <c r="O176" s="31" t="str">
        <f>HYPERLINK("https://b2b.kobi.pl/pl/product/9694,zarowka-led-r63-8w-e27-6000k-kobi?currency=PLN")</f>
        <v>https://b2b.kobi.pl/pl/product/9694,zarowka-led-r63-8w-e27-6000k-kobi?currency=PLN</v>
      </c>
      <c r="P176" s="31" t="str">
        <f>HYPERLINK("https://eprel.ec.europa.eu/qr/660753")</f>
        <v>https://eprel.ec.europa.eu/qr/660753</v>
      </c>
      <c r="Q176" t="s">
        <v>2700</v>
      </c>
    </row>
    <row r="177" spans="1:17" ht="15" x14ac:dyDescent="0.25">
      <c r="A177" t="s">
        <v>13</v>
      </c>
      <c r="B177" t="s">
        <v>2114</v>
      </c>
      <c r="C177" t="s">
        <v>858</v>
      </c>
      <c r="D177" t="s">
        <v>2408</v>
      </c>
      <c r="E177" t="s">
        <v>2409</v>
      </c>
      <c r="F177" t="s">
        <v>2026</v>
      </c>
      <c r="G177" s="30">
        <v>12.5</v>
      </c>
      <c r="H177" s="29">
        <f>G177*(1-IFERROR(VLOOKUP(F177,Rabat!$D$10:$E$41,2,FALSE),0))</f>
        <v>12.5</v>
      </c>
      <c r="I177" t="s">
        <v>2542</v>
      </c>
      <c r="J177" t="s">
        <v>190</v>
      </c>
      <c r="K177" t="s">
        <v>2538</v>
      </c>
      <c r="L177">
        <v>100</v>
      </c>
      <c r="M177">
        <v>20000</v>
      </c>
      <c r="N177" t="s">
        <v>2544</v>
      </c>
      <c r="O177" s="31" t="str">
        <f>HYPERLINK("https://b2b.kobi.pl/pl/product/9725,zarowka-led-t-2w-e14-4000k-kobi?currency=PLN")</f>
        <v>https://b2b.kobi.pl/pl/product/9725,zarowka-led-t-2w-e14-4000k-kobi?currency=PLN</v>
      </c>
      <c r="P177" s="31" t="str">
        <f>HYPERLINK("https://eprel.ec.europa.eu/qr/770526")</f>
        <v>https://eprel.ec.europa.eu/qr/770526</v>
      </c>
      <c r="Q177"/>
    </row>
    <row r="178" spans="1:17" ht="15" x14ac:dyDescent="0.25">
      <c r="A178" t="s">
        <v>13</v>
      </c>
      <c r="B178" t="s">
        <v>2114</v>
      </c>
      <c r="C178" t="s">
        <v>858</v>
      </c>
      <c r="D178" t="s">
        <v>2410</v>
      </c>
      <c r="E178" t="s">
        <v>2411</v>
      </c>
      <c r="F178" t="s">
        <v>2026</v>
      </c>
      <c r="G178" s="30">
        <v>18.010000000000002</v>
      </c>
      <c r="H178" s="29">
        <f>G178*(1-IFERROR(VLOOKUP(F178,Rabat!$D$10:$E$41,2,FALSE),0))</f>
        <v>18.010000000000002</v>
      </c>
      <c r="I178" t="s">
        <v>2542</v>
      </c>
      <c r="J178" t="s">
        <v>191</v>
      </c>
      <c r="K178" t="s">
        <v>2538</v>
      </c>
      <c r="L178">
        <v>100</v>
      </c>
      <c r="M178"/>
      <c r="N178" t="s">
        <v>2544</v>
      </c>
      <c r="O178" s="31" t="str">
        <f>HYPERLINK("https://b2b.kobi.pl/pl/product/9726,zarowka-led-t-4-2w-e14-4000k-kobi?currency=PLN")</f>
        <v>https://b2b.kobi.pl/pl/product/9726,zarowka-led-t-4-2w-e14-4000k-kobi?currency=PLN</v>
      </c>
      <c r="P178" s="31" t="str">
        <f>HYPERLINK("https://eprel.ec.europa.eu/qr/660816")</f>
        <v>https://eprel.ec.europa.eu/qr/660816</v>
      </c>
      <c r="Q178"/>
    </row>
    <row r="179" spans="1:17" ht="15" x14ac:dyDescent="0.25">
      <c r="A179" t="s">
        <v>13</v>
      </c>
      <c r="B179" t="s">
        <v>2114</v>
      </c>
      <c r="C179" t="s">
        <v>858</v>
      </c>
      <c r="D179" t="s">
        <v>2162</v>
      </c>
      <c r="E179" t="s">
        <v>2163</v>
      </c>
      <c r="F179" t="s">
        <v>2026</v>
      </c>
      <c r="G179" s="30">
        <v>56.95</v>
      </c>
      <c r="H179" s="29">
        <f>G179*(1-IFERROR(VLOOKUP(F179,Rabat!$D$10:$E$41,2,FALSE),0))</f>
        <v>56.95</v>
      </c>
      <c r="I179" t="s">
        <v>2542</v>
      </c>
      <c r="J179" t="s">
        <v>82</v>
      </c>
      <c r="K179" t="s">
        <v>2538</v>
      </c>
      <c r="L179">
        <v>24</v>
      </c>
      <c r="M179">
        <v>384</v>
      </c>
      <c r="N179" t="s">
        <v>2544</v>
      </c>
      <c r="O179" s="31" t="str">
        <f>HYPERLINK("https://b2b.kobi.pl/pl/product/9487,zarowka-led-g120-24w-e27-3000k-kobi?currency=PLN")</f>
        <v>https://b2b.kobi.pl/pl/product/9487,zarowka-led-g120-24w-e27-3000k-kobi?currency=PLN</v>
      </c>
      <c r="P179" s="31" t="str">
        <f>HYPERLINK("https://eprel.ec.europa.eu/qr/659726")</f>
        <v>https://eprel.ec.europa.eu/qr/659726</v>
      </c>
      <c r="Q179"/>
    </row>
    <row r="180" spans="1:17" ht="15" x14ac:dyDescent="0.25">
      <c r="A180" t="s">
        <v>13</v>
      </c>
      <c r="B180" t="s">
        <v>2114</v>
      </c>
      <c r="C180" t="s">
        <v>858</v>
      </c>
      <c r="D180" t="s">
        <v>2164</v>
      </c>
      <c r="E180" t="s">
        <v>2165</v>
      </c>
      <c r="F180" t="s">
        <v>2026</v>
      </c>
      <c r="G180" s="30">
        <v>56.95</v>
      </c>
      <c r="H180" s="29">
        <f>G180*(1-IFERROR(VLOOKUP(F180,Rabat!$D$10:$E$41,2,FALSE),0))</f>
        <v>56.95</v>
      </c>
      <c r="I180" t="s">
        <v>2542</v>
      </c>
      <c r="J180" t="s">
        <v>83</v>
      </c>
      <c r="K180" t="s">
        <v>2538</v>
      </c>
      <c r="L180">
        <v>24</v>
      </c>
      <c r="M180">
        <v>384</v>
      </c>
      <c r="N180" t="s">
        <v>2544</v>
      </c>
      <c r="O180" s="31" t="str">
        <f>HYPERLINK("https://b2b.kobi.pl/pl/product/9488,zarowka-led-g120-24w-e27-4000k-kobi?currency=PLN")</f>
        <v>https://b2b.kobi.pl/pl/product/9488,zarowka-led-g120-24w-e27-4000k-kobi?currency=PLN</v>
      </c>
      <c r="P180" s="31" t="str">
        <f>HYPERLINK("https://eprel.ec.europa.eu/qr/659731")</f>
        <v>https://eprel.ec.europa.eu/qr/659731</v>
      </c>
      <c r="Q180"/>
    </row>
    <row r="181" spans="1:17" ht="15" x14ac:dyDescent="0.25">
      <c r="A181" t="s">
        <v>4</v>
      </c>
      <c r="B181" t="s">
        <v>1309</v>
      </c>
      <c r="C181" t="s">
        <v>858</v>
      </c>
      <c r="D181" t="s">
        <v>1315</v>
      </c>
      <c r="E181" t="s">
        <v>1316</v>
      </c>
      <c r="F181" t="s">
        <v>1312</v>
      </c>
      <c r="G181" s="30">
        <v>36.5</v>
      </c>
      <c r="H181" s="29">
        <f>G181*(1-IFERROR(VLOOKUP(F181,Rabat!$D$10:$E$41,2,FALSE),0))</f>
        <v>36.5</v>
      </c>
      <c r="I181" t="s">
        <v>2540</v>
      </c>
      <c r="J181" t="s">
        <v>275</v>
      </c>
      <c r="K181" t="s">
        <v>2538</v>
      </c>
      <c r="L181">
        <v>18</v>
      </c>
      <c r="M181">
        <v>360</v>
      </c>
      <c r="N181" t="s">
        <v>2544</v>
      </c>
      <c r="O181" s="31" t="str">
        <f>HYPERLINK("https://b2b.kobi.pl/pl/product/9941,oprawa-hermetyczna-hermetic-1x60-ip65-kobi?currency=PLN")</f>
        <v>https://b2b.kobi.pl/pl/product/9941,oprawa-hermetyczna-hermetic-1x60-ip65-kobi?currency=PLN</v>
      </c>
      <c r="P181" t="s">
        <v>16</v>
      </c>
      <c r="Q181"/>
    </row>
    <row r="182" spans="1:17" ht="15" x14ac:dyDescent="0.25">
      <c r="A182" t="s">
        <v>4</v>
      </c>
      <c r="B182" t="s">
        <v>1309</v>
      </c>
      <c r="C182" t="s">
        <v>858</v>
      </c>
      <c r="D182" t="s">
        <v>1310</v>
      </c>
      <c r="E182" t="s">
        <v>1311</v>
      </c>
      <c r="F182" t="s">
        <v>1312</v>
      </c>
      <c r="G182" s="30">
        <v>45.85</v>
      </c>
      <c r="H182" s="29">
        <f>G182*(1-IFERROR(VLOOKUP(F182,Rabat!$D$10:$E$41,2,FALSE),0))</f>
        <v>45.85</v>
      </c>
      <c r="I182" t="s">
        <v>2540</v>
      </c>
      <c r="J182" t="s">
        <v>276</v>
      </c>
      <c r="K182" t="s">
        <v>2538</v>
      </c>
      <c r="L182">
        <v>12</v>
      </c>
      <c r="M182">
        <v>216</v>
      </c>
      <c r="N182" t="s">
        <v>2544</v>
      </c>
      <c r="O182" s="31" t="str">
        <f>HYPERLINK("https://b2b.kobi.pl/pl/product/9939,oprawa-hermetyczna-hermetic-1x120-ip65-kobi?currency=PLN")</f>
        <v>https://b2b.kobi.pl/pl/product/9939,oprawa-hermetyczna-hermetic-1x120-ip65-kobi?currency=PLN</v>
      </c>
      <c r="P182" t="s">
        <v>16</v>
      </c>
      <c r="Q182"/>
    </row>
    <row r="183" spans="1:17" ht="15" x14ac:dyDescent="0.25">
      <c r="A183" t="s">
        <v>4</v>
      </c>
      <c r="B183" t="s">
        <v>1309</v>
      </c>
      <c r="C183" t="s">
        <v>858</v>
      </c>
      <c r="D183" t="s">
        <v>1313</v>
      </c>
      <c r="E183" t="s">
        <v>1314</v>
      </c>
      <c r="F183" t="s">
        <v>1312</v>
      </c>
      <c r="G183" s="30">
        <v>55.94</v>
      </c>
      <c r="H183" s="29">
        <f>G183*(1-IFERROR(VLOOKUP(F183,Rabat!$D$10:$E$41,2,FALSE),0))</f>
        <v>55.94</v>
      </c>
      <c r="I183" t="s">
        <v>2540</v>
      </c>
      <c r="J183" t="s">
        <v>277</v>
      </c>
      <c r="K183" t="s">
        <v>2538</v>
      </c>
      <c r="L183">
        <v>12</v>
      </c>
      <c r="M183">
        <v>180</v>
      </c>
      <c r="N183" t="s">
        <v>2544</v>
      </c>
      <c r="O183" s="31" t="str">
        <f>HYPERLINK("https://b2b.kobi.pl/pl/product/9940,oprawa-hermetyczna-hermetic-1x150-ip65-kobi?currency=PLN")</f>
        <v>https://b2b.kobi.pl/pl/product/9940,oprawa-hermetyczna-hermetic-1x150-ip65-kobi?currency=PLN</v>
      </c>
      <c r="P183" t="s">
        <v>16</v>
      </c>
      <c r="Q183"/>
    </row>
    <row r="184" spans="1:17" ht="15" x14ac:dyDescent="0.25">
      <c r="A184" t="s">
        <v>4</v>
      </c>
      <c r="B184" t="s">
        <v>1309</v>
      </c>
      <c r="C184" t="s">
        <v>858</v>
      </c>
      <c r="D184" t="s">
        <v>1329</v>
      </c>
      <c r="E184" t="s">
        <v>1330</v>
      </c>
      <c r="F184" t="s">
        <v>1312</v>
      </c>
      <c r="G184" s="30">
        <v>40.159999999999997</v>
      </c>
      <c r="H184" s="29">
        <f>G184*(1-IFERROR(VLOOKUP(F184,Rabat!$D$10:$E$41,2,FALSE),0))</f>
        <v>40.159999999999997</v>
      </c>
      <c r="I184" t="s">
        <v>2540</v>
      </c>
      <c r="J184" t="s">
        <v>280</v>
      </c>
      <c r="K184" t="s">
        <v>2538</v>
      </c>
      <c r="L184">
        <v>10</v>
      </c>
      <c r="M184">
        <v>250</v>
      </c>
      <c r="N184" t="s">
        <v>2544</v>
      </c>
      <c r="O184" s="31" t="str">
        <f>HYPERLINK("https://b2b.kobi.pl/pl/product/9944,oprawa-hermetyczna-hermetic-2x60-ip65-kobi?currency=PLN")</f>
        <v>https://b2b.kobi.pl/pl/product/9944,oprawa-hermetyczna-hermetic-2x60-ip65-kobi?currency=PLN</v>
      </c>
      <c r="P184" t="s">
        <v>16</v>
      </c>
      <c r="Q184"/>
    </row>
    <row r="185" spans="1:17" ht="15" x14ac:dyDescent="0.25">
      <c r="A185" t="s">
        <v>4</v>
      </c>
      <c r="B185" t="s">
        <v>1309</v>
      </c>
      <c r="C185" t="s">
        <v>858</v>
      </c>
      <c r="D185" t="s">
        <v>1319</v>
      </c>
      <c r="E185" t="s">
        <v>1320</v>
      </c>
      <c r="F185" t="s">
        <v>1312</v>
      </c>
      <c r="G185" s="30">
        <v>55.4</v>
      </c>
      <c r="H185" s="29">
        <f>G185*(1-IFERROR(VLOOKUP(F185,Rabat!$D$10:$E$41,2,FALSE),0))</f>
        <v>55.4</v>
      </c>
      <c r="I185" t="s">
        <v>2540</v>
      </c>
      <c r="J185" t="s">
        <v>278</v>
      </c>
      <c r="K185" t="s">
        <v>2538</v>
      </c>
      <c r="L185">
        <v>10</v>
      </c>
      <c r="M185">
        <v>150</v>
      </c>
      <c r="N185" t="s">
        <v>2544</v>
      </c>
      <c r="O185" s="31" t="str">
        <f>HYPERLINK("https://b2b.kobi.pl/pl/product/9942,oprawa-hermetyczna-hermetic-2x120-ip65-kobi?currency=PLN")</f>
        <v>https://b2b.kobi.pl/pl/product/9942,oprawa-hermetyczna-hermetic-2x120-ip65-kobi?currency=PLN</v>
      </c>
      <c r="P185" t="s">
        <v>16</v>
      </c>
      <c r="Q185"/>
    </row>
    <row r="186" spans="1:17" ht="15" x14ac:dyDescent="0.25">
      <c r="A186" t="s">
        <v>4</v>
      </c>
      <c r="B186" t="s">
        <v>1309</v>
      </c>
      <c r="C186" t="s">
        <v>858</v>
      </c>
      <c r="D186" t="s">
        <v>1325</v>
      </c>
      <c r="E186" t="s">
        <v>1326</v>
      </c>
      <c r="F186" t="s">
        <v>1312</v>
      </c>
      <c r="G186" s="30">
        <v>73.98</v>
      </c>
      <c r="H186" s="29">
        <f>G186*(1-IFERROR(VLOOKUP(F186,Rabat!$D$10:$E$41,2,FALSE),0))</f>
        <v>73.98</v>
      </c>
      <c r="I186" t="s">
        <v>2540</v>
      </c>
      <c r="J186" t="s">
        <v>279</v>
      </c>
      <c r="K186" t="s">
        <v>2538</v>
      </c>
      <c r="L186">
        <v>8</v>
      </c>
      <c r="M186">
        <v>120</v>
      </c>
      <c r="N186" t="s">
        <v>2544</v>
      </c>
      <c r="O186" s="31" t="str">
        <f>HYPERLINK("https://b2b.kobi.pl/pl/product/9943,oprawa-hermetyczna-hermetic-2x150-ip65-kobi?currency=PLN")</f>
        <v>https://b2b.kobi.pl/pl/product/9943,oprawa-hermetyczna-hermetic-2x150-ip65-kobi?currency=PLN</v>
      </c>
      <c r="P186" t="s">
        <v>16</v>
      </c>
      <c r="Q186"/>
    </row>
    <row r="187" spans="1:17" ht="15" x14ac:dyDescent="0.25">
      <c r="A187" t="s">
        <v>4</v>
      </c>
      <c r="B187" t="s">
        <v>1309</v>
      </c>
      <c r="C187" t="s">
        <v>858</v>
      </c>
      <c r="D187" t="s">
        <v>2092</v>
      </c>
      <c r="E187" t="s">
        <v>2093</v>
      </c>
      <c r="F187" t="s">
        <v>1312</v>
      </c>
      <c r="G187" s="30">
        <v>63.44</v>
      </c>
      <c r="H187" s="29">
        <f>G187*(1-IFERROR(VLOOKUP(F187,Rabat!$D$10:$E$41,2,FALSE),0))</f>
        <v>63.44</v>
      </c>
      <c r="I187" t="s">
        <v>2540</v>
      </c>
      <c r="J187" t="s">
        <v>287</v>
      </c>
      <c r="K187" t="s">
        <v>2538</v>
      </c>
      <c r="L187">
        <v>12</v>
      </c>
      <c r="M187">
        <v>216</v>
      </c>
      <c r="N187" t="s">
        <v>2544</v>
      </c>
      <c r="O187" s="31" t="str">
        <f>HYPERLINK("https://b2b.kobi.pl/pl/product/9934,zestaw-hermetic-1x120-led-t8-18w-4000k-ip65-kobi?currency=PLN")</f>
        <v>https://b2b.kobi.pl/pl/product/9934,zestaw-hermetic-1x120-led-t8-18w-4000k-ip65-kobi?currency=PLN</v>
      </c>
      <c r="P187" s="31" t="str">
        <f>HYPERLINK("https://eprel.ec.europa.eu/qr/1694744")</f>
        <v>https://eprel.ec.europa.eu/qr/1694744</v>
      </c>
      <c r="Q187" t="s">
        <v>2700</v>
      </c>
    </row>
    <row r="188" spans="1:17" ht="15" x14ac:dyDescent="0.25">
      <c r="A188" t="s">
        <v>4</v>
      </c>
      <c r="B188" t="s">
        <v>1309</v>
      </c>
      <c r="C188" t="s">
        <v>858</v>
      </c>
      <c r="D188" t="s">
        <v>2094</v>
      </c>
      <c r="E188" t="s">
        <v>2095</v>
      </c>
      <c r="F188" t="s">
        <v>1312</v>
      </c>
      <c r="G188" s="30">
        <v>66.69</v>
      </c>
      <c r="H188" s="29">
        <f>G188*(1-IFERROR(VLOOKUP(F188,Rabat!$D$10:$E$41,2,FALSE),0))</f>
        <v>66.69</v>
      </c>
      <c r="I188" t="s">
        <v>2540</v>
      </c>
      <c r="J188" t="s">
        <v>288</v>
      </c>
      <c r="K188" t="s">
        <v>2538</v>
      </c>
      <c r="L188">
        <v>10</v>
      </c>
      <c r="M188">
        <v>250</v>
      </c>
      <c r="N188" t="s">
        <v>2544</v>
      </c>
      <c r="O188" s="31" t="str">
        <f>HYPERLINK("https://b2b.kobi.pl/pl/product/9938,zestaw-hermetic-2x60-led-t8-9w-4000k-ip65-kobi?currency=PLN")</f>
        <v>https://b2b.kobi.pl/pl/product/9938,zestaw-hermetic-2x60-led-t8-9w-4000k-ip65-kobi?currency=PLN</v>
      </c>
      <c r="P188" s="31" t="str">
        <f>HYPERLINK("https://eprel.ec.europa.eu/qr/1694474")</f>
        <v>https://eprel.ec.europa.eu/qr/1694474</v>
      </c>
      <c r="Q188"/>
    </row>
    <row r="189" spans="1:17" ht="15" x14ac:dyDescent="0.25">
      <c r="A189" t="s">
        <v>4</v>
      </c>
      <c r="B189" t="s">
        <v>1309</v>
      </c>
      <c r="C189" t="s">
        <v>858</v>
      </c>
      <c r="D189" t="s">
        <v>2096</v>
      </c>
      <c r="E189" t="s">
        <v>2097</v>
      </c>
      <c r="F189" t="s">
        <v>1312</v>
      </c>
      <c r="G189" s="30">
        <v>88.76</v>
      </c>
      <c r="H189" s="29">
        <f>G189*(1-IFERROR(VLOOKUP(F189,Rabat!$D$10:$E$41,2,FALSE),0))</f>
        <v>88.76</v>
      </c>
      <c r="I189" t="s">
        <v>2540</v>
      </c>
      <c r="J189" t="s">
        <v>289</v>
      </c>
      <c r="K189" t="s">
        <v>2538</v>
      </c>
      <c r="L189">
        <v>10</v>
      </c>
      <c r="M189">
        <v>150</v>
      </c>
      <c r="N189" t="s">
        <v>2544</v>
      </c>
      <c r="O189" s="31" t="str">
        <f>HYPERLINK("https://b2b.kobi.pl/pl/product/9936,zestaw-hermetic-2x120-led-t8-18w-4000k-ip65-kobi?currency=PLN")</f>
        <v>https://b2b.kobi.pl/pl/product/9936,zestaw-hermetic-2x120-led-t8-18w-4000k-ip65-kobi?currency=PLN</v>
      </c>
      <c r="P189" s="31" t="str">
        <f>HYPERLINK("https://eprel.ec.europa.eu/qr/1694581")</f>
        <v>https://eprel.ec.europa.eu/qr/1694581</v>
      </c>
      <c r="Q189"/>
    </row>
    <row r="190" spans="1:17" ht="15" x14ac:dyDescent="0.25">
      <c r="A190" t="s">
        <v>4</v>
      </c>
      <c r="B190" t="s">
        <v>1309</v>
      </c>
      <c r="C190" t="s">
        <v>858</v>
      </c>
      <c r="D190" t="s">
        <v>2098</v>
      </c>
      <c r="E190" t="s">
        <v>2099</v>
      </c>
      <c r="F190" t="s">
        <v>1312</v>
      </c>
      <c r="G190" s="30">
        <v>88.76</v>
      </c>
      <c r="H190" s="29">
        <f>G190*(1-IFERROR(VLOOKUP(F190,Rabat!$D$10:$E$41,2,FALSE),0))</f>
        <v>88.76</v>
      </c>
      <c r="I190" t="s">
        <v>2540</v>
      </c>
      <c r="J190" t="s">
        <v>290</v>
      </c>
      <c r="K190" t="s">
        <v>2538</v>
      </c>
      <c r="L190">
        <v>10</v>
      </c>
      <c r="M190">
        <v>150</v>
      </c>
      <c r="N190" t="s">
        <v>2544</v>
      </c>
      <c r="O190" s="31" t="str">
        <f>HYPERLINK("https://b2b.kobi.pl/pl/product/9937,zestaw-hermetic-2x120-led-t8-18w-6500k-ip65-kobi?currency=PLN")</f>
        <v>https://b2b.kobi.pl/pl/product/9937,zestaw-hermetic-2x120-led-t8-18w-6500k-ip65-kobi?currency=PLN</v>
      </c>
      <c r="P190" s="31" t="str">
        <f>HYPERLINK("https://eprel.ec.europa.eu/qr/1694744")</f>
        <v>https://eprel.ec.europa.eu/qr/1694744</v>
      </c>
      <c r="Q190"/>
    </row>
    <row r="191" spans="1:17" ht="15" x14ac:dyDescent="0.25">
      <c r="A191" t="s">
        <v>4</v>
      </c>
      <c r="B191" t="s">
        <v>1309</v>
      </c>
      <c r="C191" t="s">
        <v>858</v>
      </c>
      <c r="D191" t="s">
        <v>2100</v>
      </c>
      <c r="E191" t="s">
        <v>2101</v>
      </c>
      <c r="F191" t="s">
        <v>1312</v>
      </c>
      <c r="G191" s="30">
        <v>88.76</v>
      </c>
      <c r="H191" s="29">
        <f>G191*(1-IFERROR(VLOOKUP(F191,Rabat!$D$10:$E$41,2,FALSE),0))</f>
        <v>88.76</v>
      </c>
      <c r="I191" t="s">
        <v>2540</v>
      </c>
      <c r="J191" t="s">
        <v>2638</v>
      </c>
      <c r="K191" t="s">
        <v>2538</v>
      </c>
      <c r="L191">
        <v>10</v>
      </c>
      <c r="M191">
        <v>150</v>
      </c>
      <c r="N191" t="s">
        <v>2544</v>
      </c>
      <c r="O191" s="31" t="str">
        <f>HYPERLINK("https://b2b.kobi.pl/pl/product/12115,zestaw-hermetyczny-hermetic-g2-2x-led-t8-18w-120cm-4000k-kobi?currency=PLN")</f>
        <v>https://b2b.kobi.pl/pl/product/12115,zestaw-hermetyczny-hermetic-g2-2x-led-t8-18w-120cm-4000k-kobi?currency=PLN</v>
      </c>
      <c r="P191" t="s">
        <v>16</v>
      </c>
      <c r="Q191"/>
    </row>
    <row r="192" spans="1:17" ht="15" x14ac:dyDescent="0.25">
      <c r="A192" t="s">
        <v>4</v>
      </c>
      <c r="B192" t="s">
        <v>1309</v>
      </c>
      <c r="C192" t="s">
        <v>858</v>
      </c>
      <c r="D192" t="s">
        <v>2102</v>
      </c>
      <c r="E192" t="s">
        <v>2103</v>
      </c>
      <c r="F192" t="s">
        <v>1312</v>
      </c>
      <c r="G192" s="30">
        <v>88.76</v>
      </c>
      <c r="H192" s="29">
        <f>G192*(1-IFERROR(VLOOKUP(F192,Rabat!$D$10:$E$41,2,FALSE),0))</f>
        <v>88.76</v>
      </c>
      <c r="I192" t="s">
        <v>2540</v>
      </c>
      <c r="J192" t="s">
        <v>2639</v>
      </c>
      <c r="K192" t="s">
        <v>2538</v>
      </c>
      <c r="L192">
        <v>10</v>
      </c>
      <c r="M192">
        <v>150</v>
      </c>
      <c r="N192" t="s">
        <v>2544</v>
      </c>
      <c r="O192" s="31" t="str">
        <f>HYPERLINK("https://b2b.kobi.pl/pl/product/12116,zestaw-hermetyczny-hermetic-g2-2x-led-t8-18w-120cm-6500k-kobi?currency=PLN")</f>
        <v>https://b2b.kobi.pl/pl/product/12116,zestaw-hermetyczny-hermetic-g2-2x-led-t8-18w-120cm-6500k-kobi?currency=PLN</v>
      </c>
      <c r="P192" t="s">
        <v>16</v>
      </c>
      <c r="Q192"/>
    </row>
    <row r="193" spans="1:17" ht="15" x14ac:dyDescent="0.25">
      <c r="A193" t="s">
        <v>4</v>
      </c>
      <c r="B193" t="s">
        <v>1309</v>
      </c>
      <c r="C193" t="s">
        <v>858</v>
      </c>
      <c r="D193" t="s">
        <v>1333</v>
      </c>
      <c r="E193" t="s">
        <v>1334</v>
      </c>
      <c r="F193" t="s">
        <v>1312</v>
      </c>
      <c r="G193" s="30">
        <v>66.790000000000006</v>
      </c>
      <c r="H193" s="29">
        <f>G193*(1-IFERROR(VLOOKUP(F193,Rabat!$D$10:$E$41,2,FALSE),0))</f>
        <v>66.790000000000006</v>
      </c>
      <c r="I193" t="s">
        <v>2540</v>
      </c>
      <c r="J193" t="s">
        <v>281</v>
      </c>
      <c r="K193" t="s">
        <v>2538</v>
      </c>
      <c r="L193">
        <v>8</v>
      </c>
      <c r="M193">
        <v>192</v>
      </c>
      <c r="N193" t="s">
        <v>2544</v>
      </c>
      <c r="O193" s="31" t="str">
        <f>HYPERLINK("https://b2b.kobi.pl/pl/product/9945,oprawa-hermetyczna-hermic-1x120-ip65-kobi?currency=PLN")</f>
        <v>https://b2b.kobi.pl/pl/product/9945,oprawa-hermetyczna-hermic-1x120-ip65-kobi?currency=PLN</v>
      </c>
      <c r="P193" t="s">
        <v>16</v>
      </c>
      <c r="Q193"/>
    </row>
    <row r="194" spans="1:17" ht="15" x14ac:dyDescent="0.25">
      <c r="A194" t="s">
        <v>4</v>
      </c>
      <c r="B194" t="s">
        <v>1309</v>
      </c>
      <c r="C194" t="s">
        <v>858</v>
      </c>
      <c r="D194" t="s">
        <v>1337</v>
      </c>
      <c r="E194" t="s">
        <v>1338</v>
      </c>
      <c r="F194" t="s">
        <v>1312</v>
      </c>
      <c r="G194" s="30">
        <v>77</v>
      </c>
      <c r="H194" s="29">
        <f>G194*(1-IFERROR(VLOOKUP(F194,Rabat!$D$10:$E$41,2,FALSE),0))</f>
        <v>77</v>
      </c>
      <c r="I194" t="s">
        <v>2540</v>
      </c>
      <c r="J194" t="s">
        <v>282</v>
      </c>
      <c r="K194" t="s">
        <v>2538</v>
      </c>
      <c r="L194">
        <v>6</v>
      </c>
      <c r="M194">
        <v>144</v>
      </c>
      <c r="N194" t="s">
        <v>2544</v>
      </c>
      <c r="O194" s="31" t="str">
        <f>HYPERLINK("https://b2b.kobi.pl/pl/product/9947,oprawa-hermetyczna-hermic-2x120-ip65-kobi?currency=PLN")</f>
        <v>https://b2b.kobi.pl/pl/product/9947,oprawa-hermetyczna-hermic-2x120-ip65-kobi?currency=PLN</v>
      </c>
      <c r="P194" t="s">
        <v>16</v>
      </c>
      <c r="Q194"/>
    </row>
    <row r="195" spans="1:17" ht="15" x14ac:dyDescent="0.25">
      <c r="A195" t="s">
        <v>4</v>
      </c>
      <c r="B195" t="s">
        <v>38</v>
      </c>
      <c r="C195" t="s">
        <v>840</v>
      </c>
      <c r="D195" t="s">
        <v>1241</v>
      </c>
      <c r="E195" t="s">
        <v>1242</v>
      </c>
      <c r="F195" t="s">
        <v>795</v>
      </c>
      <c r="G195" s="30">
        <v>155.24</v>
      </c>
      <c r="H195" s="29">
        <f>G195*(1-IFERROR(VLOOKUP(F195,Rabat!$D$10:$E$41,2,FALSE),0))</f>
        <v>155.24</v>
      </c>
      <c r="I195" t="s">
        <v>2549</v>
      </c>
      <c r="J195" t="s">
        <v>362</v>
      </c>
      <c r="K195" t="s">
        <v>2538</v>
      </c>
      <c r="L195">
        <v>6</v>
      </c>
      <c r="M195">
        <v>72</v>
      </c>
      <c r="N195" t="s">
        <v>2545</v>
      </c>
      <c r="O195" s="31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195" s="31" t="str">
        <f>HYPERLINK("https://eprel.ec.europa.eu/qr/1974395")</f>
        <v>https://eprel.ec.europa.eu/qr/1974395</v>
      </c>
      <c r="Q195"/>
    </row>
    <row r="196" spans="1:17" ht="15" x14ac:dyDescent="0.25">
      <c r="A196" t="s">
        <v>4</v>
      </c>
      <c r="B196" t="s">
        <v>38</v>
      </c>
      <c r="C196" t="s">
        <v>840</v>
      </c>
      <c r="D196" t="s">
        <v>1243</v>
      </c>
      <c r="E196" t="s">
        <v>1244</v>
      </c>
      <c r="F196" t="s">
        <v>795</v>
      </c>
      <c r="G196" s="30">
        <v>155.24</v>
      </c>
      <c r="H196" s="29">
        <f>G196*(1-IFERROR(VLOOKUP(F196,Rabat!$D$10:$E$41,2,FALSE),0))</f>
        <v>155.24</v>
      </c>
      <c r="I196" t="s">
        <v>2549</v>
      </c>
      <c r="J196" t="s">
        <v>361</v>
      </c>
      <c r="K196" t="s">
        <v>2538</v>
      </c>
      <c r="L196">
        <v>6</v>
      </c>
      <c r="M196">
        <v>72</v>
      </c>
      <c r="N196" t="s">
        <v>2545</v>
      </c>
      <c r="O196" s="31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196" s="31" t="str">
        <f>HYPERLINK("https://eprel.ec.europa.eu/qr/1974395")</f>
        <v>https://eprel.ec.europa.eu/qr/1974395</v>
      </c>
      <c r="Q196"/>
    </row>
    <row r="197" spans="1:17" ht="15" x14ac:dyDescent="0.25">
      <c r="A197" t="s">
        <v>4</v>
      </c>
      <c r="B197" t="s">
        <v>38</v>
      </c>
      <c r="C197" t="s">
        <v>840</v>
      </c>
      <c r="D197" t="s">
        <v>1245</v>
      </c>
      <c r="E197" t="s">
        <v>1246</v>
      </c>
      <c r="F197" t="s">
        <v>795</v>
      </c>
      <c r="G197" s="30">
        <v>181.04</v>
      </c>
      <c r="H197" s="29">
        <f>G197*(1-IFERROR(VLOOKUP(F197,Rabat!$D$10:$E$41,2,FALSE),0))</f>
        <v>181.04</v>
      </c>
      <c r="I197" t="s">
        <v>2549</v>
      </c>
      <c r="J197" t="s">
        <v>360</v>
      </c>
      <c r="K197" t="s">
        <v>2538</v>
      </c>
      <c r="L197">
        <v>6</v>
      </c>
      <c r="M197">
        <v>72</v>
      </c>
      <c r="N197" t="s">
        <v>2545</v>
      </c>
      <c r="O197" s="31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197" s="31" t="str">
        <f>HYPERLINK("https://eprel.ec.europa.eu/qr/1974462")</f>
        <v>https://eprel.ec.europa.eu/qr/1974462</v>
      </c>
      <c r="Q197"/>
    </row>
    <row r="198" spans="1:17" ht="15" x14ac:dyDescent="0.25">
      <c r="A198" t="s">
        <v>4</v>
      </c>
      <c r="B198" t="s">
        <v>38</v>
      </c>
      <c r="C198" t="s">
        <v>840</v>
      </c>
      <c r="D198" t="s">
        <v>1247</v>
      </c>
      <c r="E198" t="s">
        <v>1248</v>
      </c>
      <c r="F198" t="s">
        <v>795</v>
      </c>
      <c r="G198" s="30">
        <v>181.04</v>
      </c>
      <c r="H198" s="29">
        <f>G198*(1-IFERROR(VLOOKUP(F198,Rabat!$D$10:$E$41,2,FALSE),0))</f>
        <v>181.04</v>
      </c>
      <c r="I198" t="s">
        <v>2549</v>
      </c>
      <c r="J198" t="s">
        <v>359</v>
      </c>
      <c r="K198" t="s">
        <v>2538</v>
      </c>
      <c r="L198">
        <v>6</v>
      </c>
      <c r="M198">
        <v>72</v>
      </c>
      <c r="N198" t="s">
        <v>2545</v>
      </c>
      <c r="O198" s="31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198" s="31" t="str">
        <f>HYPERLINK("https://eprel.ec.europa.eu/qr/1974462")</f>
        <v>https://eprel.ec.europa.eu/qr/1974462</v>
      </c>
      <c r="Q198"/>
    </row>
    <row r="199" spans="1:17" ht="15" x14ac:dyDescent="0.25">
      <c r="A199" t="s">
        <v>4</v>
      </c>
      <c r="B199" t="s">
        <v>38</v>
      </c>
      <c r="C199" t="s">
        <v>792</v>
      </c>
      <c r="D199" t="s">
        <v>793</v>
      </c>
      <c r="E199" t="s">
        <v>794</v>
      </c>
      <c r="F199" t="s">
        <v>795</v>
      </c>
      <c r="G199" s="30">
        <v>331.88</v>
      </c>
      <c r="H199" s="29">
        <f>G199*(1-IFERROR(VLOOKUP(F199,Rabat!$D$10:$E$41,2,FALSE),0))</f>
        <v>331.88</v>
      </c>
      <c r="I199" t="s">
        <v>2537</v>
      </c>
      <c r="J199" t="s">
        <v>529</v>
      </c>
      <c r="K199" t="s">
        <v>2538</v>
      </c>
      <c r="L199">
        <v>5</v>
      </c>
      <c r="M199"/>
      <c r="N199" t="s">
        <v>2539</v>
      </c>
      <c r="O199" s="31" t="str">
        <f>HYPERLINK("https://b2b.kobi.pl/pl/product/8363,panel-led-ariel-40w-60x60-4000k-ip44-kobi-pro?currency=PLN")</f>
        <v>https://b2b.kobi.pl/pl/product/8363,panel-led-ariel-40w-60x60-4000k-ip44-kobi-pro?currency=PLN</v>
      </c>
      <c r="P199" s="31" t="str">
        <f>HYPERLINK("https://eprel.ec.europa.eu/qr/941060")</f>
        <v>https://eprel.ec.europa.eu/qr/941060</v>
      </c>
      <c r="Q199" t="s">
        <v>2700</v>
      </c>
    </row>
    <row r="200" spans="1:17" ht="15" x14ac:dyDescent="0.25">
      <c r="A200" t="s">
        <v>4</v>
      </c>
      <c r="B200" t="s">
        <v>38</v>
      </c>
      <c r="C200" t="s">
        <v>44</v>
      </c>
      <c r="D200" t="s">
        <v>1371</v>
      </c>
      <c r="E200" t="s">
        <v>1372</v>
      </c>
      <c r="F200" t="s">
        <v>795</v>
      </c>
      <c r="G200" s="30">
        <v>128.04</v>
      </c>
      <c r="H200" s="29">
        <f>G200*(1-IFERROR(VLOOKUP(F200,Rabat!$D$10:$E$41,2,FALSE),0))</f>
        <v>128.04</v>
      </c>
      <c r="I200" t="s">
        <v>2542</v>
      </c>
      <c r="J200" t="s">
        <v>347</v>
      </c>
      <c r="K200" t="s">
        <v>2538</v>
      </c>
      <c r="L200">
        <v>6</v>
      </c>
      <c r="M200">
        <v>66</v>
      </c>
      <c r="N200" t="s">
        <v>2544</v>
      </c>
      <c r="O200" s="31" t="str">
        <f>HYPERLINK("https://b2b.kobi.pl/pl/product/9970,panel-led-camaro-40w-60x60-4000k-led2b?currency=PLN")</f>
        <v>https://b2b.kobi.pl/pl/product/9970,panel-led-camaro-40w-60x60-4000k-led2b?currency=PLN</v>
      </c>
      <c r="P200" s="31" t="str">
        <f>HYPERLINK("https://eprel.ec.europa.eu/qr/834639")</f>
        <v>https://eprel.ec.europa.eu/qr/834639</v>
      </c>
      <c r="Q200" t="s">
        <v>2700</v>
      </c>
    </row>
    <row r="201" spans="1:17" ht="15" x14ac:dyDescent="0.25">
      <c r="A201" t="s">
        <v>4</v>
      </c>
      <c r="B201" t="s">
        <v>38</v>
      </c>
      <c r="C201" t="s">
        <v>792</v>
      </c>
      <c r="D201" t="s">
        <v>1251</v>
      </c>
      <c r="E201" t="s">
        <v>1252</v>
      </c>
      <c r="F201" t="s">
        <v>795</v>
      </c>
      <c r="G201" s="30">
        <v>174.74</v>
      </c>
      <c r="H201" s="29">
        <f>G201*(1-IFERROR(VLOOKUP(F201,Rabat!$D$10:$E$41,2,FALSE),0))</f>
        <v>174.74</v>
      </c>
      <c r="I201" t="s">
        <v>2549</v>
      </c>
      <c r="J201" t="s">
        <v>354</v>
      </c>
      <c r="K201" t="s">
        <v>2538</v>
      </c>
      <c r="L201">
        <v>6</v>
      </c>
      <c r="M201">
        <v>72</v>
      </c>
      <c r="N201" t="s">
        <v>2539</v>
      </c>
      <c r="O201" s="31" t="str">
        <f>HYPERLINK("https://b2b.kobi.pl/pl/product/9904,panel-led-capri-28w-60x60-4000k-ip44-kobi-pro?currency=PLN")</f>
        <v>https://b2b.kobi.pl/pl/product/9904,panel-led-capri-28w-60x60-4000k-ip44-kobi-pro?currency=PLN</v>
      </c>
      <c r="P201" s="31" t="str">
        <f>HYPERLINK("https://eprel.ec.europa.eu/qr/1668674")</f>
        <v>https://eprel.ec.europa.eu/qr/1668674</v>
      </c>
      <c r="Q201" t="s">
        <v>2700</v>
      </c>
    </row>
    <row r="202" spans="1:17" ht="15" x14ac:dyDescent="0.25">
      <c r="A202" t="s">
        <v>4</v>
      </c>
      <c r="B202" t="s">
        <v>38</v>
      </c>
      <c r="C202" t="s">
        <v>792</v>
      </c>
      <c r="D202" t="s">
        <v>1259</v>
      </c>
      <c r="E202" t="s">
        <v>1260</v>
      </c>
      <c r="F202" t="s">
        <v>795</v>
      </c>
      <c r="G202" s="30">
        <v>269.52999999999997</v>
      </c>
      <c r="H202" s="29">
        <f>G202*(1-IFERROR(VLOOKUP(F202,Rabat!$D$10:$E$41,2,FALSE),0))</f>
        <v>269.52999999999997</v>
      </c>
      <c r="I202" t="s">
        <v>2549</v>
      </c>
      <c r="J202" t="s">
        <v>355</v>
      </c>
      <c r="K202" t="s">
        <v>2538</v>
      </c>
      <c r="L202">
        <v>6</v>
      </c>
      <c r="M202">
        <v>84</v>
      </c>
      <c r="N202" t="s">
        <v>2539</v>
      </c>
      <c r="O202" s="31" t="str">
        <f>HYPERLINK("https://b2b.kobi.pl/pl/product/9910,panel-led-capri-36w-30x120-4000k-ugr-19-kobi-pro?currency=PLN")</f>
        <v>https://b2b.kobi.pl/pl/product/9910,panel-led-capri-36w-30x120-4000k-ugr-19-kobi-pro?currency=PLN</v>
      </c>
      <c r="P202" s="31" t="str">
        <f>HYPERLINK("https://eprel.ec.europa.eu/qr/1668645")</f>
        <v>https://eprel.ec.europa.eu/qr/1668645</v>
      </c>
      <c r="Q202" t="s">
        <v>2700</v>
      </c>
    </row>
    <row r="203" spans="1:17" ht="15" x14ac:dyDescent="0.25">
      <c r="A203" t="s">
        <v>4</v>
      </c>
      <c r="B203" t="s">
        <v>38</v>
      </c>
      <c r="C203" t="s">
        <v>792</v>
      </c>
      <c r="D203" t="s">
        <v>1255</v>
      </c>
      <c r="E203" t="s">
        <v>1256</v>
      </c>
      <c r="F203" t="s">
        <v>795</v>
      </c>
      <c r="G203" s="30">
        <v>188.03</v>
      </c>
      <c r="H203" s="29">
        <f>G203*(1-IFERROR(VLOOKUP(F203,Rabat!$D$10:$E$41,2,FALSE),0))</f>
        <v>188.03</v>
      </c>
      <c r="I203" t="s">
        <v>2549</v>
      </c>
      <c r="J203" t="s">
        <v>356</v>
      </c>
      <c r="K203" t="s">
        <v>2538</v>
      </c>
      <c r="L203">
        <v>6</v>
      </c>
      <c r="M203">
        <v>72</v>
      </c>
      <c r="N203" t="s">
        <v>2539</v>
      </c>
      <c r="O203" s="31" t="str">
        <f>HYPERLINK("https://b2b.kobi.pl/pl/product/9907,panel-led-capri-36w-60x60-4000k-kobi-pro?currency=PLN")</f>
        <v>https://b2b.kobi.pl/pl/product/9907,panel-led-capri-36w-60x60-4000k-kobi-pro?currency=PLN</v>
      </c>
      <c r="P203" s="31" t="str">
        <f>HYPERLINK("https://eprel.ec.europa.eu/qr/1668687")</f>
        <v>https://eprel.ec.europa.eu/qr/1668687</v>
      </c>
      <c r="Q203" t="s">
        <v>2700</v>
      </c>
    </row>
    <row r="204" spans="1:17" ht="15" x14ac:dyDescent="0.25">
      <c r="A204" t="s">
        <v>4</v>
      </c>
      <c r="B204" t="s">
        <v>38</v>
      </c>
      <c r="C204" t="s">
        <v>792</v>
      </c>
      <c r="D204" t="s">
        <v>1263</v>
      </c>
      <c r="E204" t="s">
        <v>1264</v>
      </c>
      <c r="F204" t="s">
        <v>795</v>
      </c>
      <c r="G204" s="30">
        <v>188.03</v>
      </c>
      <c r="H204" s="29">
        <f>G204*(1-IFERROR(VLOOKUP(F204,Rabat!$D$10:$E$41,2,FALSE),0))</f>
        <v>188.03</v>
      </c>
      <c r="I204" t="s">
        <v>2537</v>
      </c>
      <c r="J204" t="s">
        <v>348</v>
      </c>
      <c r="K204" t="s">
        <v>2538</v>
      </c>
      <c r="L204">
        <v>6</v>
      </c>
      <c r="M204">
        <v>66</v>
      </c>
      <c r="N204" t="s">
        <v>2539</v>
      </c>
      <c r="O204" s="31" t="str">
        <f>HYPERLINK("https://b2b.kobi.pl/pl/product/9911,panel-led-capri-40w-60x60-3000k-kobi-pro?currency=PLN")</f>
        <v>https://b2b.kobi.pl/pl/product/9911,panel-led-capri-40w-60x60-3000k-kobi-pro?currency=PLN</v>
      </c>
      <c r="P204" s="31" t="str">
        <f>HYPERLINK("https://eprel.ec.europa.eu/qr/1939576")</f>
        <v>https://eprel.ec.europa.eu/qr/1939576</v>
      </c>
      <c r="Q204" t="s">
        <v>2700</v>
      </c>
    </row>
    <row r="205" spans="1:17" ht="15" x14ac:dyDescent="0.25">
      <c r="A205" t="s">
        <v>4</v>
      </c>
      <c r="B205" t="s">
        <v>38</v>
      </c>
      <c r="C205" t="s">
        <v>792</v>
      </c>
      <c r="D205" t="s">
        <v>1271</v>
      </c>
      <c r="E205" t="s">
        <v>1272</v>
      </c>
      <c r="F205" t="s">
        <v>795</v>
      </c>
      <c r="G205" s="30">
        <v>225.63</v>
      </c>
      <c r="H205" s="29">
        <f>G205*(1-IFERROR(VLOOKUP(F205,Rabat!$D$10:$E$41,2,FALSE),0))</f>
        <v>225.63</v>
      </c>
      <c r="I205" t="s">
        <v>2549</v>
      </c>
      <c r="J205" t="s">
        <v>358</v>
      </c>
      <c r="K205" t="s">
        <v>2538</v>
      </c>
      <c r="L205">
        <v>6</v>
      </c>
      <c r="M205">
        <v>66</v>
      </c>
      <c r="N205" t="s">
        <v>2539</v>
      </c>
      <c r="O205" s="31" t="str">
        <f>HYPERLINK("https://b2b.kobi.pl/pl/product/9915,panel-led-capri-50w-60x60-4000k-kobi-pro?currency=PLN")</f>
        <v>https://b2b.kobi.pl/pl/product/9915,panel-led-capri-50w-60x60-4000k-kobi-pro?currency=PLN</v>
      </c>
      <c r="P205" s="31" t="str">
        <f>HYPERLINK("https://eprel.ec.europa.eu/qr/1668538")</f>
        <v>https://eprel.ec.europa.eu/qr/1668538</v>
      </c>
      <c r="Q205" t="s">
        <v>2700</v>
      </c>
    </row>
    <row r="206" spans="1:17" ht="15" x14ac:dyDescent="0.25">
      <c r="A206" t="s">
        <v>4</v>
      </c>
      <c r="B206" t="s">
        <v>38</v>
      </c>
      <c r="C206" t="s">
        <v>792</v>
      </c>
      <c r="D206" t="s">
        <v>1267</v>
      </c>
      <c r="E206" t="s">
        <v>1268</v>
      </c>
      <c r="F206" t="s">
        <v>795</v>
      </c>
      <c r="G206" s="30">
        <v>345</v>
      </c>
      <c r="H206" s="29">
        <f>G206*(1-IFERROR(VLOOKUP(F206,Rabat!$D$10:$E$41,2,FALSE),0))</f>
        <v>345</v>
      </c>
      <c r="I206" t="s">
        <v>2537</v>
      </c>
      <c r="J206" t="s">
        <v>357</v>
      </c>
      <c r="K206" t="s">
        <v>2538</v>
      </c>
      <c r="L206">
        <v>6</v>
      </c>
      <c r="M206">
        <v>60</v>
      </c>
      <c r="N206" t="s">
        <v>2539</v>
      </c>
      <c r="O206" s="31" t="str">
        <f>HYPERLINK("https://b2b.kobi.pl/pl/product/9913,panel-led-capri-40w-60x60-4000k-ip65-kobi-pro?currency=PLN")</f>
        <v>https://b2b.kobi.pl/pl/product/9913,panel-led-capri-40w-60x60-4000k-ip65-kobi-pro?currency=PLN</v>
      </c>
      <c r="P206" s="31" t="str">
        <f>HYPERLINK("https://eprel.ec.europa.eu/qr/2049249")</f>
        <v>https://eprel.ec.europa.eu/qr/2049249</v>
      </c>
      <c r="Q206"/>
    </row>
    <row r="207" spans="1:17" ht="15" x14ac:dyDescent="0.25">
      <c r="A207" t="s">
        <v>4</v>
      </c>
      <c r="B207" t="s">
        <v>38</v>
      </c>
      <c r="C207" t="s">
        <v>792</v>
      </c>
      <c r="D207" t="s">
        <v>1532</v>
      </c>
      <c r="E207" t="s">
        <v>1533</v>
      </c>
      <c r="F207" t="s">
        <v>795</v>
      </c>
      <c r="G207" s="30">
        <v>310</v>
      </c>
      <c r="H207" s="29">
        <f>G207*(1-IFERROR(VLOOKUP(F207,Rabat!$D$10:$E$41,2,FALSE),0))</f>
        <v>310</v>
      </c>
      <c r="I207" t="s">
        <v>2549</v>
      </c>
      <c r="J207" t="s">
        <v>350</v>
      </c>
      <c r="K207" t="s">
        <v>2538</v>
      </c>
      <c r="L207">
        <v>5</v>
      </c>
      <c r="M207">
        <v>75</v>
      </c>
      <c r="N207" t="s">
        <v>2539</v>
      </c>
      <c r="O207" s="31" t="str">
        <f>HYPERLINK("https://b2b.kobi.pl/pl/product/10112,panel-led-nelio-40w-60x60-4000k-kobi-pro?currency=PLN")</f>
        <v>https://b2b.kobi.pl/pl/product/10112,panel-led-nelio-40w-60x60-4000k-kobi-pro?currency=PLN</v>
      </c>
      <c r="P207" s="31" t="str">
        <f>HYPERLINK("https://eprel.ec.europa.eu/qr/1716547")</f>
        <v>https://eprel.ec.europa.eu/qr/1716547</v>
      </c>
      <c r="Q207" t="s">
        <v>2700</v>
      </c>
    </row>
    <row r="208" spans="1:17" ht="15" x14ac:dyDescent="0.25">
      <c r="A208" t="s">
        <v>4</v>
      </c>
      <c r="B208" t="s">
        <v>38</v>
      </c>
      <c r="C208" t="s">
        <v>792</v>
      </c>
      <c r="D208" t="s">
        <v>1528</v>
      </c>
      <c r="E208" t="s">
        <v>1529</v>
      </c>
      <c r="F208" t="s">
        <v>795</v>
      </c>
      <c r="G208" s="30">
        <v>340</v>
      </c>
      <c r="H208" s="29">
        <f>G208*(1-IFERROR(VLOOKUP(F208,Rabat!$D$10:$E$41,2,FALSE),0))</f>
        <v>340</v>
      </c>
      <c r="I208" t="s">
        <v>2549</v>
      </c>
      <c r="J208" t="s">
        <v>352</v>
      </c>
      <c r="K208" t="s">
        <v>2538</v>
      </c>
      <c r="L208">
        <v>5</v>
      </c>
      <c r="M208">
        <v>90</v>
      </c>
      <c r="N208" t="s">
        <v>2539</v>
      </c>
      <c r="O208" s="31" t="str">
        <f>HYPERLINK("https://b2b.kobi.pl/pl/product/10111,panel-led-nelio-40w-30x120-4000k-kobi-pro?currency=PLN")</f>
        <v>https://b2b.kobi.pl/pl/product/10111,panel-led-nelio-40w-30x120-4000k-kobi-pro?currency=PLN</v>
      </c>
      <c r="P208" s="31" t="str">
        <f>HYPERLINK("https://eprel.ec.europa.eu/qr/1716639")</f>
        <v>https://eprel.ec.europa.eu/qr/1716639</v>
      </c>
      <c r="Q208"/>
    </row>
    <row r="209" spans="1:17" ht="15" x14ac:dyDescent="0.25">
      <c r="A209" t="s">
        <v>4</v>
      </c>
      <c r="B209" t="s">
        <v>38</v>
      </c>
      <c r="C209" t="s">
        <v>840</v>
      </c>
      <c r="D209" t="s">
        <v>1523</v>
      </c>
      <c r="E209" t="s">
        <v>1524</v>
      </c>
      <c r="F209" t="s">
        <v>795</v>
      </c>
      <c r="G209" s="30">
        <v>222</v>
      </c>
      <c r="H209" s="29">
        <f>G209*(1-IFERROR(VLOOKUP(F209,Rabat!$D$10:$E$41,2,FALSE),0))</f>
        <v>222</v>
      </c>
      <c r="I209" t="s">
        <v>2540</v>
      </c>
      <c r="J209" t="s">
        <v>351</v>
      </c>
      <c r="K209" t="s">
        <v>2538</v>
      </c>
      <c r="L209">
        <v>5</v>
      </c>
      <c r="M209">
        <v>60</v>
      </c>
      <c r="N209" t="s">
        <v>2545</v>
      </c>
      <c r="O209" s="31" t="str">
        <f>HYPERLINK("https://b2b.kobi.pl/pl/product/10108,panel-led-nelio-40w-30x120-4000k-kobi-premium?currency=PLN")</f>
        <v>https://b2b.kobi.pl/pl/product/10108,panel-led-nelio-40w-30x120-4000k-kobi-premium?currency=PLN</v>
      </c>
      <c r="P209" t="s">
        <v>16</v>
      </c>
      <c r="Q209"/>
    </row>
    <row r="210" spans="1:17" ht="15" x14ac:dyDescent="0.25">
      <c r="A210" t="s">
        <v>4</v>
      </c>
      <c r="B210" t="s">
        <v>38</v>
      </c>
      <c r="C210" t="s">
        <v>840</v>
      </c>
      <c r="D210" t="s">
        <v>1538</v>
      </c>
      <c r="E210" t="s">
        <v>1539</v>
      </c>
      <c r="F210" t="s">
        <v>795</v>
      </c>
      <c r="G210" s="30">
        <v>178</v>
      </c>
      <c r="H210" s="29">
        <f>G210*(1-IFERROR(VLOOKUP(F210,Rabat!$D$10:$E$41,2,FALSE),0))</f>
        <v>178</v>
      </c>
      <c r="I210" t="s">
        <v>2540</v>
      </c>
      <c r="J210" t="s">
        <v>349</v>
      </c>
      <c r="K210" t="s">
        <v>2538</v>
      </c>
      <c r="L210">
        <v>10</v>
      </c>
      <c r="M210">
        <v>120</v>
      </c>
      <c r="N210" t="s">
        <v>2545</v>
      </c>
      <c r="O210" s="31" t="str">
        <f>HYPERLINK("https://b2b.kobi.pl/pl/product/10115,panel-led-nelio-28w-30x60-4000k-kobi-premium?currency=PLN")</f>
        <v>https://b2b.kobi.pl/pl/product/10115,panel-led-nelio-28w-30x60-4000k-kobi-premium?currency=PLN</v>
      </c>
      <c r="P210" t="s">
        <v>16</v>
      </c>
      <c r="Q210" t="s">
        <v>2700</v>
      </c>
    </row>
    <row r="211" spans="1:17" ht="15" x14ac:dyDescent="0.25">
      <c r="A211" t="s">
        <v>4</v>
      </c>
      <c r="B211" t="s">
        <v>38</v>
      </c>
      <c r="C211" t="s">
        <v>858</v>
      </c>
      <c r="D211" t="s">
        <v>1823</v>
      </c>
      <c r="E211" t="s">
        <v>1824</v>
      </c>
      <c r="F211" t="s">
        <v>795</v>
      </c>
      <c r="G211" s="30">
        <v>42</v>
      </c>
      <c r="H211" s="29">
        <f>G211*(1-IFERROR(VLOOKUP(F211,Rabat!$D$10:$E$41,2,FALSE),0))</f>
        <v>42</v>
      </c>
      <c r="I211" t="s">
        <v>2540</v>
      </c>
      <c r="J211" t="s">
        <v>264</v>
      </c>
      <c r="K211" t="s">
        <v>2538</v>
      </c>
      <c r="L211">
        <v>20</v>
      </c>
      <c r="M211">
        <v>800</v>
      </c>
      <c r="N211" t="s">
        <v>2544</v>
      </c>
      <c r="O211" s="31" t="str">
        <f>HYPERLINK("https://b2b.kobi.pl/pl/product/10123,ramka-45mm-do-panelu-led-30x60-klik-kobi?currency=PLN")</f>
        <v>https://b2b.kobi.pl/pl/product/10123,ramka-45mm-do-panelu-led-30x60-klik-kobi?currency=PLN</v>
      </c>
      <c r="P211" t="s">
        <v>16</v>
      </c>
      <c r="Q211"/>
    </row>
    <row r="212" spans="1:17" ht="15" x14ac:dyDescent="0.25">
      <c r="A212" t="s">
        <v>4</v>
      </c>
      <c r="B212" t="s">
        <v>38</v>
      </c>
      <c r="C212" t="s">
        <v>858</v>
      </c>
      <c r="D212" t="s">
        <v>1827</v>
      </c>
      <c r="E212" t="s">
        <v>1828</v>
      </c>
      <c r="F212" t="s">
        <v>795</v>
      </c>
      <c r="G212" s="30">
        <v>47.4</v>
      </c>
      <c r="H212" s="29">
        <f>G212*(1-IFERROR(VLOOKUP(F212,Rabat!$D$10:$E$41,2,FALSE),0))</f>
        <v>47.4</v>
      </c>
      <c r="I212" t="s">
        <v>2540</v>
      </c>
      <c r="J212" t="s">
        <v>265</v>
      </c>
      <c r="K212" t="s">
        <v>2538</v>
      </c>
      <c r="L212">
        <v>20</v>
      </c>
      <c r="M212">
        <v>960</v>
      </c>
      <c r="N212" t="s">
        <v>2544</v>
      </c>
      <c r="O212" s="31" t="str">
        <f>HYPERLINK("https://b2b.kobi.pl/pl/product/10124,ramka-45mm-do-panelu-led-60x60-klik-kobi?currency=PLN")</f>
        <v>https://b2b.kobi.pl/pl/product/10124,ramka-45mm-do-panelu-led-60x60-klik-kobi?currency=PLN</v>
      </c>
      <c r="P212" t="s">
        <v>16</v>
      </c>
      <c r="Q212"/>
    </row>
    <row r="213" spans="1:17" ht="15" x14ac:dyDescent="0.25">
      <c r="A213" t="s">
        <v>4</v>
      </c>
      <c r="B213" t="s">
        <v>38</v>
      </c>
      <c r="C213" t="s">
        <v>858</v>
      </c>
      <c r="D213" t="s">
        <v>1825</v>
      </c>
      <c r="E213" t="s">
        <v>1826</v>
      </c>
      <c r="F213" t="s">
        <v>795</v>
      </c>
      <c r="G213" s="30">
        <v>56</v>
      </c>
      <c r="H213" s="29">
        <f>G213*(1-IFERROR(VLOOKUP(F213,Rabat!$D$10:$E$41,2,FALSE),0))</f>
        <v>56</v>
      </c>
      <c r="I213" t="s">
        <v>2540</v>
      </c>
      <c r="J213" t="s">
        <v>263</v>
      </c>
      <c r="K213" t="s">
        <v>2538</v>
      </c>
      <c r="L213">
        <v>20</v>
      </c>
      <c r="M213"/>
      <c r="N213" t="s">
        <v>2544</v>
      </c>
      <c r="O213" s="31" t="str">
        <f>HYPERLINK("https://b2b.kobi.pl/pl/product/10122,ramka-45mm-do-panelu-led-30x120-klik-kobi?currency=PLN")</f>
        <v>https://b2b.kobi.pl/pl/product/10122,ramka-45mm-do-panelu-led-30x120-klik-kobi?currency=PLN</v>
      </c>
      <c r="P213" t="s">
        <v>16</v>
      </c>
      <c r="Q213"/>
    </row>
    <row r="214" spans="1:17" ht="15" x14ac:dyDescent="0.25">
      <c r="A214" t="s">
        <v>4</v>
      </c>
      <c r="B214" t="s">
        <v>38</v>
      </c>
      <c r="C214" t="s">
        <v>858</v>
      </c>
      <c r="D214" t="s">
        <v>1833</v>
      </c>
      <c r="E214" t="s">
        <v>1834</v>
      </c>
      <c r="F214" t="s">
        <v>795</v>
      </c>
      <c r="G214" s="30">
        <v>60.64</v>
      </c>
      <c r="H214" s="29">
        <f>G214*(1-IFERROR(VLOOKUP(F214,Rabat!$D$10:$E$41,2,FALSE),0))</f>
        <v>60.64</v>
      </c>
      <c r="I214" t="s">
        <v>2540</v>
      </c>
      <c r="J214" t="s">
        <v>267</v>
      </c>
      <c r="K214" t="s">
        <v>2538</v>
      </c>
      <c r="L214">
        <v>20</v>
      </c>
      <c r="M214">
        <v>600</v>
      </c>
      <c r="N214" t="s">
        <v>2544</v>
      </c>
      <c r="O214" s="31" t="str">
        <f>HYPERLINK("https://b2b.kobi.pl/pl/product/10120,ramka-63mm-do-panelu-led-60x60-klik-kobi?currency=PLN")</f>
        <v>https://b2b.kobi.pl/pl/product/10120,ramka-63mm-do-panelu-led-60x60-klik-kobi?currency=PLN</v>
      </c>
      <c r="P214" t="s">
        <v>16</v>
      </c>
      <c r="Q214"/>
    </row>
    <row r="215" spans="1:17" ht="15" x14ac:dyDescent="0.25">
      <c r="A215" t="s">
        <v>4</v>
      </c>
      <c r="B215" t="s">
        <v>38</v>
      </c>
      <c r="C215" t="s">
        <v>858</v>
      </c>
      <c r="D215" t="s">
        <v>1831</v>
      </c>
      <c r="E215" t="s">
        <v>1832</v>
      </c>
      <c r="F215" t="s">
        <v>795</v>
      </c>
      <c r="G215" s="30">
        <v>69.69</v>
      </c>
      <c r="H215" s="29">
        <f>G215*(1-IFERROR(VLOOKUP(F215,Rabat!$D$10:$E$41,2,FALSE),0))</f>
        <v>69.69</v>
      </c>
      <c r="I215" t="s">
        <v>2540</v>
      </c>
      <c r="J215" t="s">
        <v>270</v>
      </c>
      <c r="K215" t="s">
        <v>2538</v>
      </c>
      <c r="L215">
        <v>20</v>
      </c>
      <c r="M215">
        <v>500</v>
      </c>
      <c r="N215" t="s">
        <v>2544</v>
      </c>
      <c r="O215" s="31" t="str">
        <f>HYPERLINK("https://b2b.kobi.pl/pl/product/10121,ramka-63mm-do-panelu-led-60x60-klik-czarna-kobi?currency=PLN")</f>
        <v>https://b2b.kobi.pl/pl/product/10121,ramka-63mm-do-panelu-led-60x60-klik-czarna-kobi?currency=PLN</v>
      </c>
      <c r="P215" t="s">
        <v>16</v>
      </c>
      <c r="Q215"/>
    </row>
    <row r="216" spans="1:17" ht="15" x14ac:dyDescent="0.25">
      <c r="A216" t="s">
        <v>4</v>
      </c>
      <c r="B216" t="s">
        <v>38</v>
      </c>
      <c r="C216" t="s">
        <v>858</v>
      </c>
      <c r="D216" t="s">
        <v>1829</v>
      </c>
      <c r="E216" t="s">
        <v>1830</v>
      </c>
      <c r="F216" t="s">
        <v>795</v>
      </c>
      <c r="G216" s="30">
        <v>82</v>
      </c>
      <c r="H216" s="29">
        <f>G216*(1-IFERROR(VLOOKUP(F216,Rabat!$D$10:$E$41,2,FALSE),0))</f>
        <v>82</v>
      </c>
      <c r="I216" t="s">
        <v>2540</v>
      </c>
      <c r="J216" t="s">
        <v>266</v>
      </c>
      <c r="K216" t="s">
        <v>2538</v>
      </c>
      <c r="L216">
        <v>20</v>
      </c>
      <c r="M216">
        <v>360</v>
      </c>
      <c r="N216" t="s">
        <v>2544</v>
      </c>
      <c r="O216" s="31" t="str">
        <f>HYPERLINK("https://b2b.kobi.pl/pl/product/10119,ramka-63mm-do-panelu-led-30x120-klik-kobi?currency=PLN")</f>
        <v>https://b2b.kobi.pl/pl/product/10119,ramka-63mm-do-panelu-led-30x120-klik-kobi?currency=PLN</v>
      </c>
      <c r="P216" t="s">
        <v>16</v>
      </c>
      <c r="Q216"/>
    </row>
    <row r="217" spans="1:17" ht="15" x14ac:dyDescent="0.25">
      <c r="A217" t="s">
        <v>4</v>
      </c>
      <c r="B217" t="s">
        <v>38</v>
      </c>
      <c r="C217" t="s">
        <v>858</v>
      </c>
      <c r="D217" t="s">
        <v>1835</v>
      </c>
      <c r="E217" t="s">
        <v>1836</v>
      </c>
      <c r="F217" t="s">
        <v>795</v>
      </c>
      <c r="G217" s="30">
        <v>76</v>
      </c>
      <c r="H217" s="29">
        <f>G217*(1-IFERROR(VLOOKUP(F217,Rabat!$D$10:$E$41,2,FALSE),0))</f>
        <v>76</v>
      </c>
      <c r="I217" t="s">
        <v>2540</v>
      </c>
      <c r="J217" t="s">
        <v>271</v>
      </c>
      <c r="K217" t="s">
        <v>2538</v>
      </c>
      <c r="L217">
        <v>20</v>
      </c>
      <c r="M217"/>
      <c r="N217" t="s">
        <v>2544</v>
      </c>
      <c r="O217" s="31" t="str">
        <f>HYPERLINK("https://b2b.kobi.pl/pl/product/10117,ramka-70mm-do-panelu-led-60x60-klik-kobi?currency=PLN")</f>
        <v>https://b2b.kobi.pl/pl/product/10117,ramka-70mm-do-panelu-led-60x60-klik-kobi?currency=PLN</v>
      </c>
      <c r="P217" t="s">
        <v>16</v>
      </c>
      <c r="Q217"/>
    </row>
    <row r="218" spans="1:17" ht="15" x14ac:dyDescent="0.25">
      <c r="A218" t="s">
        <v>4</v>
      </c>
      <c r="B218" t="s">
        <v>38</v>
      </c>
      <c r="C218" t="s">
        <v>858</v>
      </c>
      <c r="D218" t="s">
        <v>2020</v>
      </c>
      <c r="E218" t="s">
        <v>2021</v>
      </c>
      <c r="F218" t="s">
        <v>795</v>
      </c>
      <c r="G218" s="30">
        <v>27.61</v>
      </c>
      <c r="H218" s="29">
        <f>G218*(1-IFERROR(VLOOKUP(F218,Rabat!$D$10:$E$41,2,FALSE),0))</f>
        <v>27.61</v>
      </c>
      <c r="I218" t="s">
        <v>2540</v>
      </c>
      <c r="J218" t="s">
        <v>268</v>
      </c>
      <c r="K218" t="s">
        <v>2561</v>
      </c>
      <c r="L218">
        <v>250</v>
      </c>
      <c r="M218"/>
      <c r="N218" t="s">
        <v>2544</v>
      </c>
      <c r="O218" s="31" t="str">
        <f>HYPERLINK("https://b2b.kobi.pl/pl/product/10125,uchwyty-do-kartongipsu-nelio-60x60-kobi?currency=PLN")</f>
        <v>https://b2b.kobi.pl/pl/product/10125,uchwyty-do-kartongipsu-nelio-60x60-kobi?currency=PLN</v>
      </c>
      <c r="P218" t="s">
        <v>16</v>
      </c>
      <c r="Q218"/>
    </row>
    <row r="219" spans="1:17" ht="15" x14ac:dyDescent="0.25">
      <c r="A219" t="s">
        <v>4</v>
      </c>
      <c r="B219" t="s">
        <v>38</v>
      </c>
      <c r="C219" t="s">
        <v>858</v>
      </c>
      <c r="D219" t="s">
        <v>2018</v>
      </c>
      <c r="E219" t="s">
        <v>2019</v>
      </c>
      <c r="F219" t="s">
        <v>795</v>
      </c>
      <c r="G219" s="30">
        <v>30.84</v>
      </c>
      <c r="H219" s="29">
        <f>G219*(1-IFERROR(VLOOKUP(F219,Rabat!$D$10:$E$41,2,FALSE),0))</f>
        <v>30.84</v>
      </c>
      <c r="I219" t="s">
        <v>2540</v>
      </c>
      <c r="J219" t="s">
        <v>269</v>
      </c>
      <c r="K219" t="s">
        <v>2561</v>
      </c>
      <c r="L219">
        <v>150</v>
      </c>
      <c r="M219"/>
      <c r="N219" t="s">
        <v>2544</v>
      </c>
      <c r="O219" s="31" t="str">
        <f>HYPERLINK("https://b2b.kobi.pl/pl/product/10126,uchwyty-do-kartongipsu-nelio-30x120-kobi?currency=PLN")</f>
        <v>https://b2b.kobi.pl/pl/product/10126,uchwyty-do-kartongipsu-nelio-30x120-kobi?currency=PLN</v>
      </c>
      <c r="P219" t="s">
        <v>16</v>
      </c>
      <c r="Q219"/>
    </row>
    <row r="220" spans="1:17" ht="15" x14ac:dyDescent="0.25">
      <c r="A220" t="s">
        <v>4</v>
      </c>
      <c r="B220" t="s">
        <v>38</v>
      </c>
      <c r="C220" t="s">
        <v>858</v>
      </c>
      <c r="D220" t="s">
        <v>1317</v>
      </c>
      <c r="E220" t="s">
        <v>1318</v>
      </c>
      <c r="F220" t="s">
        <v>795</v>
      </c>
      <c r="G220" s="30">
        <v>27.75</v>
      </c>
      <c r="H220" s="29">
        <f>G220*(1-IFERROR(VLOOKUP(F220,Rabat!$D$10:$E$41,2,FALSE),0))</f>
        <v>27.75</v>
      </c>
      <c r="I220" t="s">
        <v>2540</v>
      </c>
      <c r="J220" t="s">
        <v>262</v>
      </c>
      <c r="K220" t="s">
        <v>2561</v>
      </c>
      <c r="L220">
        <v>200</v>
      </c>
      <c r="M220"/>
      <c r="N220" t="s">
        <v>2544</v>
      </c>
      <c r="O220" s="31" t="str">
        <f>HYPERLINK("https://b2b.kobi.pl/pl/product/10114,linka-do-panelu-led-kobi?currency=PLN")</f>
        <v>https://b2b.kobi.pl/pl/product/10114,linka-do-panelu-led-kobi?currency=PLN</v>
      </c>
      <c r="P220" t="s">
        <v>16</v>
      </c>
      <c r="Q220"/>
    </row>
    <row r="221" spans="1:17" ht="15" x14ac:dyDescent="0.25">
      <c r="A221" t="s">
        <v>4</v>
      </c>
      <c r="B221" t="s">
        <v>38</v>
      </c>
      <c r="C221" t="s">
        <v>792</v>
      </c>
      <c r="D221" t="s">
        <v>2048</v>
      </c>
      <c r="E221" t="s">
        <v>2049</v>
      </c>
      <c r="F221" t="s">
        <v>795</v>
      </c>
      <c r="G221" s="30">
        <v>44</v>
      </c>
      <c r="H221" s="29">
        <f>G221*(1-IFERROR(VLOOKUP(F221,Rabat!$D$10:$E$41,2,FALSE),0))</f>
        <v>44</v>
      </c>
      <c r="I221" t="s">
        <v>2540</v>
      </c>
      <c r="J221" t="s">
        <v>272</v>
      </c>
      <c r="K221" t="s">
        <v>2538</v>
      </c>
      <c r="L221">
        <v>1</v>
      </c>
      <c r="M221"/>
      <c r="N221" t="s">
        <v>2539</v>
      </c>
      <c r="O221" s="31" t="str">
        <f>HYPERLINK("https://b2b.kobi.pl/pl/product/10228,zasilacz-do-panelu-led-36w-lf-gif040ys900h?currency=PLN")</f>
        <v>https://b2b.kobi.pl/pl/product/10228,zasilacz-do-panelu-led-36w-lf-gif040ys900h?currency=PLN</v>
      </c>
      <c r="P221" t="s">
        <v>16</v>
      </c>
      <c r="Q221"/>
    </row>
    <row r="222" spans="1:17" ht="15" x14ac:dyDescent="0.25">
      <c r="A222" t="s">
        <v>4</v>
      </c>
      <c r="B222" t="s">
        <v>38</v>
      </c>
      <c r="C222" t="s">
        <v>858</v>
      </c>
      <c r="D222" t="s">
        <v>2064</v>
      </c>
      <c r="E222" t="s">
        <v>2065</v>
      </c>
      <c r="F222" t="s">
        <v>795</v>
      </c>
      <c r="G222" s="30">
        <v>220.82</v>
      </c>
      <c r="H222" s="29">
        <f>G222*(1-IFERROR(VLOOKUP(F222,Rabat!$D$10:$E$41,2,FALSE),0))</f>
        <v>220.82</v>
      </c>
      <c r="I222" t="s">
        <v>2540</v>
      </c>
      <c r="J222" t="s">
        <v>2637</v>
      </c>
      <c r="K222" t="s">
        <v>2561</v>
      </c>
      <c r="L222">
        <v>1</v>
      </c>
      <c r="M222"/>
      <c r="N222" t="s">
        <v>2539</v>
      </c>
      <c r="O222" s="31" t="str">
        <f>HYPERLINK("https://b2b.kobi.pl/pl/product/9916,zasilacz-lf-gsd040yc-dali-lifud?currency=PLN")</f>
        <v>https://b2b.kobi.pl/pl/product/9916,zasilacz-lf-gsd040yc-dali-lifud?currency=PLN</v>
      </c>
      <c r="P222" t="s">
        <v>16</v>
      </c>
      <c r="Q222"/>
    </row>
    <row r="223" spans="1:17" ht="15" x14ac:dyDescent="0.25">
      <c r="A223" t="s">
        <v>4</v>
      </c>
      <c r="B223" t="s">
        <v>38</v>
      </c>
      <c r="C223" t="s">
        <v>792</v>
      </c>
      <c r="D223" t="s">
        <v>2050</v>
      </c>
      <c r="E223" t="s">
        <v>2051</v>
      </c>
      <c r="F223" t="s">
        <v>795</v>
      </c>
      <c r="G223" s="30">
        <v>45</v>
      </c>
      <c r="H223" s="29">
        <f>G223*(1-IFERROR(VLOOKUP(F223,Rabat!$D$10:$E$41,2,FALSE),0))</f>
        <v>45</v>
      </c>
      <c r="I223" t="s">
        <v>2540</v>
      </c>
      <c r="J223" t="s">
        <v>273</v>
      </c>
      <c r="K223" t="s">
        <v>2538</v>
      </c>
      <c r="L223">
        <v>1</v>
      </c>
      <c r="M223"/>
      <c r="N223" t="s">
        <v>2539</v>
      </c>
      <c r="O223" s="31" t="str">
        <f>HYPERLINK("https://b2b.kobi.pl/pl/product/10229,zasilacz-do-panelu-led-40w-lf-gif040ys1000h?currency=PLN")</f>
        <v>https://b2b.kobi.pl/pl/product/10229,zasilacz-do-panelu-led-40w-lf-gif040ys1000h?currency=PLN</v>
      </c>
      <c r="P223" t="s">
        <v>16</v>
      </c>
      <c r="Q223"/>
    </row>
    <row r="224" spans="1:17" ht="15" x14ac:dyDescent="0.25">
      <c r="A224" t="s">
        <v>4</v>
      </c>
      <c r="B224" t="s">
        <v>38</v>
      </c>
      <c r="C224" t="s">
        <v>792</v>
      </c>
      <c r="D224" t="s">
        <v>2062</v>
      </c>
      <c r="E224" t="s">
        <v>2063</v>
      </c>
      <c r="F224" t="s">
        <v>795</v>
      </c>
      <c r="G224" s="30">
        <v>215</v>
      </c>
      <c r="H224" s="29">
        <f>G224*(1-IFERROR(VLOOKUP(F224,Rabat!$D$10:$E$41,2,FALSE),0))</f>
        <v>215</v>
      </c>
      <c r="I224" t="s">
        <v>2540</v>
      </c>
      <c r="J224" t="s">
        <v>274</v>
      </c>
      <c r="K224" t="s">
        <v>2538</v>
      </c>
      <c r="L224">
        <v>1</v>
      </c>
      <c r="M224"/>
      <c r="N224" t="s">
        <v>2539</v>
      </c>
      <c r="O224" s="31" t="str">
        <f>HYPERLINK("https://b2b.kobi.pl/pl/product/10230,zasilacz-lf-gsd020yc-lifud-dali?currency=PLN")</f>
        <v>https://b2b.kobi.pl/pl/product/10230,zasilacz-lf-gsd020yc-lifud-dali?currency=PLN</v>
      </c>
      <c r="P224" t="s">
        <v>16</v>
      </c>
      <c r="Q224"/>
    </row>
    <row r="225" spans="1:17" ht="15" x14ac:dyDescent="0.25">
      <c r="A225" t="s">
        <v>4</v>
      </c>
      <c r="B225" t="s">
        <v>38</v>
      </c>
      <c r="C225" t="s">
        <v>792</v>
      </c>
      <c r="D225" t="s">
        <v>1812</v>
      </c>
      <c r="E225" t="s">
        <v>1813</v>
      </c>
      <c r="F225" t="s">
        <v>795</v>
      </c>
      <c r="G225" s="30">
        <v>164.22</v>
      </c>
      <c r="H225" s="29">
        <f>G225*(1-IFERROR(VLOOKUP(F225,Rabat!$D$10:$E$41,2,FALSE),0))</f>
        <v>164.22</v>
      </c>
      <c r="I225" t="s">
        <v>2540</v>
      </c>
      <c r="J225" t="s">
        <v>2608</v>
      </c>
      <c r="K225" t="s">
        <v>2538</v>
      </c>
      <c r="L225">
        <v>6</v>
      </c>
      <c r="M225"/>
      <c r="N225" t="s">
        <v>2539</v>
      </c>
      <c r="O225" s="31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25" s="31" t="str">
        <f>HYPERLINK("https://eprel.ec.europa.eu/qr/2205372")</f>
        <v>https://eprel.ec.europa.eu/qr/2205372</v>
      </c>
      <c r="Q225"/>
    </row>
    <row r="226" spans="1:17" ht="15" x14ac:dyDescent="0.25">
      <c r="A226" t="s">
        <v>4</v>
      </c>
      <c r="B226" t="s">
        <v>38</v>
      </c>
      <c r="C226" t="s">
        <v>792</v>
      </c>
      <c r="D226" t="s">
        <v>1814</v>
      </c>
      <c r="E226" t="s">
        <v>1815</v>
      </c>
      <c r="F226" t="s">
        <v>795</v>
      </c>
      <c r="G226" s="30">
        <v>199.9</v>
      </c>
      <c r="H226" s="29">
        <f>G226*(1-IFERROR(VLOOKUP(F226,Rabat!$D$10:$E$41,2,FALSE),0))</f>
        <v>199.9</v>
      </c>
      <c r="I226" t="s">
        <v>2540</v>
      </c>
      <c r="J226" t="s">
        <v>2609</v>
      </c>
      <c r="K226" t="s">
        <v>2538</v>
      </c>
      <c r="L226">
        <v>6</v>
      </c>
      <c r="M226">
        <v>72</v>
      </c>
      <c r="N226" t="s">
        <v>2539</v>
      </c>
      <c r="O226" s="31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26" s="31" t="str">
        <f>HYPERLINK("https://eprel.ec.europa.eu/qr/2206477")</f>
        <v>https://eprel.ec.europa.eu/qr/2206477</v>
      </c>
      <c r="Q226"/>
    </row>
    <row r="227" spans="1:17" ht="15" x14ac:dyDescent="0.25">
      <c r="A227" t="s">
        <v>4</v>
      </c>
      <c r="B227" t="s">
        <v>38</v>
      </c>
      <c r="C227" t="s">
        <v>792</v>
      </c>
      <c r="D227" t="s">
        <v>2702</v>
      </c>
      <c r="E227" t="s">
        <v>2703</v>
      </c>
      <c r="F227" t="s">
        <v>795</v>
      </c>
      <c r="G227" s="30">
        <v>186.44</v>
      </c>
      <c r="H227" s="29">
        <f>G227*(1-IFERROR(VLOOKUP(F227,Rabat!$D$10:$E$41,2,FALSE),0))</f>
        <v>186.44</v>
      </c>
      <c r="I227" t="s">
        <v>2540</v>
      </c>
      <c r="J227" t="s">
        <v>2712</v>
      </c>
      <c r="K227" t="s">
        <v>2538</v>
      </c>
      <c r="L227">
        <v>6</v>
      </c>
      <c r="M227">
        <v>84</v>
      </c>
      <c r="N227" t="s">
        <v>2539</v>
      </c>
      <c r="O227" s="31" t="str">
        <f>HYPERLINK("https://b2b.kobi.pl/pl/product/12266,panel-led-capri-g2-25-36-40w-30x120-3cct-ip44-kobi-pro?currency=PLN")</f>
        <v>https://b2b.kobi.pl/pl/product/12266,panel-led-capri-g2-25-36-40w-30x120-3cct-ip44-kobi-pro?currency=PLN</v>
      </c>
      <c r="P227" s="31" t="str">
        <f>HYPERLINK("https://eprel.ec.europa.eu/qr/2206494")</f>
        <v>https://eprel.ec.europa.eu/qr/2206494</v>
      </c>
      <c r="Q227"/>
    </row>
    <row r="228" spans="1:17" ht="15" x14ac:dyDescent="0.25">
      <c r="A228" t="s">
        <v>4</v>
      </c>
      <c r="B228" t="s">
        <v>38</v>
      </c>
      <c r="C228" t="s">
        <v>792</v>
      </c>
      <c r="D228" t="s">
        <v>2704</v>
      </c>
      <c r="E228" t="s">
        <v>2705</v>
      </c>
      <c r="F228" t="s">
        <v>795</v>
      </c>
      <c r="G228" s="30">
        <v>197.78</v>
      </c>
      <c r="H228" s="29">
        <f>G228*(1-IFERROR(VLOOKUP(F228,Rabat!$D$10:$E$41,2,FALSE),0))</f>
        <v>197.78</v>
      </c>
      <c r="I228" t="s">
        <v>2540</v>
      </c>
      <c r="J228" t="s">
        <v>2713</v>
      </c>
      <c r="K228" t="s">
        <v>2538</v>
      </c>
      <c r="L228">
        <v>6</v>
      </c>
      <c r="M228">
        <v>84</v>
      </c>
      <c r="N228" t="s">
        <v>2539</v>
      </c>
      <c r="O228" s="31" t="str">
        <f>HYPERLINK("https://b2b.kobi.pl/pl/product/12267,panel-led-capri-g2-25-36-40w-30x120-3cct-ip44-ugr-19-kobi-pro?currency=PLN")</f>
        <v>https://b2b.kobi.pl/pl/product/12267,panel-led-capri-g2-25-36-40w-30x120-3cct-ip44-ugr-19-kobi-pro?currency=PLN</v>
      </c>
      <c r="P228" s="31" t="str">
        <f>HYPERLINK("https://eprel.ec.europa.eu/qr/2206511")</f>
        <v>https://eprel.ec.europa.eu/qr/2206511</v>
      </c>
      <c r="Q228"/>
    </row>
    <row r="229" spans="1:17" ht="15" x14ac:dyDescent="0.25">
      <c r="A229" t="s">
        <v>4</v>
      </c>
      <c r="B229" t="s">
        <v>38</v>
      </c>
      <c r="C229" t="s">
        <v>792</v>
      </c>
      <c r="D229" t="s">
        <v>2706</v>
      </c>
      <c r="E229" t="s">
        <v>2707</v>
      </c>
      <c r="F229" t="s">
        <v>795</v>
      </c>
      <c r="G229" s="30">
        <v>208.89</v>
      </c>
      <c r="H229" s="29">
        <f>G229*(1-IFERROR(VLOOKUP(F229,Rabat!$D$10:$E$41,2,FALSE),0))</f>
        <v>208.89</v>
      </c>
      <c r="I229" t="s">
        <v>2540</v>
      </c>
      <c r="J229" t="s">
        <v>2714</v>
      </c>
      <c r="K229" t="s">
        <v>2538</v>
      </c>
      <c r="L229">
        <v>6</v>
      </c>
      <c r="M229">
        <v>72</v>
      </c>
      <c r="N229" t="s">
        <v>2539</v>
      </c>
      <c r="O229" s="31" t="str">
        <f>HYPERLINK("https://b2b.kobi.pl/pl/product/12268,panel-led-capri-g3-25-36-40w-60x60-3cct-ip44-ugr-19-kobi-pro?currency=PLN")</f>
        <v>https://b2b.kobi.pl/pl/product/12268,panel-led-capri-g3-25-36-40w-60x60-3cct-ip44-ugr-19-kobi-pro?currency=PLN</v>
      </c>
      <c r="P229" s="31" t="str">
        <f>HYPERLINK("https://eprel.ec.europa.eu/qr/2206621")</f>
        <v>https://eprel.ec.europa.eu/qr/2206621</v>
      </c>
      <c r="Q229"/>
    </row>
    <row r="230" spans="1:17" ht="15" x14ac:dyDescent="0.25">
      <c r="A230" t="s">
        <v>4</v>
      </c>
      <c r="B230" t="s">
        <v>38</v>
      </c>
      <c r="C230" t="s">
        <v>858</v>
      </c>
      <c r="D230" t="s">
        <v>2691</v>
      </c>
      <c r="E230" t="s">
        <v>2692</v>
      </c>
      <c r="F230" t="s">
        <v>795</v>
      </c>
      <c r="G230" s="30">
        <v>108.89</v>
      </c>
      <c r="H230" s="29">
        <f>G230*(1-IFERROR(VLOOKUP(F230,Rabat!$D$10:$E$41,2,FALSE),0))</f>
        <v>108.89</v>
      </c>
      <c r="I230" t="s">
        <v>2540</v>
      </c>
      <c r="J230" t="s">
        <v>2697</v>
      </c>
      <c r="K230" t="s">
        <v>2538</v>
      </c>
      <c r="L230">
        <v>6</v>
      </c>
      <c r="M230">
        <v>72</v>
      </c>
      <c r="N230" t="s">
        <v>2545</v>
      </c>
      <c r="O230" s="31" t="str">
        <f>HYPERLINK("https://b2b.kobi.pl/pl/product/12269,panel-led-davro-40w-60x60-4000k-kobi?currency=PLN")</f>
        <v>https://b2b.kobi.pl/pl/product/12269,panel-led-davro-40w-60x60-4000k-kobi?currency=PLN</v>
      </c>
      <c r="P230" s="31" t="str">
        <f>HYPERLINK("https://eprel.ec.europa.eu/qr/2206632")</f>
        <v>https://eprel.ec.europa.eu/qr/2206632</v>
      </c>
      <c r="Q230"/>
    </row>
    <row r="231" spans="1:17" ht="15" x14ac:dyDescent="0.25">
      <c r="A231" t="s">
        <v>4</v>
      </c>
      <c r="B231" t="s">
        <v>38</v>
      </c>
      <c r="C231" t="s">
        <v>792</v>
      </c>
      <c r="D231" t="s">
        <v>2695</v>
      </c>
      <c r="E231" t="s">
        <v>2696</v>
      </c>
      <c r="F231" t="s">
        <v>795</v>
      </c>
      <c r="G231" s="30">
        <v>153.33000000000001</v>
      </c>
      <c r="H231" s="29">
        <f>G231*(1-IFERROR(VLOOKUP(F231,Rabat!$D$10:$E$41,2,FALSE),0))</f>
        <v>153.33000000000001</v>
      </c>
      <c r="I231" t="s">
        <v>2540</v>
      </c>
      <c r="J231" t="s">
        <v>2699</v>
      </c>
      <c r="K231" t="s">
        <v>2538</v>
      </c>
      <c r="L231">
        <v>6</v>
      </c>
      <c r="M231">
        <v>120</v>
      </c>
      <c r="N231" t="s">
        <v>2539</v>
      </c>
      <c r="O231" s="31" t="str">
        <f>HYPERLINK("https://b2b.kobi.pl/pl/product/12272,panel-led-nelio-g2-25w-60x30-4000k-kobi-pro?currency=PLN")</f>
        <v>https://b2b.kobi.pl/pl/product/12272,panel-led-nelio-g2-25w-60x30-4000k-kobi-pro?currency=PLN</v>
      </c>
      <c r="P231" s="31" t="str">
        <f>HYPERLINK("https://eprel.ec.europa.eu/qr/2206669")</f>
        <v>https://eprel.ec.europa.eu/qr/2206669</v>
      </c>
      <c r="Q231"/>
    </row>
    <row r="232" spans="1:17" ht="15" x14ac:dyDescent="0.25">
      <c r="A232" t="s">
        <v>4</v>
      </c>
      <c r="B232" t="s">
        <v>38</v>
      </c>
      <c r="C232" t="s">
        <v>792</v>
      </c>
      <c r="D232" t="s">
        <v>2693</v>
      </c>
      <c r="E232" t="s">
        <v>2694</v>
      </c>
      <c r="F232" t="s">
        <v>795</v>
      </c>
      <c r="G232" s="30">
        <v>199.78</v>
      </c>
      <c r="H232" s="29">
        <f>G232*(1-IFERROR(VLOOKUP(F232,Rabat!$D$10:$E$41,2,FALSE),0))</f>
        <v>199.78</v>
      </c>
      <c r="I232" t="s">
        <v>2540</v>
      </c>
      <c r="J232" t="s">
        <v>2698</v>
      </c>
      <c r="K232" t="s">
        <v>2538</v>
      </c>
      <c r="L232">
        <v>6</v>
      </c>
      <c r="M232">
        <v>66</v>
      </c>
      <c r="N232" t="s">
        <v>2539</v>
      </c>
      <c r="O232" s="31" t="str">
        <f>HYPERLINK("https://b2b.kobi.pl/pl/product/12270,panel-led-nelio-g2-36w-60x60-4000k-kobi-pro?currency=PLN")</f>
        <v>https://b2b.kobi.pl/pl/product/12270,panel-led-nelio-g2-36w-60x60-4000k-kobi-pro?currency=PLN</v>
      </c>
      <c r="P232" s="31" t="str">
        <f>HYPERLINK("https://eprel.ec.europa.eu/qr/2206653")</f>
        <v>https://eprel.ec.europa.eu/qr/2206653</v>
      </c>
      <c r="Q232"/>
    </row>
    <row r="233" spans="1:17" ht="15" x14ac:dyDescent="0.25">
      <c r="A233" t="s">
        <v>4</v>
      </c>
      <c r="B233" t="s">
        <v>813</v>
      </c>
      <c r="C233" t="s">
        <v>840</v>
      </c>
      <c r="D233" t="s">
        <v>1283</v>
      </c>
      <c r="E233" t="s">
        <v>1284</v>
      </c>
      <c r="F233" t="s">
        <v>817</v>
      </c>
      <c r="G233" s="30">
        <v>161</v>
      </c>
      <c r="H233" s="29">
        <f>G233*(1-IFERROR(VLOOKUP(F233,Rabat!$D$10:$E$41,2,FALSE),0))</f>
        <v>161</v>
      </c>
      <c r="I233" t="s">
        <v>2542</v>
      </c>
      <c r="J233" t="s">
        <v>283</v>
      </c>
      <c r="K233" t="s">
        <v>2538</v>
      </c>
      <c r="L233">
        <v>10</v>
      </c>
      <c r="M233">
        <v>240</v>
      </c>
      <c r="N233" t="s">
        <v>2545</v>
      </c>
      <c r="O233" s="31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33" s="31" t="str">
        <f>HYPERLINK("https://eprel.ec.europa.eu/qr/2175600")</f>
        <v>https://eprel.ec.europa.eu/qr/2175600</v>
      </c>
      <c r="Q233"/>
    </row>
    <row r="234" spans="1:17" ht="15" x14ac:dyDescent="0.25">
      <c r="A234" t="s">
        <v>4</v>
      </c>
      <c r="B234" t="s">
        <v>813</v>
      </c>
      <c r="C234" t="s">
        <v>858</v>
      </c>
      <c r="D234" t="s">
        <v>1285</v>
      </c>
      <c r="E234" t="s">
        <v>1286</v>
      </c>
      <c r="F234" t="s">
        <v>817</v>
      </c>
      <c r="G234" s="30">
        <v>97.71</v>
      </c>
      <c r="H234" s="29">
        <f>G234*(1-IFERROR(VLOOKUP(F234,Rabat!$D$10:$E$41,2,FALSE),0))</f>
        <v>97.71</v>
      </c>
      <c r="I234" t="s">
        <v>2542</v>
      </c>
      <c r="J234" t="s">
        <v>284</v>
      </c>
      <c r="K234" t="s">
        <v>2538</v>
      </c>
      <c r="L234">
        <v>20</v>
      </c>
      <c r="M234"/>
      <c r="N234" t="s">
        <v>2545</v>
      </c>
      <c r="O234" s="31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34" s="31" t="str">
        <f>HYPERLINK("https://eprel.ec.europa.eu/qr/1565174")</f>
        <v>https://eprel.ec.europa.eu/qr/1565174</v>
      </c>
      <c r="Q234" t="s">
        <v>2700</v>
      </c>
    </row>
    <row r="235" spans="1:17" ht="15" x14ac:dyDescent="0.25">
      <c r="A235" t="s">
        <v>4</v>
      </c>
      <c r="B235" t="s">
        <v>813</v>
      </c>
      <c r="C235" t="s">
        <v>814</v>
      </c>
      <c r="D235" t="s">
        <v>815</v>
      </c>
      <c r="E235" t="s">
        <v>816</v>
      </c>
      <c r="F235" t="s">
        <v>817</v>
      </c>
      <c r="G235" s="30">
        <v>675</v>
      </c>
      <c r="H235" s="29">
        <f>G235*(1-IFERROR(VLOOKUP(F235,Rabat!$D$10:$E$41,2,FALSE),0))</f>
        <v>675</v>
      </c>
      <c r="I235" t="s">
        <v>2543</v>
      </c>
      <c r="J235" t="s">
        <v>238</v>
      </c>
      <c r="K235" t="s">
        <v>2538</v>
      </c>
      <c r="L235">
        <v>1</v>
      </c>
      <c r="M235"/>
      <c r="N235" t="s">
        <v>2539</v>
      </c>
      <c r="O235" s="31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35" s="31" t="str">
        <f>HYPERLINK("https://eprel.ec.europa.eu/qr/953103")</f>
        <v>https://eprel.ec.europa.eu/qr/953103</v>
      </c>
      <c r="Q235"/>
    </row>
    <row r="236" spans="1:17" ht="15" x14ac:dyDescent="0.25">
      <c r="A236" t="s">
        <v>4</v>
      </c>
      <c r="B236" t="s">
        <v>813</v>
      </c>
      <c r="C236" t="s">
        <v>814</v>
      </c>
      <c r="D236" t="s">
        <v>818</v>
      </c>
      <c r="E236" t="s">
        <v>819</v>
      </c>
      <c r="F236" t="s">
        <v>817</v>
      </c>
      <c r="G236" s="30">
        <v>675</v>
      </c>
      <c r="H236" s="29">
        <f>G236*(1-IFERROR(VLOOKUP(F236,Rabat!$D$10:$E$41,2,FALSE),0))</f>
        <v>675</v>
      </c>
      <c r="I236" t="s">
        <v>2543</v>
      </c>
      <c r="J236" t="s">
        <v>239</v>
      </c>
      <c r="K236" t="s">
        <v>2538</v>
      </c>
      <c r="L236">
        <v>1</v>
      </c>
      <c r="M236"/>
      <c r="N236" t="s">
        <v>2539</v>
      </c>
      <c r="O236" s="31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36" s="31" t="str">
        <f>HYPERLINK("https://eprel.ec.europa.eu/qr/953122")</f>
        <v>https://eprel.ec.europa.eu/qr/953122</v>
      </c>
      <c r="Q236"/>
    </row>
    <row r="237" spans="1:17" ht="15" x14ac:dyDescent="0.25">
      <c r="A237" t="s">
        <v>4</v>
      </c>
      <c r="B237" t="s">
        <v>813</v>
      </c>
      <c r="C237" t="s">
        <v>814</v>
      </c>
      <c r="D237" t="s">
        <v>820</v>
      </c>
      <c r="E237" t="s">
        <v>821</v>
      </c>
      <c r="F237" t="s">
        <v>817</v>
      </c>
      <c r="G237" s="30">
        <v>799</v>
      </c>
      <c r="H237" s="29">
        <f>G237*(1-IFERROR(VLOOKUP(F237,Rabat!$D$10:$E$41,2,FALSE),0))</f>
        <v>799</v>
      </c>
      <c r="I237" t="s">
        <v>2543</v>
      </c>
      <c r="J237" t="s">
        <v>240</v>
      </c>
      <c r="K237" t="s">
        <v>2538</v>
      </c>
      <c r="L237">
        <v>1</v>
      </c>
      <c r="M237"/>
      <c r="N237" t="s">
        <v>2539</v>
      </c>
      <c r="O237" s="31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37" s="31" t="str">
        <f>HYPERLINK("https://eprel.ec.europa.eu/qr/953134")</f>
        <v>https://eprel.ec.europa.eu/qr/953134</v>
      </c>
      <c r="Q237"/>
    </row>
    <row r="238" spans="1:17" ht="15" x14ac:dyDescent="0.25">
      <c r="A238" t="s">
        <v>4</v>
      </c>
      <c r="B238" t="s">
        <v>813</v>
      </c>
      <c r="C238" t="s">
        <v>814</v>
      </c>
      <c r="D238" t="s">
        <v>822</v>
      </c>
      <c r="E238" t="s">
        <v>823</v>
      </c>
      <c r="F238" t="s">
        <v>817</v>
      </c>
      <c r="G238" s="30">
        <v>799</v>
      </c>
      <c r="H238" s="29">
        <f>G238*(1-IFERROR(VLOOKUP(F238,Rabat!$D$10:$E$41,2,FALSE),0))</f>
        <v>799</v>
      </c>
      <c r="I238" t="s">
        <v>2543</v>
      </c>
      <c r="J238" t="s">
        <v>241</v>
      </c>
      <c r="K238" t="s">
        <v>2538</v>
      </c>
      <c r="L238">
        <v>1</v>
      </c>
      <c r="M238"/>
      <c r="N238" t="s">
        <v>2539</v>
      </c>
      <c r="O238" s="31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38" s="31" t="str">
        <f>HYPERLINK("https://eprel.ec.europa.eu/qr/953186")</f>
        <v>https://eprel.ec.europa.eu/qr/953186</v>
      </c>
      <c r="Q238"/>
    </row>
    <row r="239" spans="1:17" ht="15" x14ac:dyDescent="0.25">
      <c r="A239" t="s">
        <v>4</v>
      </c>
      <c r="B239" t="s">
        <v>813</v>
      </c>
      <c r="C239" t="s">
        <v>814</v>
      </c>
      <c r="D239" t="s">
        <v>834</v>
      </c>
      <c r="E239" t="s">
        <v>835</v>
      </c>
      <c r="F239" t="s">
        <v>817</v>
      </c>
      <c r="G239" s="30">
        <v>1084</v>
      </c>
      <c r="H239" s="29">
        <f>G239*(1-IFERROR(VLOOKUP(F239,Rabat!$D$10:$E$41,2,FALSE),0))</f>
        <v>1084</v>
      </c>
      <c r="I239" t="s">
        <v>2543</v>
      </c>
      <c r="J239" t="s">
        <v>242</v>
      </c>
      <c r="K239" t="s">
        <v>2538</v>
      </c>
      <c r="L239">
        <v>1</v>
      </c>
      <c r="M239"/>
      <c r="N239" t="s">
        <v>2539</v>
      </c>
      <c r="O239" s="31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39" s="31" t="str">
        <f>HYPERLINK("https://eprel.ec.europa.eu/qr/953208")</f>
        <v>https://eprel.ec.europa.eu/qr/953208</v>
      </c>
      <c r="Q239"/>
    </row>
    <row r="240" spans="1:17" ht="15" x14ac:dyDescent="0.25">
      <c r="A240" t="s">
        <v>4</v>
      </c>
      <c r="B240" t="s">
        <v>813</v>
      </c>
      <c r="C240" t="s">
        <v>814</v>
      </c>
      <c r="D240" t="s">
        <v>824</v>
      </c>
      <c r="E240" t="s">
        <v>825</v>
      </c>
      <c r="F240" t="s">
        <v>817</v>
      </c>
      <c r="G240" s="30">
        <v>1311</v>
      </c>
      <c r="H240" s="29">
        <f>G240*(1-IFERROR(VLOOKUP(F240,Rabat!$D$10:$E$41,2,FALSE),0))</f>
        <v>1311</v>
      </c>
      <c r="I240" t="s">
        <v>2543</v>
      </c>
      <c r="J240" t="s">
        <v>243</v>
      </c>
      <c r="K240" t="s">
        <v>2538</v>
      </c>
      <c r="L240">
        <v>1</v>
      </c>
      <c r="M240"/>
      <c r="N240" t="s">
        <v>2539</v>
      </c>
      <c r="O240" s="31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40" s="31" t="str">
        <f>HYPERLINK("https://eprel.ec.europa.eu/qr/953524")</f>
        <v>https://eprel.ec.europa.eu/qr/953524</v>
      </c>
      <c r="Q240"/>
    </row>
    <row r="241" spans="1:17" ht="15" x14ac:dyDescent="0.25">
      <c r="A241" t="s">
        <v>4</v>
      </c>
      <c r="B241" t="s">
        <v>813</v>
      </c>
      <c r="C241" t="s">
        <v>814</v>
      </c>
      <c r="D241" t="s">
        <v>826</v>
      </c>
      <c r="E241" t="s">
        <v>827</v>
      </c>
      <c r="F241" t="s">
        <v>817</v>
      </c>
      <c r="G241" s="30">
        <v>1311</v>
      </c>
      <c r="H241" s="29">
        <f>G241*(1-IFERROR(VLOOKUP(F241,Rabat!$D$10:$E$41,2,FALSE),0))</f>
        <v>1311</v>
      </c>
      <c r="I241" t="s">
        <v>2543</v>
      </c>
      <c r="J241" t="s">
        <v>244</v>
      </c>
      <c r="K241" t="s">
        <v>2538</v>
      </c>
      <c r="L241">
        <v>1</v>
      </c>
      <c r="M241"/>
      <c r="N241" t="s">
        <v>2539</v>
      </c>
      <c r="O241" s="31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41" s="31" t="str">
        <f>HYPERLINK("https://eprel.ec.europa.eu/qr/953535")</f>
        <v>https://eprel.ec.europa.eu/qr/953535</v>
      </c>
      <c r="Q241"/>
    </row>
    <row r="242" spans="1:17" ht="15" x14ac:dyDescent="0.25">
      <c r="A242" t="s">
        <v>4</v>
      </c>
      <c r="B242" t="s">
        <v>813</v>
      </c>
      <c r="C242" t="s">
        <v>814</v>
      </c>
      <c r="D242" t="s">
        <v>828</v>
      </c>
      <c r="E242" t="s">
        <v>829</v>
      </c>
      <c r="F242" t="s">
        <v>817</v>
      </c>
      <c r="G242" s="30">
        <v>1937</v>
      </c>
      <c r="H242" s="29">
        <f>G242*(1-IFERROR(VLOOKUP(F242,Rabat!$D$10:$E$41,2,FALSE),0))</f>
        <v>1937</v>
      </c>
      <c r="I242" t="s">
        <v>2543</v>
      </c>
      <c r="J242" t="s">
        <v>246</v>
      </c>
      <c r="K242" t="s">
        <v>2538</v>
      </c>
      <c r="L242">
        <v>1</v>
      </c>
      <c r="M242"/>
      <c r="N242" t="s">
        <v>2539</v>
      </c>
      <c r="O242" s="31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42" s="31" t="str">
        <f>HYPERLINK("https://eprel.ec.europa.eu/qr/953581")</f>
        <v>https://eprel.ec.europa.eu/qr/953581</v>
      </c>
      <c r="Q242"/>
    </row>
    <row r="243" spans="1:17" ht="15" x14ac:dyDescent="0.25">
      <c r="A243" t="s">
        <v>4</v>
      </c>
      <c r="B243" t="s">
        <v>813</v>
      </c>
      <c r="C243" t="s">
        <v>814</v>
      </c>
      <c r="D243" t="s">
        <v>830</v>
      </c>
      <c r="E243" t="s">
        <v>831</v>
      </c>
      <c r="F243" t="s">
        <v>817</v>
      </c>
      <c r="G243" s="30">
        <v>1937</v>
      </c>
      <c r="H243" s="29">
        <f>G243*(1-IFERROR(VLOOKUP(F243,Rabat!$D$10:$E$41,2,FALSE),0))</f>
        <v>1937</v>
      </c>
      <c r="I243" t="s">
        <v>2543</v>
      </c>
      <c r="J243" t="s">
        <v>247</v>
      </c>
      <c r="K243" t="s">
        <v>2538</v>
      </c>
      <c r="L243">
        <v>1</v>
      </c>
      <c r="M243"/>
      <c r="N243" t="s">
        <v>2539</v>
      </c>
      <c r="O243" s="31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43" s="31" t="str">
        <f>HYPERLINK("https://eprel.ec.europa.eu/qr/953606")</f>
        <v>https://eprel.ec.europa.eu/qr/953606</v>
      </c>
      <c r="Q243"/>
    </row>
    <row r="244" spans="1:17" ht="15" x14ac:dyDescent="0.25">
      <c r="A244" t="s">
        <v>4</v>
      </c>
      <c r="B244" t="s">
        <v>813</v>
      </c>
      <c r="C244" t="s">
        <v>814</v>
      </c>
      <c r="D244" t="s">
        <v>832</v>
      </c>
      <c r="E244" t="s">
        <v>833</v>
      </c>
      <c r="F244" t="s">
        <v>817</v>
      </c>
      <c r="G244" s="30">
        <v>2268</v>
      </c>
      <c r="H244" s="29">
        <f>G244*(1-IFERROR(VLOOKUP(F244,Rabat!$D$10:$E$41,2,FALSE),0))</f>
        <v>2268</v>
      </c>
      <c r="I244" t="s">
        <v>2543</v>
      </c>
      <c r="J244" t="s">
        <v>248</v>
      </c>
      <c r="K244" t="s">
        <v>2538</v>
      </c>
      <c r="L244">
        <v>1</v>
      </c>
      <c r="M244"/>
      <c r="N244" t="s">
        <v>2539</v>
      </c>
      <c r="O244" s="31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44" s="31" t="str">
        <f>HYPERLINK("https://eprel.ec.europa.eu/qr/953653")</f>
        <v>https://eprel.ec.europa.eu/qr/953653</v>
      </c>
      <c r="Q244"/>
    </row>
    <row r="245" spans="1:17" ht="15" x14ac:dyDescent="0.25">
      <c r="A245" t="s">
        <v>4</v>
      </c>
      <c r="B245" t="s">
        <v>813</v>
      </c>
      <c r="C245" t="s">
        <v>814</v>
      </c>
      <c r="D245" t="s">
        <v>2535</v>
      </c>
      <c r="E245" t="s">
        <v>2536</v>
      </c>
      <c r="F245" t="s">
        <v>817</v>
      </c>
      <c r="G245" s="30">
        <v>1611</v>
      </c>
      <c r="H245" s="29">
        <f>G245*(1-IFERROR(VLOOKUP(F245,Rabat!$D$10:$E$41,2,FALSE),0))</f>
        <v>1611</v>
      </c>
      <c r="I245" t="s">
        <v>2543</v>
      </c>
      <c r="J245" t="s">
        <v>245</v>
      </c>
      <c r="K245" t="s">
        <v>2538</v>
      </c>
      <c r="L245">
        <v>1</v>
      </c>
      <c r="M245"/>
      <c r="N245" t="s">
        <v>2539</v>
      </c>
      <c r="O245"/>
      <c r="P245" s="31" t="str">
        <f>HYPERLINK("https://eprel.ec.europa.eu/qr/953581")</f>
        <v>https://eprel.ec.europa.eu/qr/953581</v>
      </c>
      <c r="Q245"/>
    </row>
    <row r="246" spans="1:17" ht="15" x14ac:dyDescent="0.25">
      <c r="A246" t="s">
        <v>4</v>
      </c>
      <c r="B246" t="s">
        <v>813</v>
      </c>
      <c r="C246" t="s">
        <v>44</v>
      </c>
      <c r="D246" t="s">
        <v>1376</v>
      </c>
      <c r="E246" t="s">
        <v>1377</v>
      </c>
      <c r="F246" t="s">
        <v>817</v>
      </c>
      <c r="G246" s="30">
        <v>57.25</v>
      </c>
      <c r="H246" s="29">
        <f>G246*(1-IFERROR(VLOOKUP(F246,Rabat!$D$10:$E$41,2,FALSE),0))</f>
        <v>57.25</v>
      </c>
      <c r="I246" t="s">
        <v>2540</v>
      </c>
      <c r="J246" t="s">
        <v>634</v>
      </c>
      <c r="K246" t="s">
        <v>2538</v>
      </c>
      <c r="L246">
        <v>30</v>
      </c>
      <c r="M246">
        <v>450</v>
      </c>
      <c r="N246" t="s">
        <v>2544</v>
      </c>
      <c r="O246" s="31" t="str">
        <f>HYPERLINK("https://b2b.kobi.pl/pl/product/9971,oprawa-hermetyczna-led-mivro-36w-4000k-ip65-led2b?currency=PLN")</f>
        <v>https://b2b.kobi.pl/pl/product/9971,oprawa-hermetyczna-led-mivro-36w-4000k-ip65-led2b?currency=PLN</v>
      </c>
      <c r="P246" s="31" t="str">
        <f>HYPERLINK("https://eprel.ec.europa.eu/qr/1949789")</f>
        <v>https://eprel.ec.europa.eu/qr/1949789</v>
      </c>
      <c r="Q246"/>
    </row>
    <row r="247" spans="1:17" ht="15" x14ac:dyDescent="0.25">
      <c r="A247" t="s">
        <v>4</v>
      </c>
      <c r="B247" t="s">
        <v>813</v>
      </c>
      <c r="C247" t="s">
        <v>792</v>
      </c>
      <c r="D247" t="s">
        <v>836</v>
      </c>
      <c r="E247" t="s">
        <v>837</v>
      </c>
      <c r="F247" t="s">
        <v>817</v>
      </c>
      <c r="G247" s="30">
        <v>254.59</v>
      </c>
      <c r="H247" s="29">
        <f>G247*(1-IFERROR(VLOOKUP(F247,Rabat!$D$10:$E$41,2,FALSE),0))</f>
        <v>254.59</v>
      </c>
      <c r="I247" t="s">
        <v>2543</v>
      </c>
      <c r="J247" t="s">
        <v>234</v>
      </c>
      <c r="K247" t="s">
        <v>2538</v>
      </c>
      <c r="L247">
        <v>8</v>
      </c>
      <c r="M247">
        <v>200</v>
      </c>
      <c r="N247" t="s">
        <v>2539</v>
      </c>
      <c r="O247" s="31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47" s="31" t="str">
        <f>HYPERLINK("https://eprel.ec.europa.eu/qr/1864792")</f>
        <v>https://eprel.ec.europa.eu/qr/1864792</v>
      </c>
      <c r="Q247" t="s">
        <v>2700</v>
      </c>
    </row>
    <row r="248" spans="1:17" ht="15" x14ac:dyDescent="0.25">
      <c r="A248" t="s">
        <v>4</v>
      </c>
      <c r="B248" t="s">
        <v>813</v>
      </c>
      <c r="C248" t="s">
        <v>792</v>
      </c>
      <c r="D248" t="s">
        <v>1515</v>
      </c>
      <c r="E248" t="s">
        <v>1516</v>
      </c>
      <c r="F248" t="s">
        <v>817</v>
      </c>
      <c r="G248" s="30">
        <v>255</v>
      </c>
      <c r="H248" s="29">
        <f>G248*(1-IFERROR(VLOOKUP(F248,Rabat!$D$10:$E$41,2,FALSE),0))</f>
        <v>255</v>
      </c>
      <c r="I248" t="s">
        <v>2540</v>
      </c>
      <c r="J248" t="s">
        <v>747</v>
      </c>
      <c r="K248" t="s">
        <v>2538</v>
      </c>
      <c r="L248">
        <v>9</v>
      </c>
      <c r="M248">
        <v>162</v>
      </c>
      <c r="N248" t="s">
        <v>2539</v>
      </c>
      <c r="O248" s="31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48" s="31" t="str">
        <f>HYPERLINK("https://eprel.ec.europa.eu/qr/2082349")</f>
        <v>https://eprel.ec.europa.eu/qr/2082349</v>
      </c>
      <c r="Q248"/>
    </row>
    <row r="249" spans="1:17" ht="15" x14ac:dyDescent="0.25">
      <c r="A249" t="s">
        <v>4</v>
      </c>
      <c r="B249" t="s">
        <v>813</v>
      </c>
      <c r="C249" t="s">
        <v>792</v>
      </c>
      <c r="D249" t="s">
        <v>1517</v>
      </c>
      <c r="E249" t="s">
        <v>1518</v>
      </c>
      <c r="F249" t="s">
        <v>817</v>
      </c>
      <c r="G249" s="30">
        <v>320</v>
      </c>
      <c r="H249" s="29">
        <f>G249*(1-IFERROR(VLOOKUP(F249,Rabat!$D$10:$E$41,2,FALSE),0))</f>
        <v>320</v>
      </c>
      <c r="I249" t="s">
        <v>2540</v>
      </c>
      <c r="J249" t="s">
        <v>748</v>
      </c>
      <c r="K249" t="s">
        <v>2538</v>
      </c>
      <c r="L249">
        <v>9</v>
      </c>
      <c r="M249">
        <v>108</v>
      </c>
      <c r="N249" t="s">
        <v>2539</v>
      </c>
      <c r="O249" s="31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49" s="31" t="str">
        <f>HYPERLINK("https://eprel.ec.europa.eu/qr/2082480")</f>
        <v>https://eprel.ec.europa.eu/qr/2082480</v>
      </c>
      <c r="Q249"/>
    </row>
    <row r="250" spans="1:17" ht="15" x14ac:dyDescent="0.25">
      <c r="A250" t="s">
        <v>4</v>
      </c>
      <c r="B250" t="s">
        <v>813</v>
      </c>
      <c r="C250" t="s">
        <v>792</v>
      </c>
      <c r="D250" t="s">
        <v>1519</v>
      </c>
      <c r="E250" t="s">
        <v>1520</v>
      </c>
      <c r="F250" t="s">
        <v>817</v>
      </c>
      <c r="G250" s="30">
        <v>370</v>
      </c>
      <c r="H250" s="29">
        <f>G250*(1-IFERROR(VLOOKUP(F250,Rabat!$D$10:$E$41,2,FALSE),0))</f>
        <v>370</v>
      </c>
      <c r="I250" t="s">
        <v>2540</v>
      </c>
      <c r="J250" t="s">
        <v>749</v>
      </c>
      <c r="K250" t="s">
        <v>2538</v>
      </c>
      <c r="L250">
        <v>9</v>
      </c>
      <c r="M250"/>
      <c r="N250" t="s">
        <v>2539</v>
      </c>
      <c r="O250" s="31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50" s="31" t="str">
        <f>HYPERLINK("https://eprel.ec.europa.eu/qr/2082512")</f>
        <v>https://eprel.ec.europa.eu/qr/2082512</v>
      </c>
      <c r="Q250"/>
    </row>
    <row r="251" spans="1:17" ht="15" x14ac:dyDescent="0.25">
      <c r="A251" t="s">
        <v>4</v>
      </c>
      <c r="B251" t="s">
        <v>813</v>
      </c>
      <c r="C251" t="s">
        <v>792</v>
      </c>
      <c r="D251" t="s">
        <v>838</v>
      </c>
      <c r="E251" t="s">
        <v>839</v>
      </c>
      <c r="F251" t="s">
        <v>817</v>
      </c>
      <c r="G251" s="30">
        <v>380</v>
      </c>
      <c r="H251" s="29">
        <f>G251*(1-IFERROR(VLOOKUP(F251,Rabat!$D$10:$E$41,2,FALSE),0))</f>
        <v>380</v>
      </c>
      <c r="I251" t="s">
        <v>2543</v>
      </c>
      <c r="J251" t="s">
        <v>353</v>
      </c>
      <c r="K251" t="s">
        <v>2538</v>
      </c>
      <c r="L251">
        <v>8</v>
      </c>
      <c r="M251">
        <v>88</v>
      </c>
      <c r="N251" t="s">
        <v>2539</v>
      </c>
      <c r="O251" s="31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51" s="31" t="str">
        <f>HYPERLINK("https://eprel.ec.europa.eu/qr/2195061")</f>
        <v>https://eprel.ec.europa.eu/qr/2195061</v>
      </c>
      <c r="Q251" t="s">
        <v>2700</v>
      </c>
    </row>
    <row r="252" spans="1:17" ht="15" x14ac:dyDescent="0.25">
      <c r="A252" t="s">
        <v>4</v>
      </c>
      <c r="B252" t="s">
        <v>813</v>
      </c>
      <c r="C252" t="s">
        <v>840</v>
      </c>
      <c r="D252" t="s">
        <v>1546</v>
      </c>
      <c r="E252" t="s">
        <v>1547</v>
      </c>
      <c r="F252" t="s">
        <v>817</v>
      </c>
      <c r="G252" s="30">
        <v>89.55</v>
      </c>
      <c r="H252" s="29">
        <f>G252*(1-IFERROR(VLOOKUP(F252,Rabat!$D$10:$E$41,2,FALSE),0))</f>
        <v>89.55</v>
      </c>
      <c r="I252" t="s">
        <v>2537</v>
      </c>
      <c r="J252" t="s">
        <v>680</v>
      </c>
      <c r="K252" t="s">
        <v>2538</v>
      </c>
      <c r="L252">
        <v>16</v>
      </c>
      <c r="M252"/>
      <c r="N252" t="s">
        <v>2545</v>
      </c>
      <c r="O252" s="31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52" t="s">
        <v>16</v>
      </c>
      <c r="Q252"/>
    </row>
    <row r="253" spans="1:17" ht="15" x14ac:dyDescent="0.25">
      <c r="A253" t="s">
        <v>4</v>
      </c>
      <c r="B253" t="s">
        <v>813</v>
      </c>
      <c r="C253" t="s">
        <v>840</v>
      </c>
      <c r="D253" t="s">
        <v>1548</v>
      </c>
      <c r="E253" t="s">
        <v>1549</v>
      </c>
      <c r="F253" t="s">
        <v>817</v>
      </c>
      <c r="G253" s="30">
        <v>120</v>
      </c>
      <c r="H253" s="29">
        <f>G253*(1-IFERROR(VLOOKUP(F253,Rabat!$D$10:$E$41,2,FALSE),0))</f>
        <v>120</v>
      </c>
      <c r="I253" t="s">
        <v>2537</v>
      </c>
      <c r="J253" t="s">
        <v>285</v>
      </c>
      <c r="K253" t="s">
        <v>2538</v>
      </c>
      <c r="L253">
        <v>16</v>
      </c>
      <c r="M253">
        <v>240</v>
      </c>
      <c r="N253" t="s">
        <v>2545</v>
      </c>
      <c r="O253" s="31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53" s="31" t="str">
        <f>HYPERLINK("https://eprel.ec.europa.eu/qr/1822239")</f>
        <v>https://eprel.ec.europa.eu/qr/1822239</v>
      </c>
      <c r="Q253"/>
    </row>
    <row r="254" spans="1:17" ht="15" x14ac:dyDescent="0.25">
      <c r="A254" t="s">
        <v>4</v>
      </c>
      <c r="B254" t="s">
        <v>813</v>
      </c>
      <c r="C254" t="s">
        <v>840</v>
      </c>
      <c r="D254" t="s">
        <v>1552</v>
      </c>
      <c r="E254" t="s">
        <v>1553</v>
      </c>
      <c r="F254" t="s">
        <v>817</v>
      </c>
      <c r="G254" s="30">
        <v>120</v>
      </c>
      <c r="H254" s="29">
        <f>G254*(1-IFERROR(VLOOKUP(F254,Rabat!$D$10:$E$41,2,FALSE),0))</f>
        <v>120</v>
      </c>
      <c r="I254" t="s">
        <v>2537</v>
      </c>
      <c r="J254" t="s">
        <v>286</v>
      </c>
      <c r="K254" t="s">
        <v>2538</v>
      </c>
      <c r="L254">
        <v>16</v>
      </c>
      <c r="M254">
        <v>240</v>
      </c>
      <c r="N254" t="s">
        <v>2545</v>
      </c>
      <c r="O254" s="31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54" s="31" t="str">
        <f>HYPERLINK("https://eprel.ec.europa.eu/qr/1822222")</f>
        <v>https://eprel.ec.europa.eu/qr/1822222</v>
      </c>
      <c r="Q254"/>
    </row>
    <row r="255" spans="1:17" ht="15" x14ac:dyDescent="0.25">
      <c r="A255" t="s">
        <v>4</v>
      </c>
      <c r="B255" t="s">
        <v>813</v>
      </c>
      <c r="C255" t="s">
        <v>840</v>
      </c>
      <c r="D255" t="s">
        <v>1556</v>
      </c>
      <c r="E255" t="s">
        <v>1557</v>
      </c>
      <c r="F255" t="s">
        <v>817</v>
      </c>
      <c r="G255" s="30">
        <v>185.5</v>
      </c>
      <c r="H255" s="29">
        <f>G255*(1-IFERROR(VLOOKUP(F255,Rabat!$D$10:$E$41,2,FALSE),0))</f>
        <v>185.5</v>
      </c>
      <c r="I255" t="s">
        <v>2537</v>
      </c>
      <c r="J255" t="s">
        <v>681</v>
      </c>
      <c r="K255" t="s">
        <v>2538</v>
      </c>
      <c r="L255">
        <v>12</v>
      </c>
      <c r="M255"/>
      <c r="N255" t="s">
        <v>2545</v>
      </c>
      <c r="O255" s="31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55" s="31" t="str">
        <f>HYPERLINK("https://eprel.ec.europa.eu/qr/1784068")</f>
        <v>https://eprel.ec.europa.eu/qr/1784068</v>
      </c>
      <c r="Q255"/>
    </row>
    <row r="256" spans="1:17" ht="15" x14ac:dyDescent="0.25">
      <c r="A256" t="s">
        <v>4</v>
      </c>
      <c r="B256" t="s">
        <v>813</v>
      </c>
      <c r="C256" t="s">
        <v>792</v>
      </c>
      <c r="D256" t="s">
        <v>1347</v>
      </c>
      <c r="E256" t="s">
        <v>1348</v>
      </c>
      <c r="F256" t="s">
        <v>817</v>
      </c>
      <c r="G256" s="30">
        <v>345</v>
      </c>
      <c r="H256" s="29">
        <f>G256*(1-IFERROR(VLOOKUP(F256,Rabat!$D$10:$E$41,2,FALSE),0))</f>
        <v>345</v>
      </c>
      <c r="I256" t="s">
        <v>2543</v>
      </c>
      <c r="J256" t="s">
        <v>330</v>
      </c>
      <c r="K256" t="s">
        <v>2538</v>
      </c>
      <c r="L256">
        <v>9</v>
      </c>
      <c r="M256">
        <v>216</v>
      </c>
      <c r="N256" t="s">
        <v>2539</v>
      </c>
      <c r="O256" s="31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56" s="31" t="str">
        <f>HYPERLINK("https://eprel.ec.europa.eu/qr/1774321")</f>
        <v>https://eprel.ec.europa.eu/qr/1774321</v>
      </c>
      <c r="Q256" t="s">
        <v>2700</v>
      </c>
    </row>
    <row r="257" spans="1:17" ht="15" x14ac:dyDescent="0.25">
      <c r="A257" t="s">
        <v>4</v>
      </c>
      <c r="B257" t="s">
        <v>813</v>
      </c>
      <c r="C257" t="s">
        <v>792</v>
      </c>
      <c r="D257" t="s">
        <v>1355</v>
      </c>
      <c r="E257" t="s">
        <v>1356</v>
      </c>
      <c r="F257" t="s">
        <v>817</v>
      </c>
      <c r="G257" s="30">
        <v>345</v>
      </c>
      <c r="H257" s="29">
        <f>G257*(1-IFERROR(VLOOKUP(F257,Rabat!$D$10:$E$41,2,FALSE),0))</f>
        <v>345</v>
      </c>
      <c r="I257" t="s">
        <v>2543</v>
      </c>
      <c r="J257" t="s">
        <v>331</v>
      </c>
      <c r="K257" t="s">
        <v>2538</v>
      </c>
      <c r="L257">
        <v>9</v>
      </c>
      <c r="M257">
        <v>216</v>
      </c>
      <c r="N257" t="s">
        <v>2539</v>
      </c>
      <c r="O257" s="31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57" s="31" t="str">
        <f>HYPERLINK("https://eprel.ec.europa.eu/qr/1774321")</f>
        <v>https://eprel.ec.europa.eu/qr/1774321</v>
      </c>
      <c r="Q257" t="s">
        <v>2700</v>
      </c>
    </row>
    <row r="258" spans="1:17" ht="15" x14ac:dyDescent="0.25">
      <c r="A258" t="s">
        <v>4</v>
      </c>
      <c r="B258" t="s">
        <v>813</v>
      </c>
      <c r="C258" t="s">
        <v>792</v>
      </c>
      <c r="D258" t="s">
        <v>1361</v>
      </c>
      <c r="E258" t="s">
        <v>1362</v>
      </c>
      <c r="F258" t="s">
        <v>817</v>
      </c>
      <c r="G258" s="30">
        <v>390</v>
      </c>
      <c r="H258" s="29">
        <f>G258*(1-IFERROR(VLOOKUP(F258,Rabat!$D$10:$E$41,2,FALSE),0))</f>
        <v>390</v>
      </c>
      <c r="I258" t="s">
        <v>2549</v>
      </c>
      <c r="J258" t="s">
        <v>332</v>
      </c>
      <c r="K258" t="s">
        <v>2538</v>
      </c>
      <c r="L258">
        <v>9</v>
      </c>
      <c r="M258">
        <v>216</v>
      </c>
      <c r="N258" t="s">
        <v>2539</v>
      </c>
      <c r="O258" s="31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58" s="31" t="str">
        <f>HYPERLINK("https://eprel.ec.europa.eu/qr/1774334")</f>
        <v>https://eprel.ec.europa.eu/qr/1774334</v>
      </c>
      <c r="Q258" t="s">
        <v>2700</v>
      </c>
    </row>
    <row r="259" spans="1:17" ht="15" x14ac:dyDescent="0.25">
      <c r="A259" t="s">
        <v>4</v>
      </c>
      <c r="B259" t="s">
        <v>813</v>
      </c>
      <c r="C259" t="s">
        <v>792</v>
      </c>
      <c r="D259" t="s">
        <v>1369</v>
      </c>
      <c r="E259" t="s">
        <v>1370</v>
      </c>
      <c r="F259" t="s">
        <v>817</v>
      </c>
      <c r="G259" s="30">
        <v>390</v>
      </c>
      <c r="H259" s="29">
        <f>G259*(1-IFERROR(VLOOKUP(F259,Rabat!$D$10:$E$41,2,FALSE),0))</f>
        <v>390</v>
      </c>
      <c r="I259" t="s">
        <v>2549</v>
      </c>
      <c r="J259" t="s">
        <v>333</v>
      </c>
      <c r="K259" t="s">
        <v>2538</v>
      </c>
      <c r="L259">
        <v>9</v>
      </c>
      <c r="M259">
        <v>216</v>
      </c>
      <c r="N259" t="s">
        <v>2539</v>
      </c>
      <c r="O259" s="31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59" s="31" t="str">
        <f>HYPERLINK("https://eprel.ec.europa.eu/qr/1774334")</f>
        <v>https://eprel.ec.europa.eu/qr/1774334</v>
      </c>
      <c r="Q259" t="s">
        <v>2700</v>
      </c>
    </row>
    <row r="260" spans="1:17" ht="15" x14ac:dyDescent="0.25">
      <c r="A260" t="s">
        <v>4</v>
      </c>
      <c r="B260" t="s">
        <v>813</v>
      </c>
      <c r="C260" t="s">
        <v>792</v>
      </c>
      <c r="D260" t="s">
        <v>1707</v>
      </c>
      <c r="E260" t="s">
        <v>1708</v>
      </c>
      <c r="F260" t="s">
        <v>817</v>
      </c>
      <c r="G260" s="30">
        <v>442.22</v>
      </c>
      <c r="H260" s="29">
        <f>G260*(1-IFERROR(VLOOKUP(F260,Rabat!$D$10:$E$41,2,FALSE),0))</f>
        <v>442.22</v>
      </c>
      <c r="I260" t="s">
        <v>2540</v>
      </c>
      <c r="J260" t="s">
        <v>2598</v>
      </c>
      <c r="K260" t="s">
        <v>2538</v>
      </c>
      <c r="L260">
        <v>9</v>
      </c>
      <c r="M260"/>
      <c r="N260" t="s">
        <v>2539</v>
      </c>
      <c r="O260" s="31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60" s="31" t="str">
        <f>HYPERLINK("https://eprel.ec.europa.eu/qr/2221866")</f>
        <v>https://eprel.ec.europa.eu/qr/2221866</v>
      </c>
      <c r="Q260"/>
    </row>
    <row r="261" spans="1:17" ht="15" x14ac:dyDescent="0.25">
      <c r="A261" t="s">
        <v>4</v>
      </c>
      <c r="B261" t="s">
        <v>813</v>
      </c>
      <c r="C261" t="s">
        <v>792</v>
      </c>
      <c r="D261" t="s">
        <v>1709</v>
      </c>
      <c r="E261" t="s">
        <v>1710</v>
      </c>
      <c r="F261" t="s">
        <v>817</v>
      </c>
      <c r="G261" s="30">
        <v>442.22</v>
      </c>
      <c r="H261" s="29">
        <f>G261*(1-IFERROR(VLOOKUP(F261,Rabat!$D$10:$E$41,2,FALSE),0))</f>
        <v>442.22</v>
      </c>
      <c r="I261" t="s">
        <v>2540</v>
      </c>
      <c r="J261" t="s">
        <v>2599</v>
      </c>
      <c r="K261" t="s">
        <v>2538</v>
      </c>
      <c r="L261">
        <v>9</v>
      </c>
      <c r="M261"/>
      <c r="N261" t="s">
        <v>2539</v>
      </c>
      <c r="O261" s="31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61" s="31" t="str">
        <f>HYPERLINK("https://eprel.ec.europa.eu/qr/2221866")</f>
        <v>https://eprel.ec.europa.eu/qr/2221866</v>
      </c>
      <c r="Q261"/>
    </row>
    <row r="262" spans="1:17" ht="15" x14ac:dyDescent="0.25">
      <c r="A262" t="s">
        <v>4</v>
      </c>
      <c r="B262" t="s">
        <v>813</v>
      </c>
      <c r="C262" t="s">
        <v>792</v>
      </c>
      <c r="D262" t="s">
        <v>1711</v>
      </c>
      <c r="E262" t="s">
        <v>1712</v>
      </c>
      <c r="F262" t="s">
        <v>817</v>
      </c>
      <c r="G262" s="30">
        <v>411.11</v>
      </c>
      <c r="H262" s="29">
        <f>G262*(1-IFERROR(VLOOKUP(F262,Rabat!$D$10:$E$41,2,FALSE),0))</f>
        <v>411.11</v>
      </c>
      <c r="I262" t="s">
        <v>2540</v>
      </c>
      <c r="J262" t="s">
        <v>2600</v>
      </c>
      <c r="K262" t="s">
        <v>2538</v>
      </c>
      <c r="L262">
        <v>9</v>
      </c>
      <c r="M262"/>
      <c r="N262" t="s">
        <v>2539</v>
      </c>
      <c r="O262" s="31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62" s="31" t="str">
        <f>HYPERLINK("https://eprel.ec.europa.eu/qr/2221062")</f>
        <v>https://eprel.ec.europa.eu/qr/2221062</v>
      </c>
      <c r="Q262"/>
    </row>
    <row r="263" spans="1:17" ht="15" x14ac:dyDescent="0.25">
      <c r="A263" t="s">
        <v>4</v>
      </c>
      <c r="B263" t="s">
        <v>813</v>
      </c>
      <c r="C263" t="s">
        <v>792</v>
      </c>
      <c r="D263" t="s">
        <v>1705</v>
      </c>
      <c r="E263" t="s">
        <v>1706</v>
      </c>
      <c r="F263" t="s">
        <v>817</v>
      </c>
      <c r="G263" s="30">
        <v>388.89</v>
      </c>
      <c r="H263" s="29">
        <f>G263*(1-IFERROR(VLOOKUP(F263,Rabat!$D$10:$E$41,2,FALSE),0))</f>
        <v>388.89</v>
      </c>
      <c r="I263" t="s">
        <v>2540</v>
      </c>
      <c r="J263" t="s">
        <v>2597</v>
      </c>
      <c r="K263" t="s">
        <v>2538</v>
      </c>
      <c r="L263">
        <v>9</v>
      </c>
      <c r="M263"/>
      <c r="N263" t="s">
        <v>2539</v>
      </c>
      <c r="O263" s="31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63" s="31" t="str">
        <f>HYPERLINK("https://eprel.ec.europa.eu/qr/2221032")</f>
        <v>https://eprel.ec.europa.eu/qr/2221032</v>
      </c>
      <c r="Q263"/>
    </row>
    <row r="264" spans="1:17" ht="15" x14ac:dyDescent="0.25">
      <c r="A264" t="s">
        <v>4</v>
      </c>
      <c r="B264" t="s">
        <v>813</v>
      </c>
      <c r="C264" t="s">
        <v>792</v>
      </c>
      <c r="D264" t="s">
        <v>1703</v>
      </c>
      <c r="E264" t="s">
        <v>1704</v>
      </c>
      <c r="F264" t="s">
        <v>817</v>
      </c>
      <c r="G264" s="30">
        <v>388.89</v>
      </c>
      <c r="H264" s="29">
        <f>G264*(1-IFERROR(VLOOKUP(F264,Rabat!$D$10:$E$41,2,FALSE),0))</f>
        <v>388.89</v>
      </c>
      <c r="I264" t="s">
        <v>2540</v>
      </c>
      <c r="J264" t="s">
        <v>2596</v>
      </c>
      <c r="K264" t="s">
        <v>2538</v>
      </c>
      <c r="L264">
        <v>9</v>
      </c>
      <c r="M264"/>
      <c r="N264" t="s">
        <v>2539</v>
      </c>
      <c r="O264" s="31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64" s="31" t="str">
        <f>HYPERLINK("https://eprel.ec.europa.eu/qr/2221032")</f>
        <v>https://eprel.ec.europa.eu/qr/2221032</v>
      </c>
      <c r="Q264"/>
    </row>
    <row r="265" spans="1:17" ht="15" x14ac:dyDescent="0.25">
      <c r="A265" t="s">
        <v>4</v>
      </c>
      <c r="B265" t="s">
        <v>813</v>
      </c>
      <c r="C265" t="s">
        <v>792</v>
      </c>
      <c r="D265" t="s">
        <v>1713</v>
      </c>
      <c r="E265" t="s">
        <v>1714</v>
      </c>
      <c r="F265" t="s">
        <v>817</v>
      </c>
      <c r="G265" s="30">
        <v>411.11</v>
      </c>
      <c r="H265" s="29">
        <f>G265*(1-IFERROR(VLOOKUP(F265,Rabat!$D$10:$E$41,2,FALSE),0))</f>
        <v>411.11</v>
      </c>
      <c r="I265" t="s">
        <v>2540</v>
      </c>
      <c r="J265" t="s">
        <v>2601</v>
      </c>
      <c r="K265" t="s">
        <v>2538</v>
      </c>
      <c r="L265">
        <v>9</v>
      </c>
      <c r="M265"/>
      <c r="N265" t="s">
        <v>2539</v>
      </c>
      <c r="O265" s="31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65" s="31" t="str">
        <f>HYPERLINK("https://eprel.ec.europa.eu/qr/2221062")</f>
        <v>https://eprel.ec.europa.eu/qr/2221062</v>
      </c>
      <c r="Q265"/>
    </row>
    <row r="266" spans="1:17" ht="15" x14ac:dyDescent="0.25">
      <c r="A266" t="s">
        <v>4</v>
      </c>
      <c r="B266" t="s">
        <v>813</v>
      </c>
      <c r="C266" t="s">
        <v>792</v>
      </c>
      <c r="D266" t="s">
        <v>1386</v>
      </c>
      <c r="E266" t="s">
        <v>1387</v>
      </c>
      <c r="F266" t="s">
        <v>817</v>
      </c>
      <c r="G266" s="30">
        <v>308.89</v>
      </c>
      <c r="H266" s="29">
        <f>G266*(1-IFERROR(VLOOKUP(F266,Rabat!$D$10:$E$41,2,FALSE),0))</f>
        <v>308.89</v>
      </c>
      <c r="I266" t="s">
        <v>2540</v>
      </c>
      <c r="J266" t="s">
        <v>2587</v>
      </c>
      <c r="K266" t="s">
        <v>2538</v>
      </c>
      <c r="L266">
        <v>5</v>
      </c>
      <c r="M266"/>
      <c r="N266" t="s">
        <v>2539</v>
      </c>
      <c r="O266" s="31" t="str">
        <f>HYPERLINK("https://b2b.kobi.pl/pl/product/12152,lacznik-x-do-led-koline-k2-bialy-kobi-pro?currency=PLN")</f>
        <v>https://b2b.kobi.pl/pl/product/12152,lacznik-x-do-led-koline-k2-bialy-kobi-pro?currency=PLN</v>
      </c>
      <c r="P266" s="31" t="str">
        <f>HYPERLINK("https://eprel.ec.europa.eu/qr/2225172")</f>
        <v>https://eprel.ec.europa.eu/qr/2225172</v>
      </c>
      <c r="Q266"/>
    </row>
    <row r="267" spans="1:17" ht="15" x14ac:dyDescent="0.25">
      <c r="A267" t="s">
        <v>4</v>
      </c>
      <c r="B267" t="s">
        <v>813</v>
      </c>
      <c r="C267" t="s">
        <v>792</v>
      </c>
      <c r="D267" t="s">
        <v>1390</v>
      </c>
      <c r="E267" t="s">
        <v>1391</v>
      </c>
      <c r="F267" t="s">
        <v>817</v>
      </c>
      <c r="G267" s="30">
        <v>308.89</v>
      </c>
      <c r="H267" s="29">
        <f>G267*(1-IFERROR(VLOOKUP(F267,Rabat!$D$10:$E$41,2,FALSE),0))</f>
        <v>308.89</v>
      </c>
      <c r="I267" t="s">
        <v>2540</v>
      </c>
      <c r="J267" t="s">
        <v>2588</v>
      </c>
      <c r="K267" t="s">
        <v>2538</v>
      </c>
      <c r="L267">
        <v>5</v>
      </c>
      <c r="M267"/>
      <c r="N267" t="s">
        <v>2539</v>
      </c>
      <c r="O267" s="31" t="str">
        <f>HYPERLINK("https://b2b.kobi.pl/pl/product/12153,lacznik-x-do-led-koline-k2-czarny-kobi-pro?currency=PLN")</f>
        <v>https://b2b.kobi.pl/pl/product/12153,lacznik-x-do-led-koline-k2-czarny-kobi-pro?currency=PLN</v>
      </c>
      <c r="P267" s="31" t="str">
        <f>HYPERLINK("https://eprel.ec.europa.eu/qr/2225172")</f>
        <v>https://eprel.ec.europa.eu/qr/2225172</v>
      </c>
      <c r="Q267"/>
    </row>
    <row r="268" spans="1:17" ht="15" x14ac:dyDescent="0.25">
      <c r="A268" t="s">
        <v>4</v>
      </c>
      <c r="B268" t="s">
        <v>813</v>
      </c>
      <c r="C268" t="s">
        <v>792</v>
      </c>
      <c r="D268" t="s">
        <v>1378</v>
      </c>
      <c r="E268" t="s">
        <v>1379</v>
      </c>
      <c r="F268" t="s">
        <v>817</v>
      </c>
      <c r="G268" s="30">
        <v>264.44</v>
      </c>
      <c r="H268" s="29">
        <f>G268*(1-IFERROR(VLOOKUP(F268,Rabat!$D$10:$E$41,2,FALSE),0))</f>
        <v>264.44</v>
      </c>
      <c r="I268" t="s">
        <v>2540</v>
      </c>
      <c r="J268" t="s">
        <v>2585</v>
      </c>
      <c r="K268" t="s">
        <v>2538</v>
      </c>
      <c r="L268">
        <v>5</v>
      </c>
      <c r="M268"/>
      <c r="N268" t="s">
        <v>2539</v>
      </c>
      <c r="O268" s="31" t="str">
        <f>HYPERLINK("https://b2b.kobi.pl/pl/product/12154,lacznik-t-do-led-koline-k2-bialy-kobi-pro?currency=PLN")</f>
        <v>https://b2b.kobi.pl/pl/product/12154,lacznik-t-do-led-koline-k2-bialy-kobi-pro?currency=PLN</v>
      </c>
      <c r="P268" s="31" t="str">
        <f>HYPERLINK("https://eprel.ec.europa.eu/qr/2225270")</f>
        <v>https://eprel.ec.europa.eu/qr/2225270</v>
      </c>
      <c r="Q268"/>
    </row>
    <row r="269" spans="1:17" ht="15" x14ac:dyDescent="0.25">
      <c r="A269" t="s">
        <v>4</v>
      </c>
      <c r="B269" t="s">
        <v>813</v>
      </c>
      <c r="C269" t="s">
        <v>792</v>
      </c>
      <c r="D269" t="s">
        <v>1382</v>
      </c>
      <c r="E269" t="s">
        <v>1383</v>
      </c>
      <c r="F269" t="s">
        <v>817</v>
      </c>
      <c r="G269" s="30">
        <v>264.44</v>
      </c>
      <c r="H269" s="29">
        <f>G269*(1-IFERROR(VLOOKUP(F269,Rabat!$D$10:$E$41,2,FALSE),0))</f>
        <v>264.44</v>
      </c>
      <c r="I269" t="s">
        <v>2540</v>
      </c>
      <c r="J269" t="s">
        <v>2586</v>
      </c>
      <c r="K269" t="s">
        <v>2538</v>
      </c>
      <c r="L269">
        <v>5</v>
      </c>
      <c r="M269"/>
      <c r="N269" t="s">
        <v>2539</v>
      </c>
      <c r="O269" s="31" t="str">
        <f>HYPERLINK("https://b2b.kobi.pl/pl/product/12155,lacznik-t-do-led-koline-k2-czarny-kobi-pro?currency=PLN")</f>
        <v>https://b2b.kobi.pl/pl/product/12155,lacznik-t-do-led-koline-k2-czarny-kobi-pro?currency=PLN</v>
      </c>
      <c r="P269" s="31" t="str">
        <f>HYPERLINK("https://eprel.ec.europa.eu/qr/2225270")</f>
        <v>https://eprel.ec.europa.eu/qr/2225270</v>
      </c>
      <c r="Q269"/>
    </row>
    <row r="270" spans="1:17" ht="15" x14ac:dyDescent="0.25">
      <c r="A270" t="s">
        <v>4</v>
      </c>
      <c r="B270" t="s">
        <v>813</v>
      </c>
      <c r="C270" t="s">
        <v>44</v>
      </c>
      <c r="D270" t="s">
        <v>1670</v>
      </c>
      <c r="E270" t="s">
        <v>1671</v>
      </c>
      <c r="F270" t="s">
        <v>817</v>
      </c>
      <c r="G270" s="30">
        <v>36</v>
      </c>
      <c r="H270" s="29">
        <f>G270*(1-IFERROR(VLOOKUP(F270,Rabat!$D$10:$E$41,2,FALSE),0))</f>
        <v>36</v>
      </c>
      <c r="I270" t="s">
        <v>2540</v>
      </c>
      <c r="J270" t="s">
        <v>752</v>
      </c>
      <c r="K270" t="s">
        <v>2538</v>
      </c>
      <c r="L270"/>
      <c r="M270"/>
      <c r="N270" t="s">
        <v>2544</v>
      </c>
      <c r="O270" s="31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70" t="s">
        <v>16</v>
      </c>
      <c r="Q270"/>
    </row>
    <row r="271" spans="1:17" ht="15" x14ac:dyDescent="0.25">
      <c r="A271" t="s">
        <v>4</v>
      </c>
      <c r="B271" t="s">
        <v>813</v>
      </c>
      <c r="C271" t="s">
        <v>44</v>
      </c>
      <c r="D271" t="s">
        <v>1674</v>
      </c>
      <c r="E271" t="s">
        <v>1675</v>
      </c>
      <c r="F271" t="s">
        <v>817</v>
      </c>
      <c r="G271" s="30">
        <v>60</v>
      </c>
      <c r="H271" s="29">
        <f>G271*(1-IFERROR(VLOOKUP(F271,Rabat!$D$10:$E$41,2,FALSE),0))</f>
        <v>60</v>
      </c>
      <c r="I271" t="s">
        <v>2540</v>
      </c>
      <c r="J271" t="s">
        <v>753</v>
      </c>
      <c r="K271" t="s">
        <v>2538</v>
      </c>
      <c r="L271"/>
      <c r="M271"/>
      <c r="N271" t="s">
        <v>2544</v>
      </c>
      <c r="O271" s="31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71" t="s">
        <v>16</v>
      </c>
      <c r="Q271"/>
    </row>
    <row r="272" spans="1:17" ht="15" x14ac:dyDescent="0.25">
      <c r="A272" t="s">
        <v>4</v>
      </c>
      <c r="B272" t="s">
        <v>813</v>
      </c>
      <c r="C272" t="s">
        <v>44</v>
      </c>
      <c r="D272" t="s">
        <v>1678</v>
      </c>
      <c r="E272" t="s">
        <v>1679</v>
      </c>
      <c r="F272" t="s">
        <v>817</v>
      </c>
      <c r="G272" s="30">
        <v>78</v>
      </c>
      <c r="H272" s="29">
        <f>G272*(1-IFERROR(VLOOKUP(F272,Rabat!$D$10:$E$41,2,FALSE),0))</f>
        <v>78</v>
      </c>
      <c r="I272" t="s">
        <v>2540</v>
      </c>
      <c r="J272" t="s">
        <v>754</v>
      </c>
      <c r="K272" t="s">
        <v>2538</v>
      </c>
      <c r="L272"/>
      <c r="M272"/>
      <c r="N272" t="s">
        <v>2544</v>
      </c>
      <c r="O272" s="31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72" t="s">
        <v>16</v>
      </c>
      <c r="Q272"/>
    </row>
    <row r="273" spans="1:17" ht="15" x14ac:dyDescent="0.25">
      <c r="A273" t="s">
        <v>4</v>
      </c>
      <c r="B273" t="s">
        <v>813</v>
      </c>
      <c r="C273" t="s">
        <v>814</v>
      </c>
      <c r="D273" t="s">
        <v>2425</v>
      </c>
      <c r="E273" t="s">
        <v>2426</v>
      </c>
      <c r="F273" t="s">
        <v>817</v>
      </c>
      <c r="G273" s="30">
        <v>490.62</v>
      </c>
      <c r="H273" s="29">
        <f>G273*(1-IFERROR(VLOOKUP(F273,Rabat!$D$10:$E$41,2,FALSE),0))</f>
        <v>490.62</v>
      </c>
      <c r="I273" t="s">
        <v>2540</v>
      </c>
      <c r="J273" t="s">
        <v>2643</v>
      </c>
      <c r="K273" t="s">
        <v>2538</v>
      </c>
      <c r="L273">
        <v>2</v>
      </c>
      <c r="M273"/>
      <c r="N273" t="s">
        <v>2539</v>
      </c>
      <c r="O273"/>
      <c r="P273" s="31" t="str">
        <f>HYPERLINK("https://eprel.ec.europa.eu/qr/1159028")</f>
        <v>https://eprel.ec.europa.eu/qr/1159028</v>
      </c>
      <c r="Q273"/>
    </row>
    <row r="274" spans="1:17" ht="15" x14ac:dyDescent="0.25">
      <c r="A274" t="s">
        <v>4</v>
      </c>
      <c r="B274" t="s">
        <v>813</v>
      </c>
      <c r="C274" t="s">
        <v>814</v>
      </c>
      <c r="D274" t="s">
        <v>2421</v>
      </c>
      <c r="E274" t="s">
        <v>2422</v>
      </c>
      <c r="F274" t="s">
        <v>817</v>
      </c>
      <c r="G274" s="30">
        <v>954</v>
      </c>
      <c r="H274" s="29">
        <f>G274*(1-IFERROR(VLOOKUP(F274,Rabat!$D$10:$E$41,2,FALSE),0))</f>
        <v>954</v>
      </c>
      <c r="I274" t="s">
        <v>2549</v>
      </c>
      <c r="J274" t="s">
        <v>334</v>
      </c>
      <c r="K274" t="s">
        <v>2538</v>
      </c>
      <c r="L274">
        <v>1</v>
      </c>
      <c r="M274"/>
      <c r="N274" t="s">
        <v>2539</v>
      </c>
      <c r="O274"/>
      <c r="P274" s="31" t="str">
        <f>HYPERLINK("https://eprel.ec.europa.eu/qr/953680")</f>
        <v>https://eprel.ec.europa.eu/qr/953680</v>
      </c>
      <c r="Q274"/>
    </row>
    <row r="275" spans="1:17" ht="15" x14ac:dyDescent="0.25">
      <c r="A275" t="s">
        <v>4</v>
      </c>
      <c r="B275" t="s">
        <v>813</v>
      </c>
      <c r="C275" t="s">
        <v>814</v>
      </c>
      <c r="D275" t="s">
        <v>2423</v>
      </c>
      <c r="E275" t="s">
        <v>2424</v>
      </c>
      <c r="F275" t="s">
        <v>817</v>
      </c>
      <c r="G275" s="30">
        <v>1725</v>
      </c>
      <c r="H275" s="29">
        <f>G275*(1-IFERROR(VLOOKUP(F275,Rabat!$D$10:$E$41,2,FALSE),0))</f>
        <v>1725</v>
      </c>
      <c r="I275" t="s">
        <v>2549</v>
      </c>
      <c r="J275" t="s">
        <v>335</v>
      </c>
      <c r="K275" t="s">
        <v>2538</v>
      </c>
      <c r="L275">
        <v>1</v>
      </c>
      <c r="M275"/>
      <c r="N275" t="s">
        <v>2539</v>
      </c>
      <c r="O275"/>
      <c r="P275" s="31" t="str">
        <f>HYPERLINK("https://eprel.ec.europa.eu/qr/953694")</f>
        <v>https://eprel.ec.europa.eu/qr/953694</v>
      </c>
      <c r="Q275"/>
    </row>
    <row r="276" spans="1:17" ht="15" x14ac:dyDescent="0.25">
      <c r="A276" t="s">
        <v>4</v>
      </c>
      <c r="B276" t="s">
        <v>45</v>
      </c>
      <c r="C276" t="s">
        <v>44</v>
      </c>
      <c r="D276" t="s">
        <v>1400</v>
      </c>
      <c r="E276" t="s">
        <v>1401</v>
      </c>
      <c r="F276" t="s">
        <v>1393</v>
      </c>
      <c r="G276" s="30">
        <v>32.9</v>
      </c>
      <c r="H276" s="29">
        <f>G276*(1-IFERROR(VLOOKUP(F276,Rabat!$D$10:$E$41,2,FALSE),0))</f>
        <v>32.9</v>
      </c>
      <c r="I276" t="s">
        <v>2542</v>
      </c>
      <c r="J276" t="s">
        <v>304</v>
      </c>
      <c r="K276" t="s">
        <v>2538</v>
      </c>
      <c r="L276">
        <v>60</v>
      </c>
      <c r="M276">
        <v>1800</v>
      </c>
      <c r="N276" t="s">
        <v>2544</v>
      </c>
      <c r="O276" s="31" t="str">
        <f>HYPERLINK("https://b2b.kobi.pl/pl/product/9979,naswietlacz-led-mh-10w-3000k-ip65-czarny-led2b?currency=PLN")</f>
        <v>https://b2b.kobi.pl/pl/product/9979,naswietlacz-led-mh-10w-3000k-ip65-czarny-led2b?currency=PLN</v>
      </c>
      <c r="P276" s="31" t="str">
        <f>HYPERLINK("https://eprel.ec.europa.eu/qr/934475")</f>
        <v>https://eprel.ec.europa.eu/qr/934475</v>
      </c>
      <c r="Q276" t="s">
        <v>2700</v>
      </c>
    </row>
    <row r="277" spans="1:17" ht="15" x14ac:dyDescent="0.25">
      <c r="A277" t="s">
        <v>4</v>
      </c>
      <c r="B277" t="s">
        <v>45</v>
      </c>
      <c r="C277" t="s">
        <v>44</v>
      </c>
      <c r="D277" t="s">
        <v>1404</v>
      </c>
      <c r="E277" t="s">
        <v>1405</v>
      </c>
      <c r="F277" t="s">
        <v>1393</v>
      </c>
      <c r="G277" s="30">
        <v>18.87</v>
      </c>
      <c r="H277" s="29">
        <f>G277*(1-IFERROR(VLOOKUP(F277,Rabat!$D$10:$E$41,2,FALSE),0))</f>
        <v>18.87</v>
      </c>
      <c r="I277" t="s">
        <v>2542</v>
      </c>
      <c r="J277" t="s">
        <v>305</v>
      </c>
      <c r="K277" t="s">
        <v>2538</v>
      </c>
      <c r="L277">
        <v>60</v>
      </c>
      <c r="M277">
        <v>1800</v>
      </c>
      <c r="N277" t="s">
        <v>2544</v>
      </c>
      <c r="O277" s="31" t="str">
        <f>HYPERLINK("https://b2b.kobi.pl/pl/product/9980,naswietlacz-led-mh-10w-4000k-ip65-czarny-led2b?currency=PLN")</f>
        <v>https://b2b.kobi.pl/pl/product/9980,naswietlacz-led-mh-10w-4000k-ip65-czarny-led2b?currency=PLN</v>
      </c>
      <c r="P277" s="31" t="str">
        <f>HYPERLINK("https://eprel.ec.europa.eu/qr/760350")</f>
        <v>https://eprel.ec.europa.eu/qr/760350</v>
      </c>
      <c r="Q277"/>
    </row>
    <row r="278" spans="1:17" ht="15" x14ac:dyDescent="0.25">
      <c r="A278" t="s">
        <v>4</v>
      </c>
      <c r="B278" t="s">
        <v>45</v>
      </c>
      <c r="C278" t="s">
        <v>44</v>
      </c>
      <c r="D278" t="s">
        <v>1412</v>
      </c>
      <c r="E278" t="s">
        <v>1413</v>
      </c>
      <c r="F278" t="s">
        <v>1393</v>
      </c>
      <c r="G278" s="30">
        <v>18.87</v>
      </c>
      <c r="H278" s="29">
        <f>G278*(1-IFERROR(VLOOKUP(F278,Rabat!$D$10:$E$41,2,FALSE),0))</f>
        <v>18.87</v>
      </c>
      <c r="I278" t="s">
        <v>2542</v>
      </c>
      <c r="J278" t="s">
        <v>306</v>
      </c>
      <c r="K278" t="s">
        <v>2538</v>
      </c>
      <c r="L278">
        <v>60</v>
      </c>
      <c r="M278">
        <v>1800</v>
      </c>
      <c r="N278" t="s">
        <v>2544</v>
      </c>
      <c r="O278" s="31" t="str">
        <f>HYPERLINK("https://b2b.kobi.pl/pl/product/9982,naswietlacz-led-mh-10w-6500k-ip65-czarny-led2b?currency=PLN")</f>
        <v>https://b2b.kobi.pl/pl/product/9982,naswietlacz-led-mh-10w-6500k-ip65-czarny-led2b?currency=PLN</v>
      </c>
      <c r="P278" s="31" t="str">
        <f>HYPERLINK("https://eprel.ec.europa.eu/qr/760357")</f>
        <v>https://eprel.ec.europa.eu/qr/760357</v>
      </c>
      <c r="Q278"/>
    </row>
    <row r="279" spans="1:17" ht="15" x14ac:dyDescent="0.25">
      <c r="A279" t="s">
        <v>4</v>
      </c>
      <c r="B279" t="s">
        <v>45</v>
      </c>
      <c r="C279" t="s">
        <v>44</v>
      </c>
      <c r="D279" t="s">
        <v>1424</v>
      </c>
      <c r="E279" t="s">
        <v>1425</v>
      </c>
      <c r="F279" t="s">
        <v>1393</v>
      </c>
      <c r="G279" s="30">
        <v>27.91</v>
      </c>
      <c r="H279" s="29">
        <f>G279*(1-IFERROR(VLOOKUP(F279,Rabat!$D$10:$E$41,2,FALSE),0))</f>
        <v>27.91</v>
      </c>
      <c r="I279" t="s">
        <v>2542</v>
      </c>
      <c r="J279" t="s">
        <v>307</v>
      </c>
      <c r="K279" t="s">
        <v>2538</v>
      </c>
      <c r="L279">
        <v>60</v>
      </c>
      <c r="M279">
        <v>1600</v>
      </c>
      <c r="N279" t="s">
        <v>2544</v>
      </c>
      <c r="O279" s="31" t="str">
        <f>HYPERLINK("https://b2b.kobi.pl/pl/product/9987,naswietlacz-led-mh-20w-6500k-ip65-czarny-led2b?currency=PLN")</f>
        <v>https://b2b.kobi.pl/pl/product/9987,naswietlacz-led-mh-20w-6500k-ip65-czarny-led2b?currency=PLN</v>
      </c>
      <c r="P279" s="31" t="str">
        <f>HYPERLINK("https://eprel.ec.europa.eu/qr/760361")</f>
        <v>https://eprel.ec.europa.eu/qr/760361</v>
      </c>
      <c r="Q279"/>
    </row>
    <row r="280" spans="1:17" ht="15" x14ac:dyDescent="0.25">
      <c r="A280" t="s">
        <v>4</v>
      </c>
      <c r="B280" t="s">
        <v>45</v>
      </c>
      <c r="C280" t="s">
        <v>44</v>
      </c>
      <c r="D280" t="s">
        <v>1436</v>
      </c>
      <c r="E280" t="s">
        <v>1437</v>
      </c>
      <c r="F280" t="s">
        <v>1393</v>
      </c>
      <c r="G280" s="30">
        <v>92.5</v>
      </c>
      <c r="H280" s="29">
        <f>G280*(1-IFERROR(VLOOKUP(F280,Rabat!$D$10:$E$41,2,FALSE),0))</f>
        <v>92.5</v>
      </c>
      <c r="I280" t="s">
        <v>2542</v>
      </c>
      <c r="J280" t="s">
        <v>320</v>
      </c>
      <c r="K280" t="s">
        <v>2538</v>
      </c>
      <c r="L280">
        <v>60</v>
      </c>
      <c r="M280">
        <v>960</v>
      </c>
      <c r="N280" t="s">
        <v>2544</v>
      </c>
      <c r="O280" s="31" t="str">
        <f>HYPERLINK("https://b2b.kobi.pl/pl/product/10000,naswietlacz-z-czujnikiem-ruchu-led-mhc-10w-3000k-ip44-czarny-led2b?currency=PLN")</f>
        <v>https://b2b.kobi.pl/pl/product/10000,naswietlacz-z-czujnikiem-ruchu-led-mhc-10w-3000k-ip44-czarny-led2b?currency=PLN</v>
      </c>
      <c r="P280" s="31" t="str">
        <f>HYPERLINK("https://eprel.ec.europa.eu/qr/941688")</f>
        <v>https://eprel.ec.europa.eu/qr/941688</v>
      </c>
      <c r="Q280" t="s">
        <v>2700</v>
      </c>
    </row>
    <row r="281" spans="1:17" ht="15" x14ac:dyDescent="0.25">
      <c r="A281" t="s">
        <v>4</v>
      </c>
      <c r="B281" t="s">
        <v>45</v>
      </c>
      <c r="C281" t="s">
        <v>44</v>
      </c>
      <c r="D281" t="s">
        <v>2720</v>
      </c>
      <c r="E281" t="s">
        <v>1438</v>
      </c>
      <c r="F281" t="s">
        <v>1393</v>
      </c>
      <c r="G281" s="30">
        <v>46.67</v>
      </c>
      <c r="H281" s="29">
        <f>G281*(1-IFERROR(VLOOKUP(F281,Rabat!$D$10:$E$41,2,FALSE),0))</f>
        <v>46.67</v>
      </c>
      <c r="I281" t="s">
        <v>2542</v>
      </c>
      <c r="J281" t="s">
        <v>321</v>
      </c>
      <c r="K281" t="s">
        <v>2538</v>
      </c>
      <c r="L281">
        <v>60</v>
      </c>
      <c r="M281">
        <v>960</v>
      </c>
      <c r="N281" t="s">
        <v>2544</v>
      </c>
      <c r="O281" s="31" t="str">
        <f>HYPERLINK("https://b2b.kobi.pl/pl/product/10001,naswietlacz-z-czujnikiem-ruchu-led-mhc-10w-4000k-ip44-czarny-led2b?currency=PLN")</f>
        <v>https://b2b.kobi.pl/pl/product/10001,naswietlacz-z-czujnikiem-ruchu-led-mhc-10w-4000k-ip44-czarny-led2b?currency=PLN</v>
      </c>
      <c r="P281" s="31" t="str">
        <f>HYPERLINK("https://eprel.ec.europa.eu/qr/760375")</f>
        <v>https://eprel.ec.europa.eu/qr/760375</v>
      </c>
      <c r="Q281"/>
    </row>
    <row r="282" spans="1:17" ht="15" x14ac:dyDescent="0.25">
      <c r="A282" t="s">
        <v>4</v>
      </c>
      <c r="B282" t="s">
        <v>45</v>
      </c>
      <c r="C282" t="s">
        <v>44</v>
      </c>
      <c r="D282" t="s">
        <v>2787</v>
      </c>
      <c r="E282" t="s">
        <v>1441</v>
      </c>
      <c r="F282" t="s">
        <v>1393</v>
      </c>
      <c r="G282" s="30">
        <v>46.67</v>
      </c>
      <c r="H282" s="29">
        <f>G282*(1-IFERROR(VLOOKUP(F282,Rabat!$D$10:$E$41,2,FALSE),0))</f>
        <v>46.67</v>
      </c>
      <c r="I282" t="s">
        <v>2542</v>
      </c>
      <c r="J282" t="s">
        <v>322</v>
      </c>
      <c r="K282" t="s">
        <v>2538</v>
      </c>
      <c r="L282">
        <v>60</v>
      </c>
      <c r="M282">
        <v>960</v>
      </c>
      <c r="N282" t="s">
        <v>2544</v>
      </c>
      <c r="O282" s="31" t="str">
        <f>HYPERLINK("https://b2b.kobi.pl/pl/product/10003,naswietlacz-z-czujnikiem-ruchu-led-mhc-10w-6500k-ip44-czarny-led2b?currency=PLN")</f>
        <v>https://b2b.kobi.pl/pl/product/10003,naswietlacz-z-czujnikiem-ruchu-led-mhc-10w-6500k-ip44-czarny-led2b?currency=PLN</v>
      </c>
      <c r="P282" s="31" t="str">
        <f>HYPERLINK("https://eprel.ec.europa.eu/qr/760379")</f>
        <v>https://eprel.ec.europa.eu/qr/760379</v>
      </c>
      <c r="Q282"/>
    </row>
    <row r="283" spans="1:17" ht="15" x14ac:dyDescent="0.25">
      <c r="A283" t="s">
        <v>4</v>
      </c>
      <c r="B283" t="s">
        <v>45</v>
      </c>
      <c r="C283" t="s">
        <v>44</v>
      </c>
      <c r="D283" t="s">
        <v>2721</v>
      </c>
      <c r="E283" t="s">
        <v>1450</v>
      </c>
      <c r="F283" t="s">
        <v>1393</v>
      </c>
      <c r="G283" s="30">
        <v>68.36</v>
      </c>
      <c r="H283" s="29">
        <f>G283*(1-IFERROR(VLOOKUP(F283,Rabat!$D$10:$E$41,2,FALSE),0))</f>
        <v>68.36</v>
      </c>
      <c r="I283" t="s">
        <v>2542</v>
      </c>
      <c r="J283" t="s">
        <v>323</v>
      </c>
      <c r="K283" t="s">
        <v>2538</v>
      </c>
      <c r="L283">
        <v>20</v>
      </c>
      <c r="M283">
        <v>480</v>
      </c>
      <c r="N283" t="s">
        <v>2544</v>
      </c>
      <c r="O283" s="31" t="str">
        <f>HYPERLINK("https://b2b.kobi.pl/pl/product/10013,naswietlacz-z-czujnikiem-ruchu-led-mhc-30w-6500k-ip44-czarny-led2b?currency=PLN")</f>
        <v>https://b2b.kobi.pl/pl/product/10013,naswietlacz-z-czujnikiem-ruchu-led-mhc-30w-6500k-ip44-czarny-led2b?currency=PLN</v>
      </c>
      <c r="P283" s="31" t="str">
        <f>HYPERLINK("https://eprel.ec.europa.eu/qr/760445")</f>
        <v>https://eprel.ec.europa.eu/qr/760445</v>
      </c>
      <c r="Q283"/>
    </row>
    <row r="284" spans="1:17" ht="15" x14ac:dyDescent="0.25">
      <c r="A284" t="s">
        <v>4</v>
      </c>
      <c r="B284" t="s">
        <v>45</v>
      </c>
      <c r="C284" t="s">
        <v>44</v>
      </c>
      <c r="D284" t="s">
        <v>1453</v>
      </c>
      <c r="E284" t="s">
        <v>1454</v>
      </c>
      <c r="F284" t="s">
        <v>1393</v>
      </c>
      <c r="G284" s="30">
        <v>148</v>
      </c>
      <c r="H284" s="29">
        <f>G284*(1-IFERROR(VLOOKUP(F284,Rabat!$D$10:$E$41,2,FALSE),0))</f>
        <v>148</v>
      </c>
      <c r="I284" t="s">
        <v>2542</v>
      </c>
      <c r="J284" t="s">
        <v>324</v>
      </c>
      <c r="K284" t="s">
        <v>2538</v>
      </c>
      <c r="L284">
        <v>20</v>
      </c>
      <c r="M284">
        <v>400</v>
      </c>
      <c r="N284" t="s">
        <v>2544</v>
      </c>
      <c r="O284" s="31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284" s="31" t="str">
        <f>HYPERLINK("https://eprel.ec.europa.eu/qr/943719")</f>
        <v>https://eprel.ec.europa.eu/qr/943719</v>
      </c>
      <c r="Q284" t="s">
        <v>2700</v>
      </c>
    </row>
    <row r="285" spans="1:17" ht="15" x14ac:dyDescent="0.25">
      <c r="A285" t="s">
        <v>4</v>
      </c>
      <c r="B285" t="s">
        <v>45</v>
      </c>
      <c r="C285" t="s">
        <v>1392</v>
      </c>
      <c r="D285" t="s">
        <v>1408</v>
      </c>
      <c r="E285" t="s">
        <v>1409</v>
      </c>
      <c r="F285" t="s">
        <v>1393</v>
      </c>
      <c r="G285" s="30">
        <v>18.899999999999999</v>
      </c>
      <c r="H285" s="29">
        <f>G285*(1-IFERROR(VLOOKUP(F285,Rabat!$D$10:$E$41,2,FALSE),0))</f>
        <v>18.899999999999999</v>
      </c>
      <c r="I285" t="s">
        <v>2542</v>
      </c>
      <c r="J285" t="s">
        <v>727</v>
      </c>
      <c r="K285" t="s">
        <v>2538</v>
      </c>
      <c r="L285">
        <v>40</v>
      </c>
      <c r="M285">
        <v>3360</v>
      </c>
      <c r="N285" t="s">
        <v>2544</v>
      </c>
      <c r="O285" s="31" t="str">
        <f>HYPERLINK("https://b2b.kobi.pl/pl/product/9981,naswietlacz-led-mh-10w-4000k-ip65-czarny-led2b-red?currency=PLN")</f>
        <v>https://b2b.kobi.pl/pl/product/9981,naswietlacz-led-mh-10w-4000k-ip65-czarny-led2b-red?currency=PLN</v>
      </c>
      <c r="P285" s="31" t="str">
        <f>HYPERLINK("https://eprel.ec.europa.eu/qr/1984162")</f>
        <v>https://eprel.ec.europa.eu/qr/1984162</v>
      </c>
      <c r="Q285" t="s">
        <v>2700</v>
      </c>
    </row>
    <row r="286" spans="1:17" ht="15" x14ac:dyDescent="0.25">
      <c r="A286" t="s">
        <v>4</v>
      </c>
      <c r="B286" t="s">
        <v>45</v>
      </c>
      <c r="C286" t="s">
        <v>1392</v>
      </c>
      <c r="D286" t="s">
        <v>1416</v>
      </c>
      <c r="E286" t="s">
        <v>1417</v>
      </c>
      <c r="F286" t="s">
        <v>1393</v>
      </c>
      <c r="G286" s="30">
        <v>18.899999999999999</v>
      </c>
      <c r="H286" s="29">
        <f>G286*(1-IFERROR(VLOOKUP(F286,Rabat!$D$10:$E$41,2,FALSE),0))</f>
        <v>18.899999999999999</v>
      </c>
      <c r="I286" t="s">
        <v>2542</v>
      </c>
      <c r="J286" t="s">
        <v>728</v>
      </c>
      <c r="K286" t="s">
        <v>2538</v>
      </c>
      <c r="L286">
        <v>40</v>
      </c>
      <c r="M286">
        <v>3360</v>
      </c>
      <c r="N286" t="s">
        <v>2544</v>
      </c>
      <c r="O286" s="31" t="str">
        <f>HYPERLINK("https://b2b.kobi.pl/pl/product/9983,naswietlacz-led-mh-10w-6500k-ip65-czarny-led2b-red?currency=PLN")</f>
        <v>https://b2b.kobi.pl/pl/product/9983,naswietlacz-led-mh-10w-6500k-ip65-czarny-led2b-red?currency=PLN</v>
      </c>
      <c r="P286" s="31" t="str">
        <f>HYPERLINK("https://eprel.ec.europa.eu/qr/1984170")</f>
        <v>https://eprel.ec.europa.eu/qr/1984170</v>
      </c>
      <c r="Q286" t="s">
        <v>2700</v>
      </c>
    </row>
    <row r="287" spans="1:17" ht="15" x14ac:dyDescent="0.25">
      <c r="A287" t="s">
        <v>4</v>
      </c>
      <c r="B287" t="s">
        <v>45</v>
      </c>
      <c r="C287" t="s">
        <v>1392</v>
      </c>
      <c r="D287" t="s">
        <v>1422</v>
      </c>
      <c r="E287" t="s">
        <v>1423</v>
      </c>
      <c r="F287" t="s">
        <v>1393</v>
      </c>
      <c r="G287" s="30">
        <v>29.9</v>
      </c>
      <c r="H287" s="29">
        <f>G287*(1-IFERROR(VLOOKUP(F287,Rabat!$D$10:$E$41,2,FALSE),0))</f>
        <v>29.9</v>
      </c>
      <c r="I287" t="s">
        <v>2542</v>
      </c>
      <c r="J287" t="s">
        <v>729</v>
      </c>
      <c r="K287" t="s">
        <v>2538</v>
      </c>
      <c r="L287">
        <v>20</v>
      </c>
      <c r="M287">
        <v>1920</v>
      </c>
      <c r="N287" t="s">
        <v>2544</v>
      </c>
      <c r="O287" s="31" t="str">
        <f>HYPERLINK("https://b2b.kobi.pl/pl/product/9986,naswietlacz-led-mh-20w-4000k-ip65-czarny-led2b-red?currency=PLN")</f>
        <v>https://b2b.kobi.pl/pl/product/9986,naswietlacz-led-mh-20w-4000k-ip65-czarny-led2b-red?currency=PLN</v>
      </c>
      <c r="P287" s="31" t="str">
        <f>HYPERLINK("https://eprel.ec.europa.eu/qr/1984182")</f>
        <v>https://eprel.ec.europa.eu/qr/1984182</v>
      </c>
      <c r="Q287" t="s">
        <v>2700</v>
      </c>
    </row>
    <row r="288" spans="1:17" ht="15" x14ac:dyDescent="0.25">
      <c r="A288" t="s">
        <v>4</v>
      </c>
      <c r="B288" t="s">
        <v>45</v>
      </c>
      <c r="C288" t="s">
        <v>1392</v>
      </c>
      <c r="D288" t="s">
        <v>1426</v>
      </c>
      <c r="E288" t="s">
        <v>1427</v>
      </c>
      <c r="F288" t="s">
        <v>1393</v>
      </c>
      <c r="G288" s="30">
        <v>29.9</v>
      </c>
      <c r="H288" s="29">
        <f>G288*(1-IFERROR(VLOOKUP(F288,Rabat!$D$10:$E$41,2,FALSE),0))</f>
        <v>29.9</v>
      </c>
      <c r="I288" t="s">
        <v>2542</v>
      </c>
      <c r="J288" t="s">
        <v>730</v>
      </c>
      <c r="K288" t="s">
        <v>2538</v>
      </c>
      <c r="L288">
        <v>20</v>
      </c>
      <c r="M288">
        <v>1920</v>
      </c>
      <c r="N288" t="s">
        <v>2544</v>
      </c>
      <c r="O288" s="31" t="str">
        <f>HYPERLINK("https://b2b.kobi.pl/pl/product/9988,naswietlacz-led-mh-20w-6500k-ip65-czarny-led2b-red?currency=PLN")</f>
        <v>https://b2b.kobi.pl/pl/product/9988,naswietlacz-led-mh-20w-6500k-ip65-czarny-led2b-red?currency=PLN</v>
      </c>
      <c r="P288" s="31" t="str">
        <f>HYPERLINK("https://eprel.ec.europa.eu/qr/1984224")</f>
        <v>https://eprel.ec.europa.eu/qr/1984224</v>
      </c>
      <c r="Q288" t="s">
        <v>2700</v>
      </c>
    </row>
    <row r="289" spans="1:17" ht="15" x14ac:dyDescent="0.25">
      <c r="A289" t="s">
        <v>4</v>
      </c>
      <c r="B289" t="s">
        <v>45</v>
      </c>
      <c r="C289" t="s">
        <v>1392</v>
      </c>
      <c r="D289" t="s">
        <v>1428</v>
      </c>
      <c r="E289" t="s">
        <v>1429</v>
      </c>
      <c r="F289" t="s">
        <v>1393</v>
      </c>
      <c r="G289" s="30">
        <v>38.19</v>
      </c>
      <c r="H289" s="29">
        <f>G289*(1-IFERROR(VLOOKUP(F289,Rabat!$D$10:$E$41,2,FALSE),0))</f>
        <v>38.19</v>
      </c>
      <c r="I289" t="s">
        <v>2542</v>
      </c>
      <c r="J289" t="s">
        <v>731</v>
      </c>
      <c r="K289" t="s">
        <v>2538</v>
      </c>
      <c r="L289">
        <v>20</v>
      </c>
      <c r="M289">
        <v>1200</v>
      </c>
      <c r="N289" t="s">
        <v>2544</v>
      </c>
      <c r="O289" s="31" t="str">
        <f>HYPERLINK("https://b2b.kobi.pl/pl/product/9991,naswietlacz-led-mh-30w-4000k-ip65-czarny-led2b-red?currency=PLN")</f>
        <v>https://b2b.kobi.pl/pl/product/9991,naswietlacz-led-mh-30w-4000k-ip65-czarny-led2b-red?currency=PLN</v>
      </c>
      <c r="P289" s="31" t="str">
        <f>HYPERLINK("https://eprel.ec.europa.eu/qr/1984250")</f>
        <v>https://eprel.ec.europa.eu/qr/1984250</v>
      </c>
      <c r="Q289" t="s">
        <v>2700</v>
      </c>
    </row>
    <row r="290" spans="1:17" ht="15" x14ac:dyDescent="0.25">
      <c r="A290" t="s">
        <v>4</v>
      </c>
      <c r="B290" t="s">
        <v>45</v>
      </c>
      <c r="C290" t="s">
        <v>1392</v>
      </c>
      <c r="D290" t="s">
        <v>1430</v>
      </c>
      <c r="E290" t="s">
        <v>1431</v>
      </c>
      <c r="F290" t="s">
        <v>1393</v>
      </c>
      <c r="G290" s="30">
        <v>38.19</v>
      </c>
      <c r="H290" s="29">
        <f>G290*(1-IFERROR(VLOOKUP(F290,Rabat!$D$10:$E$41,2,FALSE),0))</f>
        <v>38.19</v>
      </c>
      <c r="I290" t="s">
        <v>2542</v>
      </c>
      <c r="J290" t="s">
        <v>732</v>
      </c>
      <c r="K290" t="s">
        <v>2538</v>
      </c>
      <c r="L290">
        <v>20</v>
      </c>
      <c r="M290">
        <v>1100</v>
      </c>
      <c r="N290" t="s">
        <v>2544</v>
      </c>
      <c r="O290" s="31" t="str">
        <f>HYPERLINK("https://b2b.kobi.pl/pl/product/9993,naswietlacz-led-mh-30w-6500k-ip65-czarny-led2b-red?currency=PLN")</f>
        <v>https://b2b.kobi.pl/pl/product/9993,naswietlacz-led-mh-30w-6500k-ip65-czarny-led2b-red?currency=PLN</v>
      </c>
      <c r="P290" s="31" t="str">
        <f>HYPERLINK("https://eprel.ec.europa.eu/qr/1984257")</f>
        <v>https://eprel.ec.europa.eu/qr/1984257</v>
      </c>
      <c r="Q290" t="s">
        <v>2700</v>
      </c>
    </row>
    <row r="291" spans="1:17" ht="15" x14ac:dyDescent="0.25">
      <c r="A291" t="s">
        <v>4</v>
      </c>
      <c r="B291" t="s">
        <v>45</v>
      </c>
      <c r="C291" t="s">
        <v>1392</v>
      </c>
      <c r="D291" t="s">
        <v>1432</v>
      </c>
      <c r="E291" t="s">
        <v>1433</v>
      </c>
      <c r="F291" t="s">
        <v>1393</v>
      </c>
      <c r="G291" s="30">
        <v>52.57</v>
      </c>
      <c r="H291" s="29">
        <f>G291*(1-IFERROR(VLOOKUP(F291,Rabat!$D$10:$E$41,2,FALSE),0))</f>
        <v>52.57</v>
      </c>
      <c r="I291" t="s">
        <v>2542</v>
      </c>
      <c r="J291" t="s">
        <v>682</v>
      </c>
      <c r="K291" t="s">
        <v>2538</v>
      </c>
      <c r="L291">
        <v>20</v>
      </c>
      <c r="M291">
        <v>960</v>
      </c>
      <c r="N291" t="s">
        <v>2544</v>
      </c>
      <c r="O291" s="31" t="str">
        <f>HYPERLINK("https://b2b.kobi.pl/pl/product/9996,naswietlacz-led-mh-50w-4000k-ip65-czarny-led2b-red?currency=PLN")</f>
        <v>https://b2b.kobi.pl/pl/product/9996,naswietlacz-led-mh-50w-4000k-ip65-czarny-led2b-red?currency=PLN</v>
      </c>
      <c r="P291" s="31" t="str">
        <f>HYPERLINK("https://eprel.ec.europa.eu/qr/1984267")</f>
        <v>https://eprel.ec.europa.eu/qr/1984267</v>
      </c>
      <c r="Q291" t="s">
        <v>2700</v>
      </c>
    </row>
    <row r="292" spans="1:17" ht="15" x14ac:dyDescent="0.25">
      <c r="A292" t="s">
        <v>4</v>
      </c>
      <c r="B292" t="s">
        <v>45</v>
      </c>
      <c r="C292" t="s">
        <v>1392</v>
      </c>
      <c r="D292" t="s">
        <v>1434</v>
      </c>
      <c r="E292" t="s">
        <v>1435</v>
      </c>
      <c r="F292" t="s">
        <v>1393</v>
      </c>
      <c r="G292" s="30">
        <v>52.57</v>
      </c>
      <c r="H292" s="29">
        <f>G292*(1-IFERROR(VLOOKUP(F292,Rabat!$D$10:$E$41,2,FALSE),0))</f>
        <v>52.57</v>
      </c>
      <c r="I292" t="s">
        <v>2542</v>
      </c>
      <c r="J292" t="s">
        <v>683</v>
      </c>
      <c r="K292" t="s">
        <v>2538</v>
      </c>
      <c r="L292">
        <v>20</v>
      </c>
      <c r="M292">
        <v>960</v>
      </c>
      <c r="N292" t="s">
        <v>2544</v>
      </c>
      <c r="O292" s="31" t="str">
        <f>HYPERLINK("https://b2b.kobi.pl/pl/product/9998,naswietlacz-led-mh-50w-6500k-ip65-czarny-led2b-red?currency=PLN")</f>
        <v>https://b2b.kobi.pl/pl/product/9998,naswietlacz-led-mh-50w-6500k-ip65-czarny-led2b-red?currency=PLN</v>
      </c>
      <c r="P292" s="31" t="str">
        <f>HYPERLINK("https://eprel.ec.europa.eu/qr/1984365")</f>
        <v>https://eprel.ec.europa.eu/qr/1984365</v>
      </c>
      <c r="Q292" t="s">
        <v>2700</v>
      </c>
    </row>
    <row r="293" spans="1:17" ht="15" x14ac:dyDescent="0.25">
      <c r="A293" t="s">
        <v>4</v>
      </c>
      <c r="B293" t="s">
        <v>45</v>
      </c>
      <c r="C293" t="s">
        <v>1392</v>
      </c>
      <c r="D293" t="s">
        <v>1396</v>
      </c>
      <c r="E293" t="s">
        <v>1397</v>
      </c>
      <c r="F293" t="s">
        <v>1393</v>
      </c>
      <c r="G293" s="30">
        <v>93.86</v>
      </c>
      <c r="H293" s="29">
        <f>G293*(1-IFERROR(VLOOKUP(F293,Rabat!$D$10:$E$41,2,FALSE),0))</f>
        <v>93.86</v>
      </c>
      <c r="I293" t="s">
        <v>2542</v>
      </c>
      <c r="J293" t="s">
        <v>733</v>
      </c>
      <c r="K293" t="s">
        <v>2538</v>
      </c>
      <c r="L293">
        <v>8</v>
      </c>
      <c r="M293">
        <v>480</v>
      </c>
      <c r="N293" t="s">
        <v>2544</v>
      </c>
      <c r="O293" s="31" t="str">
        <f>HYPERLINK("https://b2b.kobi.pl/pl/product/9978,naswietlacz-led-mh-100w-6500k-ip65-czarny-led2b-red?currency=PLN")</f>
        <v>https://b2b.kobi.pl/pl/product/9978,naswietlacz-led-mh-100w-6500k-ip65-czarny-led2b-red?currency=PLN</v>
      </c>
      <c r="P293" s="31" t="str">
        <f>HYPERLINK("https://eprel.ec.europa.eu/qr/1984570")</f>
        <v>https://eprel.ec.europa.eu/qr/1984570</v>
      </c>
      <c r="Q293" t="s">
        <v>2700</v>
      </c>
    </row>
    <row r="294" spans="1:17" ht="15" x14ac:dyDescent="0.25">
      <c r="A294" t="s">
        <v>4</v>
      </c>
      <c r="B294" t="s">
        <v>45</v>
      </c>
      <c r="C294" t="s">
        <v>1392</v>
      </c>
      <c r="D294" t="s">
        <v>1439</v>
      </c>
      <c r="E294" t="s">
        <v>1440</v>
      </c>
      <c r="F294" t="s">
        <v>1393</v>
      </c>
      <c r="G294" s="30">
        <v>50</v>
      </c>
      <c r="H294" s="29">
        <f>G294*(1-IFERROR(VLOOKUP(F294,Rabat!$D$10:$E$41,2,FALSE),0))</f>
        <v>50</v>
      </c>
      <c r="I294" t="s">
        <v>2542</v>
      </c>
      <c r="J294" t="s">
        <v>734</v>
      </c>
      <c r="K294" t="s">
        <v>2538</v>
      </c>
      <c r="L294">
        <v>20</v>
      </c>
      <c r="M294"/>
      <c r="N294" t="s">
        <v>2544</v>
      </c>
      <c r="O294" s="31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294" s="31" t="str">
        <f>HYPERLINK("https://eprel.ec.europa.eu/qr/1988260")</f>
        <v>https://eprel.ec.europa.eu/qr/1988260</v>
      </c>
      <c r="Q294" t="s">
        <v>2700</v>
      </c>
    </row>
    <row r="295" spans="1:17" ht="15" x14ac:dyDescent="0.25">
      <c r="A295" t="s">
        <v>4</v>
      </c>
      <c r="B295" t="s">
        <v>45</v>
      </c>
      <c r="C295" t="s">
        <v>1392</v>
      </c>
      <c r="D295" t="s">
        <v>1442</v>
      </c>
      <c r="E295" t="s">
        <v>1443</v>
      </c>
      <c r="F295" t="s">
        <v>1393</v>
      </c>
      <c r="G295" s="30">
        <v>50</v>
      </c>
      <c r="H295" s="29">
        <f>G295*(1-IFERROR(VLOOKUP(F295,Rabat!$D$10:$E$41,2,FALSE),0))</f>
        <v>50</v>
      </c>
      <c r="I295" t="s">
        <v>2542</v>
      </c>
      <c r="J295" t="s">
        <v>735</v>
      </c>
      <c r="K295" t="s">
        <v>2538</v>
      </c>
      <c r="L295">
        <v>20</v>
      </c>
      <c r="M295"/>
      <c r="N295" t="s">
        <v>2544</v>
      </c>
      <c r="O295" s="31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295" s="31" t="str">
        <f>HYPERLINK("https://eprel.ec.europa.eu/qr/1988276")</f>
        <v>https://eprel.ec.europa.eu/qr/1988276</v>
      </c>
      <c r="Q295" t="s">
        <v>2700</v>
      </c>
    </row>
    <row r="296" spans="1:17" ht="15" x14ac:dyDescent="0.25">
      <c r="A296" t="s">
        <v>4</v>
      </c>
      <c r="B296" t="s">
        <v>45</v>
      </c>
      <c r="C296" t="s">
        <v>1392</v>
      </c>
      <c r="D296" t="s">
        <v>1444</v>
      </c>
      <c r="E296" t="s">
        <v>1445</v>
      </c>
      <c r="F296" t="s">
        <v>1393</v>
      </c>
      <c r="G296" s="30">
        <v>64.95</v>
      </c>
      <c r="H296" s="29">
        <f>G296*(1-IFERROR(VLOOKUP(F296,Rabat!$D$10:$E$41,2,FALSE),0))</f>
        <v>64.95</v>
      </c>
      <c r="I296" t="s">
        <v>2542</v>
      </c>
      <c r="J296" t="s">
        <v>736</v>
      </c>
      <c r="K296" t="s">
        <v>2538</v>
      </c>
      <c r="L296">
        <v>20</v>
      </c>
      <c r="M296">
        <v>800</v>
      </c>
      <c r="N296" t="s">
        <v>2544</v>
      </c>
      <c r="O296" s="31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296" s="31" t="str">
        <f>HYPERLINK("https://eprel.ec.europa.eu/qr/1988366")</f>
        <v>https://eprel.ec.europa.eu/qr/1988366</v>
      </c>
      <c r="Q296" t="s">
        <v>2700</v>
      </c>
    </row>
    <row r="297" spans="1:17" ht="15" x14ac:dyDescent="0.25">
      <c r="A297" t="s">
        <v>4</v>
      </c>
      <c r="B297" t="s">
        <v>45</v>
      </c>
      <c r="C297" t="s">
        <v>1392</v>
      </c>
      <c r="D297" t="s">
        <v>1446</v>
      </c>
      <c r="E297" t="s">
        <v>1447</v>
      </c>
      <c r="F297" t="s">
        <v>1393</v>
      </c>
      <c r="G297" s="30">
        <v>64.95</v>
      </c>
      <c r="H297" s="29">
        <f>G297*(1-IFERROR(VLOOKUP(F297,Rabat!$D$10:$E$41,2,FALSE),0))</f>
        <v>64.95</v>
      </c>
      <c r="I297" t="s">
        <v>2542</v>
      </c>
      <c r="J297" t="s">
        <v>737</v>
      </c>
      <c r="K297" t="s">
        <v>2538</v>
      </c>
      <c r="L297">
        <v>20</v>
      </c>
      <c r="M297">
        <v>800</v>
      </c>
      <c r="N297" t="s">
        <v>2544</v>
      </c>
      <c r="O297" s="31" t="str">
        <f>HYPERLINK("https://b2b.kobi.pl/pl/product/10009,naswietlacz-z-czujnikiem-ruchu-led-mhc-20w-6500k-ip44-czarny-led2b-red?currency=PLN")</f>
        <v>https://b2b.kobi.pl/pl/product/10009,naswietlacz-z-czujnikiem-ruchu-led-mhc-20w-6500k-ip44-czarny-led2b-red?currency=PLN</v>
      </c>
      <c r="P297" s="31" t="str">
        <f>HYPERLINK("https://eprel.ec.europa.eu/qr/1988379")</f>
        <v>https://eprel.ec.europa.eu/qr/1988379</v>
      </c>
      <c r="Q297" t="s">
        <v>2700</v>
      </c>
    </row>
    <row r="298" spans="1:17" ht="15" x14ac:dyDescent="0.25">
      <c r="A298" t="s">
        <v>4</v>
      </c>
      <c r="B298" t="s">
        <v>45</v>
      </c>
      <c r="C298" t="s">
        <v>1392</v>
      </c>
      <c r="D298" t="s">
        <v>1448</v>
      </c>
      <c r="E298" t="s">
        <v>1449</v>
      </c>
      <c r="F298" t="s">
        <v>1393</v>
      </c>
      <c r="G298" s="30">
        <v>73.239999999999995</v>
      </c>
      <c r="H298" s="29">
        <f>G298*(1-IFERROR(VLOOKUP(F298,Rabat!$D$10:$E$41,2,FALSE),0))</f>
        <v>73.239999999999995</v>
      </c>
      <c r="I298" t="s">
        <v>2542</v>
      </c>
      <c r="J298" t="s">
        <v>738</v>
      </c>
      <c r="K298" t="s">
        <v>2538</v>
      </c>
      <c r="L298">
        <v>20</v>
      </c>
      <c r="M298">
        <v>480</v>
      </c>
      <c r="N298" t="s">
        <v>2544</v>
      </c>
      <c r="O298" s="31" t="str">
        <f>HYPERLINK("https://b2b.kobi.pl/pl/product/10012,naswietlacz-z-czujnikiem-ruchu-led-mhc-30w-4000k-ip44-czarny-led2b-red?currency=PLN")</f>
        <v>https://b2b.kobi.pl/pl/product/10012,naswietlacz-z-czujnikiem-ruchu-led-mhc-30w-4000k-ip44-czarny-led2b-red?currency=PLN</v>
      </c>
      <c r="P298" s="31" t="str">
        <f>HYPERLINK("https://eprel.ec.europa.eu/qr/1988394")</f>
        <v>https://eprel.ec.europa.eu/qr/1988394</v>
      </c>
      <c r="Q298" t="s">
        <v>2700</v>
      </c>
    </row>
    <row r="299" spans="1:17" ht="15" x14ac:dyDescent="0.25">
      <c r="A299" t="s">
        <v>4</v>
      </c>
      <c r="B299" t="s">
        <v>45</v>
      </c>
      <c r="C299" t="s">
        <v>1392</v>
      </c>
      <c r="D299" t="s">
        <v>1451</v>
      </c>
      <c r="E299" t="s">
        <v>1452</v>
      </c>
      <c r="F299" t="s">
        <v>1393</v>
      </c>
      <c r="G299" s="30">
        <v>73.239999999999995</v>
      </c>
      <c r="H299" s="29">
        <f>G299*(1-IFERROR(VLOOKUP(F299,Rabat!$D$10:$E$41,2,FALSE),0))</f>
        <v>73.239999999999995</v>
      </c>
      <c r="I299" t="s">
        <v>2542</v>
      </c>
      <c r="J299" t="s">
        <v>739</v>
      </c>
      <c r="K299" t="s">
        <v>2538</v>
      </c>
      <c r="L299">
        <v>20</v>
      </c>
      <c r="M299">
        <v>480</v>
      </c>
      <c r="N299" t="s">
        <v>2544</v>
      </c>
      <c r="O299" s="31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299" s="31" t="str">
        <f>HYPERLINK("https://eprel.ec.europa.eu/qr/1988404")</f>
        <v>https://eprel.ec.europa.eu/qr/1988404</v>
      </c>
      <c r="Q299" t="s">
        <v>2700</v>
      </c>
    </row>
    <row r="300" spans="1:17" ht="15" x14ac:dyDescent="0.25">
      <c r="A300" t="s">
        <v>4</v>
      </c>
      <c r="B300" t="s">
        <v>45</v>
      </c>
      <c r="C300" t="s">
        <v>1392</v>
      </c>
      <c r="D300" t="s">
        <v>1455</v>
      </c>
      <c r="E300" t="s">
        <v>1456</v>
      </c>
      <c r="F300" t="s">
        <v>1393</v>
      </c>
      <c r="G300" s="30">
        <v>87.67</v>
      </c>
      <c r="H300" s="29">
        <f>G300*(1-IFERROR(VLOOKUP(F300,Rabat!$D$10:$E$41,2,FALSE),0))</f>
        <v>87.67</v>
      </c>
      <c r="I300" t="s">
        <v>2542</v>
      </c>
      <c r="J300" t="s">
        <v>740</v>
      </c>
      <c r="K300" t="s">
        <v>2538</v>
      </c>
      <c r="L300">
        <v>20</v>
      </c>
      <c r="M300">
        <v>360</v>
      </c>
      <c r="N300" t="s">
        <v>2544</v>
      </c>
      <c r="O300" s="31" t="str">
        <f>HYPERLINK("https://b2b.kobi.pl/pl/product/10017,naswietlacz-z-czujnikiem-ruchu-led-mhc-50w-4000k-ip44-czarny-led2b-red?currency=PLN")</f>
        <v>https://b2b.kobi.pl/pl/product/10017,naswietlacz-z-czujnikiem-ruchu-led-mhc-50w-4000k-ip44-czarny-led2b-red?currency=PLN</v>
      </c>
      <c r="P300" s="31" t="str">
        <f>HYPERLINK("https://eprel.ec.europa.eu/qr/1988420")</f>
        <v>https://eprel.ec.europa.eu/qr/1988420</v>
      </c>
      <c r="Q300" t="s">
        <v>2700</v>
      </c>
    </row>
    <row r="301" spans="1:17" ht="15" x14ac:dyDescent="0.25">
      <c r="A301" t="s">
        <v>4</v>
      </c>
      <c r="B301" t="s">
        <v>45</v>
      </c>
      <c r="C301" t="s">
        <v>840</v>
      </c>
      <c r="D301" t="s">
        <v>2482</v>
      </c>
      <c r="E301" t="s">
        <v>2483</v>
      </c>
      <c r="F301" t="s">
        <v>1393</v>
      </c>
      <c r="G301" s="30">
        <v>44.48</v>
      </c>
      <c r="H301" s="29">
        <f>G301*(1-IFERROR(VLOOKUP(F301,Rabat!$D$10:$E$41,2,FALSE),0))</f>
        <v>44.48</v>
      </c>
      <c r="I301" t="s">
        <v>2542</v>
      </c>
      <c r="J301" t="s">
        <v>308</v>
      </c>
      <c r="K301" t="s">
        <v>2538</v>
      </c>
      <c r="L301">
        <v>40</v>
      </c>
      <c r="M301"/>
      <c r="N301" t="s">
        <v>2545</v>
      </c>
      <c r="O301" s="31" t="str">
        <f>HYPERLINK("https://b2b.kobi.pl/pl/product/10072,naswietlacz-led-mhn-10w-4000k-ip65-kobi-premium?currency=PLN")</f>
        <v>https://b2b.kobi.pl/pl/product/10072,naswietlacz-led-mhn-10w-4000k-ip65-kobi-premium?currency=PLN</v>
      </c>
      <c r="P301" s="31" t="str">
        <f>HYPERLINK("https://eprel.ec.europa.eu/qr/780607")</f>
        <v>https://eprel.ec.europa.eu/qr/780607</v>
      </c>
      <c r="Q301" t="s">
        <v>2700</v>
      </c>
    </row>
    <row r="302" spans="1:17" ht="15" x14ac:dyDescent="0.25">
      <c r="A302" t="s">
        <v>4</v>
      </c>
      <c r="B302" t="s">
        <v>45</v>
      </c>
      <c r="C302" t="s">
        <v>840</v>
      </c>
      <c r="D302" t="s">
        <v>1481</v>
      </c>
      <c r="E302" t="s">
        <v>1482</v>
      </c>
      <c r="F302" t="s">
        <v>1393</v>
      </c>
      <c r="G302" s="30">
        <v>55.56</v>
      </c>
      <c r="H302" s="29">
        <f>G302*(1-IFERROR(VLOOKUP(F302,Rabat!$D$10:$E$41,2,FALSE),0))</f>
        <v>55.56</v>
      </c>
      <c r="I302" t="s">
        <v>2542</v>
      </c>
      <c r="J302" t="s">
        <v>309</v>
      </c>
      <c r="K302" t="s">
        <v>2538</v>
      </c>
      <c r="L302">
        <v>40</v>
      </c>
      <c r="M302"/>
      <c r="N302" t="s">
        <v>2545</v>
      </c>
      <c r="O302" s="31" t="str">
        <f>HYPERLINK("https://b2b.kobi.pl/pl/product/10077,naswietlacz-led-mhn-20w-6500k-ip65-kobi-premium?currency=PLN")</f>
        <v>https://b2b.kobi.pl/pl/product/10077,naswietlacz-led-mhn-20w-6500k-ip65-kobi-premium?currency=PLN</v>
      </c>
      <c r="P302" s="31" t="str">
        <f>HYPERLINK("https://eprel.ec.europa.eu/qr/780633")</f>
        <v>https://eprel.ec.europa.eu/qr/780633</v>
      </c>
      <c r="Q302" t="s">
        <v>2700</v>
      </c>
    </row>
    <row r="303" spans="1:17" ht="15" x14ac:dyDescent="0.25">
      <c r="A303" t="s">
        <v>4</v>
      </c>
      <c r="B303" t="s">
        <v>45</v>
      </c>
      <c r="C303" t="s">
        <v>840</v>
      </c>
      <c r="D303" t="s">
        <v>1487</v>
      </c>
      <c r="E303" t="s">
        <v>1488</v>
      </c>
      <c r="F303" t="s">
        <v>1393</v>
      </c>
      <c r="G303" s="30">
        <v>322.23</v>
      </c>
      <c r="H303" s="29">
        <f>G303*(1-IFERROR(VLOOKUP(F303,Rabat!$D$10:$E$41,2,FALSE),0))</f>
        <v>322.23</v>
      </c>
      <c r="I303" t="s">
        <v>2542</v>
      </c>
      <c r="J303" t="s">
        <v>310</v>
      </c>
      <c r="K303" t="s">
        <v>2538</v>
      </c>
      <c r="L303">
        <v>4</v>
      </c>
      <c r="M303"/>
      <c r="N303" t="s">
        <v>2545</v>
      </c>
      <c r="O303" s="31" t="str">
        <f>HYPERLINK("https://b2b.kobi.pl/pl/product/10069,naswietlacz-led-mhn-100w-6500k-ip65-kobi-premium?currency=PLN")</f>
        <v>https://b2b.kobi.pl/pl/product/10069,naswietlacz-led-mhn-100w-6500k-ip65-kobi-premium?currency=PLN</v>
      </c>
      <c r="P303" s="31" t="str">
        <f>HYPERLINK("https://eprel.ec.europa.eu/qr/830427")</f>
        <v>https://eprel.ec.europa.eu/qr/830427</v>
      </c>
      <c r="Q303" t="s">
        <v>2700</v>
      </c>
    </row>
    <row r="304" spans="1:17" ht="15" x14ac:dyDescent="0.25">
      <c r="A304" t="s">
        <v>4</v>
      </c>
      <c r="B304" t="s">
        <v>45</v>
      </c>
      <c r="C304" t="s">
        <v>792</v>
      </c>
      <c r="D304" t="s">
        <v>1410</v>
      </c>
      <c r="E304" t="s">
        <v>1411</v>
      </c>
      <c r="F304" t="s">
        <v>1393</v>
      </c>
      <c r="G304" s="30">
        <v>213</v>
      </c>
      <c r="H304" s="29">
        <f>G304*(1-IFERROR(VLOOKUP(F304,Rabat!$D$10:$E$41,2,FALSE),0))</f>
        <v>213</v>
      </c>
      <c r="I304" t="s">
        <v>2540</v>
      </c>
      <c r="J304" t="s">
        <v>294</v>
      </c>
      <c r="K304" t="s">
        <v>2538</v>
      </c>
      <c r="L304">
        <v>10</v>
      </c>
      <c r="M304">
        <v>320</v>
      </c>
      <c r="N304" t="s">
        <v>2539</v>
      </c>
      <c r="O304" s="31" t="str">
        <f>HYPERLINK("https://b2b.kobi.pl/pl/product/10193,naswietlacz-led-kobi-seul-50w-4000k-ip65-kobi-pro?currency=PLN")</f>
        <v>https://b2b.kobi.pl/pl/product/10193,naswietlacz-led-kobi-seul-50w-4000k-ip65-kobi-pro?currency=PLN</v>
      </c>
      <c r="P304" s="31" t="str">
        <f>HYPERLINK("https://eprel.ec.europa.eu/qr/1988674")</f>
        <v>https://eprel.ec.europa.eu/qr/1988674</v>
      </c>
      <c r="Q304"/>
    </row>
    <row r="305" spans="1:17" ht="15" x14ac:dyDescent="0.25">
      <c r="A305" t="s">
        <v>4</v>
      </c>
      <c r="B305" t="s">
        <v>45</v>
      </c>
      <c r="C305" t="s">
        <v>792</v>
      </c>
      <c r="D305" t="s">
        <v>1414</v>
      </c>
      <c r="E305" t="s">
        <v>1415</v>
      </c>
      <c r="F305" t="s">
        <v>1393</v>
      </c>
      <c r="G305" s="30">
        <v>342</v>
      </c>
      <c r="H305" s="29">
        <f>G305*(1-IFERROR(VLOOKUP(F305,Rabat!$D$10:$E$41,2,FALSE),0))</f>
        <v>342</v>
      </c>
      <c r="I305" t="s">
        <v>2540</v>
      </c>
      <c r="J305" t="s">
        <v>291</v>
      </c>
      <c r="K305" t="s">
        <v>2538</v>
      </c>
      <c r="L305">
        <v>5</v>
      </c>
      <c r="M305">
        <v>240</v>
      </c>
      <c r="N305" t="s">
        <v>2539</v>
      </c>
      <c r="O305" s="31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05" s="31" t="str">
        <f>HYPERLINK("https://eprel.ec.europa.eu/qr/1988700")</f>
        <v>https://eprel.ec.europa.eu/qr/1988700</v>
      </c>
      <c r="Q305"/>
    </row>
    <row r="306" spans="1:17" ht="15" x14ac:dyDescent="0.25">
      <c r="A306" t="s">
        <v>4</v>
      </c>
      <c r="B306" t="s">
        <v>45</v>
      </c>
      <c r="C306" t="s">
        <v>792</v>
      </c>
      <c r="D306" t="s">
        <v>1418</v>
      </c>
      <c r="E306" t="s">
        <v>1419</v>
      </c>
      <c r="F306" t="s">
        <v>1393</v>
      </c>
      <c r="G306" s="30">
        <v>464</v>
      </c>
      <c r="H306" s="29">
        <f>G306*(1-IFERROR(VLOOKUP(F306,Rabat!$D$10:$E$41,2,FALSE),0))</f>
        <v>464</v>
      </c>
      <c r="I306" t="s">
        <v>2540</v>
      </c>
      <c r="J306" t="s">
        <v>292</v>
      </c>
      <c r="K306" t="s">
        <v>2538</v>
      </c>
      <c r="L306">
        <v>4</v>
      </c>
      <c r="M306">
        <v>128</v>
      </c>
      <c r="N306" t="s">
        <v>2539</v>
      </c>
      <c r="O306" s="31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06" s="31" t="str">
        <f>HYPERLINK("https://eprel.ec.europa.eu/qr/1988707")</f>
        <v>https://eprel.ec.europa.eu/qr/1988707</v>
      </c>
      <c r="Q306"/>
    </row>
    <row r="307" spans="1:17" ht="15" x14ac:dyDescent="0.25">
      <c r="A307" t="s">
        <v>4</v>
      </c>
      <c r="B307" t="s">
        <v>45</v>
      </c>
      <c r="C307" t="s">
        <v>792</v>
      </c>
      <c r="D307" t="s">
        <v>1420</v>
      </c>
      <c r="E307" t="s">
        <v>1421</v>
      </c>
      <c r="F307" t="s">
        <v>1393</v>
      </c>
      <c r="G307" s="30">
        <v>504</v>
      </c>
      <c r="H307" s="29">
        <f>G307*(1-IFERROR(VLOOKUP(F307,Rabat!$D$10:$E$41,2,FALSE),0))</f>
        <v>504</v>
      </c>
      <c r="I307" t="s">
        <v>2540</v>
      </c>
      <c r="J307" t="s">
        <v>293</v>
      </c>
      <c r="K307" t="s">
        <v>2538</v>
      </c>
      <c r="L307">
        <v>4</v>
      </c>
      <c r="M307">
        <v>144</v>
      </c>
      <c r="N307" t="s">
        <v>2539</v>
      </c>
      <c r="O307" s="31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07" s="31" t="str">
        <f>HYPERLINK("https://eprel.ec.europa.eu/qr/1989009")</f>
        <v>https://eprel.ec.europa.eu/qr/1989009</v>
      </c>
      <c r="Q307"/>
    </row>
    <row r="308" spans="1:17" ht="15" x14ac:dyDescent="0.25">
      <c r="A308" t="s">
        <v>4</v>
      </c>
      <c r="B308" t="s">
        <v>45</v>
      </c>
      <c r="C308" t="s">
        <v>792</v>
      </c>
      <c r="D308" t="s">
        <v>1503</v>
      </c>
      <c r="E308" t="s">
        <v>1504</v>
      </c>
      <c r="F308" t="s">
        <v>1393</v>
      </c>
      <c r="G308" s="30">
        <v>1241</v>
      </c>
      <c r="H308" s="29">
        <f>G308*(1-IFERROR(VLOOKUP(F308,Rabat!$D$10:$E$41,2,FALSE),0))</f>
        <v>1241</v>
      </c>
      <c r="I308" t="s">
        <v>2540</v>
      </c>
      <c r="J308" t="s">
        <v>2589</v>
      </c>
      <c r="K308" t="s">
        <v>2538</v>
      </c>
      <c r="L308">
        <v>3</v>
      </c>
      <c r="M308">
        <v>84</v>
      </c>
      <c r="N308" t="s">
        <v>2539</v>
      </c>
      <c r="O308" s="31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08" s="31" t="str">
        <f>HYPERLINK("https://eprel.ec.europa.eu/qr/1989035")</f>
        <v>https://eprel.ec.europa.eu/qr/1989035</v>
      </c>
      <c r="Q308"/>
    </row>
    <row r="309" spans="1:17" ht="15" x14ac:dyDescent="0.25">
      <c r="A309" t="s">
        <v>4</v>
      </c>
      <c r="B309" t="s">
        <v>45</v>
      </c>
      <c r="C309" t="s">
        <v>792</v>
      </c>
      <c r="D309" t="s">
        <v>1505</v>
      </c>
      <c r="E309" t="s">
        <v>1506</v>
      </c>
      <c r="F309" t="s">
        <v>1393</v>
      </c>
      <c r="G309" s="30">
        <v>1241</v>
      </c>
      <c r="H309" s="29">
        <f>G309*(1-IFERROR(VLOOKUP(F309,Rabat!$D$10:$E$41,2,FALSE),0))</f>
        <v>1241</v>
      </c>
      <c r="I309" t="s">
        <v>2540</v>
      </c>
      <c r="J309" t="s">
        <v>235</v>
      </c>
      <c r="K309" t="s">
        <v>2538</v>
      </c>
      <c r="L309">
        <v>3</v>
      </c>
      <c r="M309">
        <v>60</v>
      </c>
      <c r="N309" t="s">
        <v>2539</v>
      </c>
      <c r="O309" s="31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09" s="31" t="str">
        <f>HYPERLINK("https://eprel.ec.europa.eu/qr/1989035")</f>
        <v>https://eprel.ec.europa.eu/qr/1989035</v>
      </c>
      <c r="Q309"/>
    </row>
    <row r="310" spans="1:17" ht="15" x14ac:dyDescent="0.25">
      <c r="A310" t="s">
        <v>4</v>
      </c>
      <c r="B310" t="s">
        <v>45</v>
      </c>
      <c r="C310" t="s">
        <v>792</v>
      </c>
      <c r="D310" t="s">
        <v>1507</v>
      </c>
      <c r="E310" t="s">
        <v>1508</v>
      </c>
      <c r="F310" t="s">
        <v>1393</v>
      </c>
      <c r="G310" s="30">
        <v>3938.05</v>
      </c>
      <c r="H310" s="29">
        <f>G310*(1-IFERROR(VLOOKUP(F310,Rabat!$D$10:$E$41,2,FALSE),0))</f>
        <v>3938.05</v>
      </c>
      <c r="I310" t="s">
        <v>2549</v>
      </c>
      <c r="J310" t="s">
        <v>236</v>
      </c>
      <c r="K310" t="s">
        <v>2538</v>
      </c>
      <c r="L310">
        <v>1</v>
      </c>
      <c r="M310">
        <v>21</v>
      </c>
      <c r="N310" t="s">
        <v>2539</v>
      </c>
      <c r="O310" s="31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10" s="31" t="str">
        <f>HYPERLINK("https://eprel.ec.europa.eu/qr/1742631")</f>
        <v>https://eprel.ec.europa.eu/qr/1742631</v>
      </c>
      <c r="Q310"/>
    </row>
    <row r="311" spans="1:17" ht="15" x14ac:dyDescent="0.25">
      <c r="A311" t="s">
        <v>4</v>
      </c>
      <c r="B311" t="s">
        <v>45</v>
      </c>
      <c r="C311" t="s">
        <v>858</v>
      </c>
      <c r="D311" t="s">
        <v>1499</v>
      </c>
      <c r="E311" t="s">
        <v>1500</v>
      </c>
      <c r="F311" t="s">
        <v>1393</v>
      </c>
      <c r="G311" s="30">
        <v>376.73</v>
      </c>
      <c r="H311" s="29">
        <f>G311*(1-IFERROR(VLOOKUP(F311,Rabat!$D$10:$E$41,2,FALSE),0))</f>
        <v>376.73</v>
      </c>
      <c r="I311" t="s">
        <v>2542</v>
      </c>
      <c r="J311" t="s">
        <v>311</v>
      </c>
      <c r="K311" t="s">
        <v>2538</v>
      </c>
      <c r="L311">
        <v>4</v>
      </c>
      <c r="M311"/>
      <c r="N311" t="s">
        <v>2544</v>
      </c>
      <c r="O311" s="31" t="str">
        <f>HYPERLINK("https://b2b.kobi.pl/pl/product/10105,naswietlacz-led-tigra-s-2x30w-4000k-ip65-kobi?currency=PLN")</f>
        <v>https://b2b.kobi.pl/pl/product/10105,naswietlacz-led-tigra-s-2x30w-4000k-ip65-kobi?currency=PLN</v>
      </c>
      <c r="P311" s="31" t="str">
        <f>HYPERLINK("https://eprel.ec.europa.eu/qr/1201516")</f>
        <v>https://eprel.ec.europa.eu/qr/1201516</v>
      </c>
      <c r="Q311" t="s">
        <v>2700</v>
      </c>
    </row>
    <row r="312" spans="1:17" ht="15" x14ac:dyDescent="0.25">
      <c r="A312" t="s">
        <v>4</v>
      </c>
      <c r="B312" t="s">
        <v>1277</v>
      </c>
      <c r="C312" t="s">
        <v>840</v>
      </c>
      <c r="D312" t="s">
        <v>1281</v>
      </c>
      <c r="E312" t="s">
        <v>1282</v>
      </c>
      <c r="F312" t="s">
        <v>1280</v>
      </c>
      <c r="G312" s="30">
        <v>124</v>
      </c>
      <c r="H312" s="29">
        <f>G312*(1-IFERROR(VLOOKUP(F312,Rabat!$D$10:$E$41,2,FALSE),0))</f>
        <v>124</v>
      </c>
      <c r="I312" t="s">
        <v>2540</v>
      </c>
      <c r="J312" t="s">
        <v>744</v>
      </c>
      <c r="K312" t="s">
        <v>2538</v>
      </c>
      <c r="L312">
        <v>10</v>
      </c>
      <c r="M312"/>
      <c r="N312" t="s">
        <v>2545</v>
      </c>
      <c r="O312" s="31" t="str">
        <f>HYPERLINK("https://b2b.kobi.pl/pl/product/9918,oprawa-drogowa-led-cyoto-50w-4000k-lx-kobi-premium?currency=PLN")</f>
        <v>https://b2b.kobi.pl/pl/product/9918,oprawa-drogowa-led-cyoto-50w-4000k-lx-kobi-premium?currency=PLN</v>
      </c>
      <c r="P312" s="31" t="str">
        <f>HYPERLINK("https://eprel.ec.europa.eu/qr/2075978")</f>
        <v>https://eprel.ec.europa.eu/qr/2075978</v>
      </c>
      <c r="Q312"/>
    </row>
    <row r="313" spans="1:17" ht="15" x14ac:dyDescent="0.25">
      <c r="A313" t="s">
        <v>4</v>
      </c>
      <c r="B313" t="s">
        <v>1277</v>
      </c>
      <c r="C313" t="s">
        <v>840</v>
      </c>
      <c r="D313" t="s">
        <v>1278</v>
      </c>
      <c r="E313" t="s">
        <v>1279</v>
      </c>
      <c r="F313" t="s">
        <v>1280</v>
      </c>
      <c r="G313" s="30">
        <v>199</v>
      </c>
      <c r="H313" s="29">
        <f>G313*(1-IFERROR(VLOOKUP(F313,Rabat!$D$10:$E$41,2,FALSE),0))</f>
        <v>199</v>
      </c>
      <c r="I313" t="s">
        <v>2540</v>
      </c>
      <c r="J313" t="s">
        <v>745</v>
      </c>
      <c r="K313" t="s">
        <v>2538</v>
      </c>
      <c r="L313">
        <v>5</v>
      </c>
      <c r="M313"/>
      <c r="N313" t="s">
        <v>2545</v>
      </c>
      <c r="O313" s="31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13" s="31" t="str">
        <f>HYPERLINK("https://eprel.ec.europa.eu/qr/2075604")</f>
        <v>https://eprel.ec.europa.eu/qr/2075604</v>
      </c>
      <c r="Q313"/>
    </row>
    <row r="314" spans="1:17" ht="15" x14ac:dyDescent="0.25">
      <c r="A314" t="s">
        <v>4</v>
      </c>
      <c r="B314" t="s">
        <v>1277</v>
      </c>
      <c r="C314" t="s">
        <v>792</v>
      </c>
      <c r="D314" t="s">
        <v>1461</v>
      </c>
      <c r="E314" t="s">
        <v>1462</v>
      </c>
      <c r="F314" t="s">
        <v>1280</v>
      </c>
      <c r="G314" s="30">
        <v>980</v>
      </c>
      <c r="H314" s="29">
        <f>G314*(1-IFERROR(VLOOKUP(F314,Rabat!$D$10:$E$41,2,FALSE),0))</f>
        <v>980</v>
      </c>
      <c r="I314" t="s">
        <v>2547</v>
      </c>
      <c r="J314" t="s">
        <v>338</v>
      </c>
      <c r="K314" t="s">
        <v>2538</v>
      </c>
      <c r="L314">
        <v>1</v>
      </c>
      <c r="M314"/>
      <c r="N314" t="s">
        <v>2539</v>
      </c>
      <c r="O314" s="31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14" s="31" t="str">
        <f>HYPERLINK("https://eprel.ec.europa.eu/qr/1852383")</f>
        <v>https://eprel.ec.europa.eu/qr/1852383</v>
      </c>
      <c r="Q314" t="s">
        <v>2700</v>
      </c>
    </row>
    <row r="315" spans="1:17" ht="15" x14ac:dyDescent="0.25">
      <c r="A315" t="s">
        <v>4</v>
      </c>
      <c r="B315" t="s">
        <v>1277</v>
      </c>
      <c r="C315" t="s">
        <v>792</v>
      </c>
      <c r="D315" t="s">
        <v>1463</v>
      </c>
      <c r="E315" t="s">
        <v>1464</v>
      </c>
      <c r="F315" t="s">
        <v>1280</v>
      </c>
      <c r="G315" s="30">
        <v>980</v>
      </c>
      <c r="H315" s="29">
        <f>G315*(1-IFERROR(VLOOKUP(F315,Rabat!$D$10:$E$41,2,FALSE),0))</f>
        <v>980</v>
      </c>
      <c r="I315" t="s">
        <v>2547</v>
      </c>
      <c r="J315" t="s">
        <v>339</v>
      </c>
      <c r="K315" t="s">
        <v>2538</v>
      </c>
      <c r="L315">
        <v>1</v>
      </c>
      <c r="M315"/>
      <c r="N315" t="s">
        <v>2539</v>
      </c>
      <c r="O315" s="31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15" s="31" t="str">
        <f>HYPERLINK("https://eprel.ec.europa.eu/qr/1852383")</f>
        <v>https://eprel.ec.europa.eu/qr/1852383</v>
      </c>
      <c r="Q315" t="s">
        <v>2700</v>
      </c>
    </row>
    <row r="316" spans="1:17" ht="15" x14ac:dyDescent="0.25">
      <c r="A316" t="s">
        <v>4</v>
      </c>
      <c r="B316" t="s">
        <v>1277</v>
      </c>
      <c r="C316" t="s">
        <v>792</v>
      </c>
      <c r="D316" t="s">
        <v>1465</v>
      </c>
      <c r="E316" t="s">
        <v>1466</v>
      </c>
      <c r="F316" t="s">
        <v>1280</v>
      </c>
      <c r="G316" s="30">
        <v>1200</v>
      </c>
      <c r="H316" s="29">
        <f>G316*(1-IFERROR(VLOOKUP(F316,Rabat!$D$10:$E$41,2,FALSE),0))</f>
        <v>1200</v>
      </c>
      <c r="I316" t="s">
        <v>2547</v>
      </c>
      <c r="J316" t="s">
        <v>340</v>
      </c>
      <c r="K316" t="s">
        <v>2538</v>
      </c>
      <c r="L316">
        <v>1</v>
      </c>
      <c r="M316">
        <v>60</v>
      </c>
      <c r="N316" t="s">
        <v>2539</v>
      </c>
      <c r="O316" s="31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16" s="31" t="str">
        <f>HYPERLINK("https://eprel.ec.europa.eu/qr/1852374")</f>
        <v>https://eprel.ec.europa.eu/qr/1852374</v>
      </c>
      <c r="Q316" t="s">
        <v>2700</v>
      </c>
    </row>
    <row r="317" spans="1:17" ht="15" x14ac:dyDescent="0.25">
      <c r="A317" t="s">
        <v>4</v>
      </c>
      <c r="B317" t="s">
        <v>1277</v>
      </c>
      <c r="C317" t="s">
        <v>792</v>
      </c>
      <c r="D317" t="s">
        <v>1457</v>
      </c>
      <c r="E317" t="s">
        <v>1458</v>
      </c>
      <c r="F317" t="s">
        <v>1280</v>
      </c>
      <c r="G317" s="30">
        <v>1524</v>
      </c>
      <c r="H317" s="29">
        <f>G317*(1-IFERROR(VLOOKUP(F317,Rabat!$D$10:$E$41,2,FALSE),0))</f>
        <v>1524</v>
      </c>
      <c r="I317" t="s">
        <v>2547</v>
      </c>
      <c r="J317" t="s">
        <v>336</v>
      </c>
      <c r="K317" t="s">
        <v>2538</v>
      </c>
      <c r="L317">
        <v>1</v>
      </c>
      <c r="M317"/>
      <c r="N317" t="s">
        <v>2539</v>
      </c>
      <c r="O317" s="31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17" s="31" t="str">
        <f>HYPERLINK("https://eprel.ec.europa.eu/qr/1852358")</f>
        <v>https://eprel.ec.europa.eu/qr/1852358</v>
      </c>
      <c r="Q317" t="s">
        <v>2700</v>
      </c>
    </row>
    <row r="318" spans="1:17" ht="15" x14ac:dyDescent="0.25">
      <c r="A318" t="s">
        <v>4</v>
      </c>
      <c r="B318" t="s">
        <v>1277</v>
      </c>
      <c r="C318" t="s">
        <v>792</v>
      </c>
      <c r="D318" t="s">
        <v>1459</v>
      </c>
      <c r="E318" t="s">
        <v>1460</v>
      </c>
      <c r="F318" t="s">
        <v>1280</v>
      </c>
      <c r="G318" s="30">
        <v>1524</v>
      </c>
      <c r="H318" s="29">
        <f>G318*(1-IFERROR(VLOOKUP(F318,Rabat!$D$10:$E$41,2,FALSE),0))</f>
        <v>1524</v>
      </c>
      <c r="I318" t="s">
        <v>2547</v>
      </c>
      <c r="J318" t="s">
        <v>337</v>
      </c>
      <c r="K318" t="s">
        <v>2538</v>
      </c>
      <c r="L318">
        <v>1</v>
      </c>
      <c r="M318"/>
      <c r="N318" t="s">
        <v>2539</v>
      </c>
      <c r="O318" s="31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18" s="31" t="str">
        <f>HYPERLINK("https://eprel.ec.europa.eu/qr/1852358")</f>
        <v>https://eprel.ec.europa.eu/qr/1852358</v>
      </c>
      <c r="Q318" t="s">
        <v>2700</v>
      </c>
    </row>
    <row r="319" spans="1:17" ht="15" x14ac:dyDescent="0.25">
      <c r="A319" t="s">
        <v>4</v>
      </c>
      <c r="B319" t="s">
        <v>1277</v>
      </c>
      <c r="C319" t="s">
        <v>792</v>
      </c>
      <c r="D319" t="s">
        <v>1610</v>
      </c>
      <c r="E319" t="s">
        <v>1611</v>
      </c>
      <c r="F319" t="s">
        <v>1280</v>
      </c>
      <c r="G319" s="30">
        <v>273.5</v>
      </c>
      <c r="H319" s="29">
        <f>G319*(1-IFERROR(VLOOKUP(F319,Rabat!$D$10:$E$41,2,FALSE),0))</f>
        <v>273.5</v>
      </c>
      <c r="I319" t="s">
        <v>2549</v>
      </c>
      <c r="J319" t="s">
        <v>341</v>
      </c>
      <c r="K319" t="s">
        <v>2538</v>
      </c>
      <c r="L319">
        <v>6</v>
      </c>
      <c r="M319">
        <v>96</v>
      </c>
      <c r="N319" t="s">
        <v>2539</v>
      </c>
      <c r="O319" s="31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19" s="31" t="str">
        <f>HYPERLINK("https://eprel.ec.europa.eu/qr/1410066")</f>
        <v>https://eprel.ec.europa.eu/qr/1410066</v>
      </c>
      <c r="Q319"/>
    </row>
    <row r="320" spans="1:17" ht="15" x14ac:dyDescent="0.25">
      <c r="A320" t="s">
        <v>4</v>
      </c>
      <c r="B320" t="s">
        <v>1277</v>
      </c>
      <c r="C320" t="s">
        <v>792</v>
      </c>
      <c r="D320" t="s">
        <v>1612</v>
      </c>
      <c r="E320" t="s">
        <v>1613</v>
      </c>
      <c r="F320" t="s">
        <v>1280</v>
      </c>
      <c r="G320" s="30">
        <v>334.56</v>
      </c>
      <c r="H320" s="29">
        <f>G320*(1-IFERROR(VLOOKUP(F320,Rabat!$D$10:$E$41,2,FALSE),0))</f>
        <v>334.56</v>
      </c>
      <c r="I320" t="s">
        <v>2549</v>
      </c>
      <c r="J320" t="s">
        <v>342</v>
      </c>
      <c r="K320" t="s">
        <v>2538</v>
      </c>
      <c r="L320">
        <v>6</v>
      </c>
      <c r="M320">
        <v>96</v>
      </c>
      <c r="N320" t="s">
        <v>2539</v>
      </c>
      <c r="O320" s="31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20" s="31" t="str">
        <f>HYPERLINK("https://eprel.ec.europa.eu/qr/1410067")</f>
        <v>https://eprel.ec.europa.eu/qr/1410067</v>
      </c>
      <c r="Q320"/>
    </row>
    <row r="321" spans="1:17" ht="15" x14ac:dyDescent="0.25">
      <c r="A321" t="s">
        <v>4</v>
      </c>
      <c r="B321" t="s">
        <v>1277</v>
      </c>
      <c r="C321" t="s">
        <v>792</v>
      </c>
      <c r="D321" t="s">
        <v>1604</v>
      </c>
      <c r="E321" t="s">
        <v>1605</v>
      </c>
      <c r="F321" t="s">
        <v>1280</v>
      </c>
      <c r="G321" s="30">
        <v>505.47</v>
      </c>
      <c r="H321" s="29">
        <f>G321*(1-IFERROR(VLOOKUP(F321,Rabat!$D$10:$E$41,2,FALSE),0))</f>
        <v>505.47</v>
      </c>
      <c r="I321" t="s">
        <v>2549</v>
      </c>
      <c r="J321" t="s">
        <v>343</v>
      </c>
      <c r="K321" t="s">
        <v>2538</v>
      </c>
      <c r="L321">
        <v>6</v>
      </c>
      <c r="M321">
        <v>54</v>
      </c>
      <c r="N321" t="s">
        <v>2539</v>
      </c>
      <c r="O321" s="31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21" s="31" t="str">
        <f>HYPERLINK("https://eprel.ec.europa.eu/qr/1410068")</f>
        <v>https://eprel.ec.europa.eu/qr/1410068</v>
      </c>
      <c r="Q321"/>
    </row>
    <row r="322" spans="1:17" ht="15" x14ac:dyDescent="0.25">
      <c r="A322" t="s">
        <v>4</v>
      </c>
      <c r="B322" t="s">
        <v>1277</v>
      </c>
      <c r="C322" t="s">
        <v>792</v>
      </c>
      <c r="D322" t="s">
        <v>1606</v>
      </c>
      <c r="E322" t="s">
        <v>1607</v>
      </c>
      <c r="F322" t="s">
        <v>1280</v>
      </c>
      <c r="G322" s="30">
        <v>573.20000000000005</v>
      </c>
      <c r="H322" s="29">
        <f>G322*(1-IFERROR(VLOOKUP(F322,Rabat!$D$10:$E$41,2,FALSE),0))</f>
        <v>573.20000000000005</v>
      </c>
      <c r="I322" t="s">
        <v>2549</v>
      </c>
      <c r="J322" t="s">
        <v>344</v>
      </c>
      <c r="K322" t="s">
        <v>2538</v>
      </c>
      <c r="L322">
        <v>4</v>
      </c>
      <c r="M322">
        <v>48</v>
      </c>
      <c r="N322" t="s">
        <v>2539</v>
      </c>
      <c r="O322" s="31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22" s="31" t="str">
        <f>HYPERLINK("https://eprel.ec.europa.eu/qr/1410069")</f>
        <v>https://eprel.ec.europa.eu/qr/1410069</v>
      </c>
      <c r="Q322"/>
    </row>
    <row r="323" spans="1:17" ht="15" x14ac:dyDescent="0.25">
      <c r="A323" t="s">
        <v>4</v>
      </c>
      <c r="B323" t="s">
        <v>1277</v>
      </c>
      <c r="C323" t="s">
        <v>792</v>
      </c>
      <c r="D323" t="s">
        <v>1608</v>
      </c>
      <c r="E323" t="s">
        <v>1609</v>
      </c>
      <c r="F323" t="s">
        <v>1280</v>
      </c>
      <c r="G323" s="30">
        <v>732.07</v>
      </c>
      <c r="H323" s="29">
        <f>G323*(1-IFERROR(VLOOKUP(F323,Rabat!$D$10:$E$41,2,FALSE),0))</f>
        <v>732.07</v>
      </c>
      <c r="I323" t="s">
        <v>2549</v>
      </c>
      <c r="J323" t="s">
        <v>345</v>
      </c>
      <c r="K323" t="s">
        <v>2538</v>
      </c>
      <c r="L323">
        <v>4</v>
      </c>
      <c r="M323">
        <v>36</v>
      </c>
      <c r="N323" t="s">
        <v>2539</v>
      </c>
      <c r="O323" s="31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23" s="31" t="str">
        <f>HYPERLINK("https://eprel.ec.europa.eu/qr/1410070")</f>
        <v>https://eprel.ec.europa.eu/qr/1410070</v>
      </c>
      <c r="Q323"/>
    </row>
    <row r="324" spans="1:17" ht="15" x14ac:dyDescent="0.25">
      <c r="A324" t="s">
        <v>4</v>
      </c>
      <c r="B324" t="s">
        <v>46</v>
      </c>
      <c r="C324" t="s">
        <v>792</v>
      </c>
      <c r="D324" t="s">
        <v>915</v>
      </c>
      <c r="E324" t="s">
        <v>916</v>
      </c>
      <c r="F324" t="s">
        <v>798</v>
      </c>
      <c r="G324" s="30">
        <v>650</v>
      </c>
      <c r="H324" s="29">
        <f>G324*(1-IFERROR(VLOOKUP(F324,Rabat!$D$10:$E$41,2,FALSE),0))</f>
        <v>650</v>
      </c>
      <c r="I324" t="s">
        <v>2547</v>
      </c>
      <c r="J324" t="s">
        <v>301</v>
      </c>
      <c r="K324" t="s">
        <v>2538</v>
      </c>
      <c r="L324">
        <v>1</v>
      </c>
      <c r="M324">
        <v>62</v>
      </c>
      <c r="N324" t="s">
        <v>2548</v>
      </c>
      <c r="O324" s="31" t="str">
        <f>HYPERLINK("https://b2b.kobi.pl/pl/product/9889,high-bay-led-anica-100w-4000k-ip65-120-kobi-pro?currency=PLN")</f>
        <v>https://b2b.kobi.pl/pl/product/9889,high-bay-led-anica-100w-4000k-ip65-120-kobi-pro?currency=PLN</v>
      </c>
      <c r="P324" s="31" t="str">
        <f>HYPERLINK("https://eprel.ec.europa.eu/qr/1899009")</f>
        <v>https://eprel.ec.europa.eu/qr/1899009</v>
      </c>
      <c r="Q324"/>
    </row>
    <row r="325" spans="1:17" ht="15" x14ac:dyDescent="0.25">
      <c r="A325" t="s">
        <v>4</v>
      </c>
      <c r="B325" t="s">
        <v>46</v>
      </c>
      <c r="C325" t="s">
        <v>792</v>
      </c>
      <c r="D325" t="s">
        <v>913</v>
      </c>
      <c r="E325" t="s">
        <v>914</v>
      </c>
      <c r="F325" t="s">
        <v>798</v>
      </c>
      <c r="G325" s="30">
        <v>650</v>
      </c>
      <c r="H325" s="29">
        <f>G325*(1-IFERROR(VLOOKUP(F325,Rabat!$D$10:$E$41,2,FALSE),0))</f>
        <v>650</v>
      </c>
      <c r="I325" t="s">
        <v>2547</v>
      </c>
      <c r="J325" t="s">
        <v>302</v>
      </c>
      <c r="K325" t="s">
        <v>2538</v>
      </c>
      <c r="L325">
        <v>1</v>
      </c>
      <c r="M325">
        <v>62</v>
      </c>
      <c r="N325" t="s">
        <v>2548</v>
      </c>
      <c r="O325" s="31" t="str">
        <f>HYPERLINK("https://b2b.kobi.pl/pl/product/9890,high-bay-led-anica-100w-4000k-ip65-90-kobi-pro?currency=PLN")</f>
        <v>https://b2b.kobi.pl/pl/product/9890,high-bay-led-anica-100w-4000k-ip65-90-kobi-pro?currency=PLN</v>
      </c>
      <c r="P325" s="31" t="str">
        <f>HYPERLINK("https://eprel.ec.europa.eu/qr/1899009")</f>
        <v>https://eprel.ec.europa.eu/qr/1899009</v>
      </c>
      <c r="Q325"/>
    </row>
    <row r="326" spans="1:17" ht="15" x14ac:dyDescent="0.25">
      <c r="A326" t="s">
        <v>4</v>
      </c>
      <c r="B326" t="s">
        <v>46</v>
      </c>
      <c r="C326" t="s">
        <v>792</v>
      </c>
      <c r="D326" t="s">
        <v>796</v>
      </c>
      <c r="E326" t="s">
        <v>797</v>
      </c>
      <c r="F326" t="s">
        <v>798</v>
      </c>
      <c r="G326" s="30">
        <v>1003</v>
      </c>
      <c r="H326" s="29">
        <f>G326*(1-IFERROR(VLOOKUP(F326,Rabat!$D$10:$E$41,2,FALSE),0))</f>
        <v>1003</v>
      </c>
      <c r="I326" t="s">
        <v>2537</v>
      </c>
      <c r="J326" t="s">
        <v>229</v>
      </c>
      <c r="K326" t="s">
        <v>2538</v>
      </c>
      <c r="L326">
        <v>1</v>
      </c>
      <c r="M326">
        <v>54</v>
      </c>
      <c r="N326" t="s">
        <v>2539</v>
      </c>
      <c r="O326" s="31" t="str">
        <f>HYPERLINK("https://b2b.kobi.pl/pl/product/8405,high-bay-led-neo-150w-4000k-ip65-110-kobi-pro?currency=PLN")</f>
        <v>https://b2b.kobi.pl/pl/product/8405,high-bay-led-neo-150w-4000k-ip65-110-kobi-pro?currency=PLN</v>
      </c>
      <c r="P326" s="31" t="str">
        <f>HYPERLINK("https://eprel.ec.europa.eu/qr/669376")</f>
        <v>https://eprel.ec.europa.eu/qr/669376</v>
      </c>
      <c r="Q326" t="s">
        <v>2700</v>
      </c>
    </row>
    <row r="327" spans="1:17" ht="15" x14ac:dyDescent="0.25">
      <c r="A327" t="s">
        <v>4</v>
      </c>
      <c r="B327" t="s">
        <v>46</v>
      </c>
      <c r="C327" t="s">
        <v>792</v>
      </c>
      <c r="D327" t="s">
        <v>2708</v>
      </c>
      <c r="E327" t="s">
        <v>2709</v>
      </c>
      <c r="F327" t="s">
        <v>798</v>
      </c>
      <c r="G327" s="30">
        <v>820</v>
      </c>
      <c r="H327" s="29">
        <f>G327*(1-IFERROR(VLOOKUP(F327,Rabat!$D$10:$E$41,2,FALSE),0))</f>
        <v>820</v>
      </c>
      <c r="I327" t="s">
        <v>2547</v>
      </c>
      <c r="J327" t="s">
        <v>2715</v>
      </c>
      <c r="K327" t="s">
        <v>2538</v>
      </c>
      <c r="L327">
        <v>1</v>
      </c>
      <c r="M327">
        <v>54</v>
      </c>
      <c r="N327" t="s">
        <v>2548</v>
      </c>
      <c r="O327" s="31" t="str">
        <f>HYPERLINK("https://b2b.kobi.pl/pl/product/9892,high-bay-led-anica-150w-4000k-ip65-90-kobi-pro?currency=PLN")</f>
        <v>https://b2b.kobi.pl/pl/product/9892,high-bay-led-anica-150w-4000k-ip65-90-kobi-pro?currency=PLN</v>
      </c>
      <c r="P327" s="31" t="str">
        <f>HYPERLINK("https://eprel.ec.europa.eu/qr/2132169")</f>
        <v>https://eprel.ec.europa.eu/qr/2132169</v>
      </c>
      <c r="Q327"/>
    </row>
    <row r="328" spans="1:17" ht="15" x14ac:dyDescent="0.25">
      <c r="A328" t="s">
        <v>4</v>
      </c>
      <c r="B328" t="s">
        <v>46</v>
      </c>
      <c r="C328" t="s">
        <v>792</v>
      </c>
      <c r="D328" t="s">
        <v>2710</v>
      </c>
      <c r="E328" t="s">
        <v>2711</v>
      </c>
      <c r="F328" t="s">
        <v>798</v>
      </c>
      <c r="G328" s="30">
        <v>820</v>
      </c>
      <c r="H328" s="29">
        <f>G328*(1-IFERROR(VLOOKUP(F328,Rabat!$D$10:$E$41,2,FALSE),0))</f>
        <v>820</v>
      </c>
      <c r="I328" t="s">
        <v>2547</v>
      </c>
      <c r="J328" t="s">
        <v>2716</v>
      </c>
      <c r="K328" t="s">
        <v>2538</v>
      </c>
      <c r="L328">
        <v>1</v>
      </c>
      <c r="M328">
        <v>54</v>
      </c>
      <c r="N328" t="s">
        <v>2548</v>
      </c>
      <c r="O328" s="31" t="str">
        <f>HYPERLINK("https://b2b.kobi.pl/pl/product/9891,high-bay-led-anica-150w-4000k-ip65-120-kobi-pro?currency=PLN")</f>
        <v>https://b2b.kobi.pl/pl/product/9891,high-bay-led-anica-150w-4000k-ip65-120-kobi-pro?currency=PLN</v>
      </c>
      <c r="P328" s="31" t="str">
        <f>HYPERLINK("https://eprel.ec.europa.eu/qr/2132169")</f>
        <v>https://eprel.ec.europa.eu/qr/2132169</v>
      </c>
      <c r="Q328"/>
    </row>
    <row r="329" spans="1:17" ht="15" x14ac:dyDescent="0.25">
      <c r="A329" t="s">
        <v>4</v>
      </c>
      <c r="B329" t="s">
        <v>46</v>
      </c>
      <c r="C329" t="s">
        <v>792</v>
      </c>
      <c r="D329" t="s">
        <v>799</v>
      </c>
      <c r="E329" t="s">
        <v>800</v>
      </c>
      <c r="F329" t="s">
        <v>798</v>
      </c>
      <c r="G329" s="30">
        <v>1281</v>
      </c>
      <c r="H329" s="29">
        <f>G329*(1-IFERROR(VLOOKUP(F329,Rabat!$D$10:$E$41,2,FALSE),0))</f>
        <v>1281</v>
      </c>
      <c r="I329" t="s">
        <v>2537</v>
      </c>
      <c r="J329" t="s">
        <v>230</v>
      </c>
      <c r="K329" t="s">
        <v>2538</v>
      </c>
      <c r="L329">
        <v>1</v>
      </c>
      <c r="M329">
        <v>54</v>
      </c>
      <c r="N329" t="s">
        <v>2539</v>
      </c>
      <c r="O329" s="31" t="str">
        <f>HYPERLINK("https://b2b.kobi.pl/pl/product/8406,high-bay-led-neo-200w-4000k-ip65-110-kobi-pro?currency=PLN")</f>
        <v>https://b2b.kobi.pl/pl/product/8406,high-bay-led-neo-200w-4000k-ip65-110-kobi-pro?currency=PLN</v>
      </c>
      <c r="P329" s="31" t="str">
        <f>HYPERLINK("https://eprel.ec.europa.eu/qr/669377")</f>
        <v>https://eprel.ec.europa.eu/qr/669377</v>
      </c>
      <c r="Q329" t="s">
        <v>2700</v>
      </c>
    </row>
    <row r="330" spans="1:17" ht="15" x14ac:dyDescent="0.25">
      <c r="A330" t="s">
        <v>4</v>
      </c>
      <c r="B330" t="s">
        <v>46</v>
      </c>
      <c r="C330" t="s">
        <v>792</v>
      </c>
      <c r="D330" t="s">
        <v>919</v>
      </c>
      <c r="E330" t="s">
        <v>920</v>
      </c>
      <c r="F330" t="s">
        <v>798</v>
      </c>
      <c r="G330" s="30">
        <v>1001</v>
      </c>
      <c r="H330" s="29">
        <f>G330*(1-IFERROR(VLOOKUP(F330,Rabat!$D$10:$E$41,2,FALSE),0))</f>
        <v>1001</v>
      </c>
      <c r="I330" t="s">
        <v>2547</v>
      </c>
      <c r="J330" t="s">
        <v>742</v>
      </c>
      <c r="K330" t="s">
        <v>2538</v>
      </c>
      <c r="L330">
        <v>1</v>
      </c>
      <c r="M330">
        <v>54</v>
      </c>
      <c r="N330" t="s">
        <v>2548</v>
      </c>
      <c r="O330" s="31" t="str">
        <f>HYPERLINK("https://b2b.kobi.pl/pl/product/9893,high-bay-led-anica-200w-4000k-ip65-120-kobi-pro?currency=PLN")</f>
        <v>https://b2b.kobi.pl/pl/product/9893,high-bay-led-anica-200w-4000k-ip65-120-kobi-pro?currency=PLN</v>
      </c>
      <c r="P330" s="31" t="str">
        <f>HYPERLINK("https://eprel.ec.europa.eu/qr/2132245")</f>
        <v>https://eprel.ec.europa.eu/qr/2132245</v>
      </c>
      <c r="Q330"/>
    </row>
    <row r="331" spans="1:17" ht="15" x14ac:dyDescent="0.25">
      <c r="A331" t="s">
        <v>4</v>
      </c>
      <c r="B331" t="s">
        <v>46</v>
      </c>
      <c r="C331" t="s">
        <v>792</v>
      </c>
      <c r="D331" t="s">
        <v>917</v>
      </c>
      <c r="E331" t="s">
        <v>918</v>
      </c>
      <c r="F331" t="s">
        <v>798</v>
      </c>
      <c r="G331" s="30">
        <v>1001</v>
      </c>
      <c r="H331" s="29">
        <f>G331*(1-IFERROR(VLOOKUP(F331,Rabat!$D$10:$E$41,2,FALSE),0))</f>
        <v>1001</v>
      </c>
      <c r="I331" t="s">
        <v>2547</v>
      </c>
      <c r="J331" t="s">
        <v>743</v>
      </c>
      <c r="K331" t="s">
        <v>2538</v>
      </c>
      <c r="L331">
        <v>1</v>
      </c>
      <c r="M331"/>
      <c r="N331" t="s">
        <v>2548</v>
      </c>
      <c r="O331" s="31" t="str">
        <f>HYPERLINK("https://b2b.kobi.pl/pl/product/9894,high-bay-led-anica-200w-4000k-ip65-90-kobi-pro?currency=PLN")</f>
        <v>https://b2b.kobi.pl/pl/product/9894,high-bay-led-anica-200w-4000k-ip65-90-kobi-pro?currency=PLN</v>
      </c>
      <c r="P331" s="31" t="str">
        <f>HYPERLINK("https://eprel.ec.europa.eu/qr/2132245")</f>
        <v>https://eprel.ec.europa.eu/qr/2132245</v>
      </c>
      <c r="Q331"/>
    </row>
    <row r="332" spans="1:17" ht="15" x14ac:dyDescent="0.25">
      <c r="A332" t="s">
        <v>4</v>
      </c>
      <c r="B332" t="s">
        <v>46</v>
      </c>
      <c r="C332" t="s">
        <v>792</v>
      </c>
      <c r="D332" t="s">
        <v>921</v>
      </c>
      <c r="E332" t="s">
        <v>922</v>
      </c>
      <c r="F332" t="s">
        <v>798</v>
      </c>
      <c r="G332" s="30">
        <v>630</v>
      </c>
      <c r="H332" s="29">
        <f>G332*(1-IFERROR(VLOOKUP(F332,Rabat!$D$10:$E$41,2,FALSE),0))</f>
        <v>630</v>
      </c>
      <c r="I332" t="s">
        <v>2543</v>
      </c>
      <c r="J332" t="s">
        <v>303</v>
      </c>
      <c r="K332" t="s">
        <v>2538</v>
      </c>
      <c r="L332">
        <v>1</v>
      </c>
      <c r="M332">
        <v>72</v>
      </c>
      <c r="N332" t="s">
        <v>2539</v>
      </c>
      <c r="O332" s="31" t="str">
        <f>HYPERLINK("https://b2b.kobi.pl/pl/product/10107,high-bay-led-nico-120w-4000k-ip65-60x90-kobi-pro?currency=PLN")</f>
        <v>https://b2b.kobi.pl/pl/product/10107,high-bay-led-nico-120w-4000k-ip65-60x90-kobi-pro?currency=PLN</v>
      </c>
      <c r="P332" s="31" t="str">
        <f>HYPERLINK("https://eprel.ec.europa.eu/qr/1960269")</f>
        <v>https://eprel.ec.europa.eu/qr/1960269</v>
      </c>
      <c r="Q332"/>
    </row>
    <row r="333" spans="1:17" ht="15" x14ac:dyDescent="0.25">
      <c r="A333" t="s">
        <v>4</v>
      </c>
      <c r="B333" t="s">
        <v>46</v>
      </c>
      <c r="C333" t="s">
        <v>792</v>
      </c>
      <c r="D333" t="s">
        <v>931</v>
      </c>
      <c r="E333" t="s">
        <v>932</v>
      </c>
      <c r="F333" t="s">
        <v>798</v>
      </c>
      <c r="G333" s="30">
        <v>310</v>
      </c>
      <c r="H333" s="29">
        <f>G333*(1-IFERROR(VLOOKUP(F333,Rabat!$D$10:$E$41,2,FALSE),0))</f>
        <v>310</v>
      </c>
      <c r="I333" t="s">
        <v>2549</v>
      </c>
      <c r="J333" t="s">
        <v>298</v>
      </c>
      <c r="K333" t="s">
        <v>2538</v>
      </c>
      <c r="L333">
        <v>1</v>
      </c>
      <c r="M333">
        <v>108</v>
      </c>
      <c r="N333" t="s">
        <v>2539</v>
      </c>
      <c r="O333" s="31" t="str">
        <f>HYPERLINK("https://b2b.kobi.pl/pl/product/10177,high-bay-led-rio-pro-100w-4000k-ip66-kobi-pro?currency=PLN")</f>
        <v>https://b2b.kobi.pl/pl/product/10177,high-bay-led-rio-pro-100w-4000k-ip66-kobi-pro?currency=PLN</v>
      </c>
      <c r="P333" s="31" t="str">
        <f>HYPERLINK("https://eprel.ec.europa.eu/qr/2166588")</f>
        <v>https://eprel.ec.europa.eu/qr/2166588</v>
      </c>
      <c r="Q333"/>
    </row>
    <row r="334" spans="1:17" ht="15" x14ac:dyDescent="0.25">
      <c r="A334" t="s">
        <v>4</v>
      </c>
      <c r="B334" t="s">
        <v>46</v>
      </c>
      <c r="C334" t="s">
        <v>792</v>
      </c>
      <c r="D334" t="s">
        <v>933</v>
      </c>
      <c r="E334" t="s">
        <v>934</v>
      </c>
      <c r="F334" t="s">
        <v>798</v>
      </c>
      <c r="G334" s="30">
        <v>410</v>
      </c>
      <c r="H334" s="29">
        <f>G334*(1-IFERROR(VLOOKUP(F334,Rabat!$D$10:$E$41,2,FALSE),0))</f>
        <v>410</v>
      </c>
      <c r="I334" t="s">
        <v>2549</v>
      </c>
      <c r="J334" t="s">
        <v>299</v>
      </c>
      <c r="K334" t="s">
        <v>2538</v>
      </c>
      <c r="L334">
        <v>1</v>
      </c>
      <c r="M334">
        <v>60</v>
      </c>
      <c r="N334" t="s">
        <v>2539</v>
      </c>
      <c r="O334" s="31" t="str">
        <f>HYPERLINK("https://b2b.kobi.pl/pl/product/10178,high-bay-led-rio-pro-150w-4000k-ip66-kobi-pro?currency=PLN")</f>
        <v>https://b2b.kobi.pl/pl/product/10178,high-bay-led-rio-pro-150w-4000k-ip66-kobi-pro?currency=PLN</v>
      </c>
      <c r="P334" t="s">
        <v>16</v>
      </c>
      <c r="Q334"/>
    </row>
    <row r="335" spans="1:17" ht="15" x14ac:dyDescent="0.25">
      <c r="A335" t="s">
        <v>4</v>
      </c>
      <c r="B335" t="s">
        <v>46</v>
      </c>
      <c r="C335" t="s">
        <v>792</v>
      </c>
      <c r="D335" t="s">
        <v>937</v>
      </c>
      <c r="E335" t="s">
        <v>938</v>
      </c>
      <c r="F335" t="s">
        <v>798</v>
      </c>
      <c r="G335" s="30">
        <v>490</v>
      </c>
      <c r="H335" s="29">
        <f>G335*(1-IFERROR(VLOOKUP(F335,Rabat!$D$10:$E$41,2,FALSE),0))</f>
        <v>490</v>
      </c>
      <c r="I335" t="s">
        <v>2549</v>
      </c>
      <c r="J335" t="s">
        <v>300</v>
      </c>
      <c r="K335" t="s">
        <v>2538</v>
      </c>
      <c r="L335">
        <v>1</v>
      </c>
      <c r="M335">
        <v>60</v>
      </c>
      <c r="N335" t="s">
        <v>2539</v>
      </c>
      <c r="O335" s="31" t="str">
        <f>HYPERLINK("https://b2b.kobi.pl/pl/product/10180,high-bay-led-rio-pro-200w-4000k-ip66-kobi-pro?currency=PLN")</f>
        <v>https://b2b.kobi.pl/pl/product/10180,high-bay-led-rio-pro-200w-4000k-ip66-kobi-pro?currency=PLN</v>
      </c>
      <c r="P335" s="31" t="str">
        <f>HYPERLINK("https://eprel.ec.europa.eu/qr/2166659")</f>
        <v>https://eprel.ec.europa.eu/qr/2166659</v>
      </c>
      <c r="Q335"/>
    </row>
    <row r="336" spans="1:17" ht="15" x14ac:dyDescent="0.25">
      <c r="A336" t="s">
        <v>4</v>
      </c>
      <c r="B336" t="s">
        <v>46</v>
      </c>
      <c r="C336" t="s">
        <v>792</v>
      </c>
      <c r="D336" t="s">
        <v>935</v>
      </c>
      <c r="E336" t="s">
        <v>936</v>
      </c>
      <c r="F336" t="s">
        <v>798</v>
      </c>
      <c r="G336" s="30">
        <v>553.33000000000004</v>
      </c>
      <c r="H336" s="29">
        <f>G336*(1-IFERROR(VLOOKUP(F336,Rabat!$D$10:$E$41,2,FALSE),0))</f>
        <v>553.33000000000004</v>
      </c>
      <c r="I336" t="s">
        <v>2543</v>
      </c>
      <c r="J336" t="s">
        <v>755</v>
      </c>
      <c r="K336" t="s">
        <v>2538</v>
      </c>
      <c r="L336">
        <v>1</v>
      </c>
      <c r="M336">
        <v>60</v>
      </c>
      <c r="N336" t="s">
        <v>2539</v>
      </c>
      <c r="O336" s="31" t="str">
        <f>HYPERLINK("https://b2b.kobi.pl/pl/product/10179,high-bay-led-rio-pro-200w-2cct-kobi-pro?currency=PLN")</f>
        <v>https://b2b.kobi.pl/pl/product/10179,high-bay-led-rio-pro-200w-2cct-kobi-pro?currency=PLN</v>
      </c>
      <c r="P336" s="31" t="str">
        <f>HYPERLINK("https://eprel.ec.europa.eu/qr/2166664")</f>
        <v>https://eprel.ec.europa.eu/qr/2166664</v>
      </c>
      <c r="Q336"/>
    </row>
    <row r="337" spans="1:17" ht="15" x14ac:dyDescent="0.25">
      <c r="A337" t="s">
        <v>4</v>
      </c>
      <c r="B337" t="s">
        <v>46</v>
      </c>
      <c r="C337" t="s">
        <v>792</v>
      </c>
      <c r="D337" t="s">
        <v>923</v>
      </c>
      <c r="E337" t="s">
        <v>924</v>
      </c>
      <c r="F337" t="s">
        <v>798</v>
      </c>
      <c r="G337" s="30">
        <v>620</v>
      </c>
      <c r="H337" s="29">
        <f>G337*(1-IFERROR(VLOOKUP(F337,Rabat!$D$10:$E$41,2,FALSE),0))</f>
        <v>620</v>
      </c>
      <c r="I337" t="s">
        <v>2549</v>
      </c>
      <c r="J337" t="s">
        <v>2550</v>
      </c>
      <c r="K337" t="s">
        <v>2538</v>
      </c>
      <c r="L337">
        <v>1</v>
      </c>
      <c r="M337"/>
      <c r="N337" t="s">
        <v>2539</v>
      </c>
      <c r="O337" s="31" t="str">
        <f>HYPERLINK("https://b2b.kobi.pl/pl/product/10046,high-bay-led-nina-100w-4000k-110-kobi-pro?currency=PLN")</f>
        <v>https://b2b.kobi.pl/pl/product/10046,high-bay-led-nina-100w-4000k-110-kobi-pro?currency=PLN</v>
      </c>
      <c r="P337" s="31" t="str">
        <f>HYPERLINK("https://eprel.ec.europa.eu/qr/1252696")</f>
        <v>https://eprel.ec.europa.eu/qr/1252696</v>
      </c>
      <c r="Q337" t="s">
        <v>2700</v>
      </c>
    </row>
    <row r="338" spans="1:17" ht="15" x14ac:dyDescent="0.25">
      <c r="A338" t="s">
        <v>4</v>
      </c>
      <c r="B338" t="s">
        <v>46</v>
      </c>
      <c r="C338" t="s">
        <v>792</v>
      </c>
      <c r="D338" t="s">
        <v>927</v>
      </c>
      <c r="E338" t="s">
        <v>928</v>
      </c>
      <c r="F338" t="s">
        <v>798</v>
      </c>
      <c r="G338" s="30">
        <v>760</v>
      </c>
      <c r="H338" s="29">
        <f>G338*(1-IFERROR(VLOOKUP(F338,Rabat!$D$10:$E$41,2,FALSE),0))</f>
        <v>760</v>
      </c>
      <c r="I338" t="s">
        <v>2549</v>
      </c>
      <c r="J338" t="s">
        <v>296</v>
      </c>
      <c r="K338" t="s">
        <v>2538</v>
      </c>
      <c r="L338">
        <v>1</v>
      </c>
      <c r="M338"/>
      <c r="N338" t="s">
        <v>2539</v>
      </c>
      <c r="O338" s="31" t="str">
        <f>HYPERLINK("https://b2b.kobi.pl/pl/product/10048,high-bay-led-nina-150w-4000k-110-kobi-pro?currency=PLN")</f>
        <v>https://b2b.kobi.pl/pl/product/10048,high-bay-led-nina-150w-4000k-110-kobi-pro?currency=PLN</v>
      </c>
      <c r="P338" s="31" t="str">
        <f>HYPERLINK("https://eprel.ec.europa.eu/qr/1252697")</f>
        <v>https://eprel.ec.europa.eu/qr/1252697</v>
      </c>
      <c r="Q338" t="s">
        <v>2700</v>
      </c>
    </row>
    <row r="339" spans="1:17" ht="15" x14ac:dyDescent="0.25">
      <c r="A339" t="s">
        <v>4</v>
      </c>
      <c r="B339" t="s">
        <v>46</v>
      </c>
      <c r="C339" t="s">
        <v>792</v>
      </c>
      <c r="D339" t="s">
        <v>925</v>
      </c>
      <c r="E339" t="s">
        <v>926</v>
      </c>
      <c r="F339" t="s">
        <v>798</v>
      </c>
      <c r="G339" s="30">
        <v>760</v>
      </c>
      <c r="H339" s="29">
        <f>G339*(1-IFERROR(VLOOKUP(F339,Rabat!$D$10:$E$41,2,FALSE),0))</f>
        <v>760</v>
      </c>
      <c r="I339" t="s">
        <v>2549</v>
      </c>
      <c r="J339" t="s">
        <v>295</v>
      </c>
      <c r="K339" t="s">
        <v>2538</v>
      </c>
      <c r="L339">
        <v>1</v>
      </c>
      <c r="M339">
        <v>91</v>
      </c>
      <c r="N339" t="s">
        <v>2539</v>
      </c>
      <c r="O339" s="31" t="str">
        <f>HYPERLINK("https://b2b.kobi.pl/pl/product/10049,high-bay-led-nina-150w-4000k-90-kobi-pro?currency=PLN")</f>
        <v>https://b2b.kobi.pl/pl/product/10049,high-bay-led-nina-150w-4000k-90-kobi-pro?currency=PLN</v>
      </c>
      <c r="P339" s="31" t="str">
        <f>HYPERLINK("https://eprel.ec.europa.eu/qr/1521961")</f>
        <v>https://eprel.ec.europa.eu/qr/1521961</v>
      </c>
      <c r="Q339" t="s">
        <v>2700</v>
      </c>
    </row>
    <row r="340" spans="1:17" ht="15" x14ac:dyDescent="0.25">
      <c r="A340" t="s">
        <v>4</v>
      </c>
      <c r="B340" t="s">
        <v>46</v>
      </c>
      <c r="C340" t="s">
        <v>792</v>
      </c>
      <c r="D340" t="s">
        <v>929</v>
      </c>
      <c r="E340" t="s">
        <v>930</v>
      </c>
      <c r="F340" t="s">
        <v>798</v>
      </c>
      <c r="G340" s="30">
        <v>1100</v>
      </c>
      <c r="H340" s="29">
        <f>G340*(1-IFERROR(VLOOKUP(F340,Rabat!$D$10:$E$41,2,FALSE),0))</f>
        <v>1100</v>
      </c>
      <c r="I340" t="s">
        <v>2549</v>
      </c>
      <c r="J340" t="s">
        <v>297</v>
      </c>
      <c r="K340" t="s">
        <v>2538</v>
      </c>
      <c r="L340">
        <v>1</v>
      </c>
      <c r="M340">
        <v>80</v>
      </c>
      <c r="N340" t="s">
        <v>2539</v>
      </c>
      <c r="O340" s="31" t="str">
        <f>HYPERLINK("https://b2b.kobi.pl/pl/product/10050,high-bay-led-nina-200w-4000k-110-kobi-pro?currency=PLN")</f>
        <v>https://b2b.kobi.pl/pl/product/10050,high-bay-led-nina-200w-4000k-110-kobi-pro?currency=PLN</v>
      </c>
      <c r="P340" s="31" t="str">
        <f>HYPERLINK("https://eprel.ec.europa.eu/qr/1252699")</f>
        <v>https://eprel.ec.europa.eu/qr/1252699</v>
      </c>
      <c r="Q340" t="s">
        <v>2700</v>
      </c>
    </row>
    <row r="341" spans="1:17" ht="15" x14ac:dyDescent="0.25">
      <c r="A341" t="s">
        <v>4</v>
      </c>
      <c r="B341" t="s">
        <v>46</v>
      </c>
      <c r="C341" t="s">
        <v>792</v>
      </c>
      <c r="D341" t="s">
        <v>1501</v>
      </c>
      <c r="E341" t="s">
        <v>1502</v>
      </c>
      <c r="F341" t="s">
        <v>798</v>
      </c>
      <c r="G341" s="30">
        <v>77.599999999999994</v>
      </c>
      <c r="H341" s="29">
        <f>G341*(1-IFERROR(VLOOKUP(F341,Rabat!$D$10:$E$41,2,FALSE),0))</f>
        <v>77.599999999999994</v>
      </c>
      <c r="I341" t="s">
        <v>2540</v>
      </c>
      <c r="J341" t="s">
        <v>256</v>
      </c>
      <c r="K341" t="s">
        <v>2538</v>
      </c>
      <c r="L341">
        <v>20</v>
      </c>
      <c r="M341"/>
      <c r="N341" t="s">
        <v>2544</v>
      </c>
      <c r="O341" s="31" t="str">
        <f>HYPERLINK("https://b2b.kobi.pl/pl/product/10045,oslona-do-led-nina-hb-100w-kobi?currency=PLN")</f>
        <v>https://b2b.kobi.pl/pl/product/10045,oslona-do-led-nina-hb-100w-kobi?currency=PLN</v>
      </c>
      <c r="P341" t="s">
        <v>16</v>
      </c>
      <c r="Q341" t="s">
        <v>2700</v>
      </c>
    </row>
    <row r="342" spans="1:17" ht="15" x14ac:dyDescent="0.25">
      <c r="A342" t="s">
        <v>4</v>
      </c>
      <c r="B342" t="s">
        <v>46</v>
      </c>
      <c r="C342" t="s">
        <v>792</v>
      </c>
      <c r="D342" t="s">
        <v>1509</v>
      </c>
      <c r="E342" t="s">
        <v>1510</v>
      </c>
      <c r="F342" t="s">
        <v>798</v>
      </c>
      <c r="G342" s="30">
        <v>87.32</v>
      </c>
      <c r="H342" s="29">
        <f>G342*(1-IFERROR(VLOOKUP(F342,Rabat!$D$10:$E$41,2,FALSE),0))</f>
        <v>87.32</v>
      </c>
      <c r="I342" t="s">
        <v>2540</v>
      </c>
      <c r="J342" t="s">
        <v>257</v>
      </c>
      <c r="K342" t="s">
        <v>2538</v>
      </c>
      <c r="L342">
        <v>20</v>
      </c>
      <c r="M342"/>
      <c r="N342" t="s">
        <v>2544</v>
      </c>
      <c r="O342" s="31" t="str">
        <f>HYPERLINK("https://b2b.kobi.pl/pl/product/10053,oslona-do-led-nina-hb-200w-kobi?currency=PLN")</f>
        <v>https://b2b.kobi.pl/pl/product/10053,oslona-do-led-nina-hb-200w-kobi?currency=PLN</v>
      </c>
      <c r="P342" t="s">
        <v>16</v>
      </c>
      <c r="Q342" t="s">
        <v>2700</v>
      </c>
    </row>
    <row r="343" spans="1:17" ht="15" x14ac:dyDescent="0.25">
      <c r="A343" t="s">
        <v>4</v>
      </c>
      <c r="B343" t="s">
        <v>46</v>
      </c>
      <c r="C343" t="s">
        <v>792</v>
      </c>
      <c r="D343" t="s">
        <v>1810</v>
      </c>
      <c r="E343" t="s">
        <v>1811</v>
      </c>
      <c r="F343" t="s">
        <v>798</v>
      </c>
      <c r="G343" s="30">
        <v>45</v>
      </c>
      <c r="H343" s="29">
        <f>G343*(1-IFERROR(VLOOKUP(F343,Rabat!$D$10:$E$41,2,FALSE),0))</f>
        <v>45</v>
      </c>
      <c r="I343" t="s">
        <v>2540</v>
      </c>
      <c r="J343" t="s">
        <v>255</v>
      </c>
      <c r="K343" t="s">
        <v>2538</v>
      </c>
      <c r="L343">
        <v>1</v>
      </c>
      <c r="M343"/>
      <c r="N343" t="s">
        <v>2544</v>
      </c>
      <c r="O343" s="31" t="str">
        <f>HYPERLINK("https://b2b.kobi.pl/pl/product/11109,oslona-do-neo-150w-200w-kobi-pro?currency=PLN")</f>
        <v>https://b2b.kobi.pl/pl/product/11109,oslona-do-neo-150w-200w-kobi-pro?currency=PLN</v>
      </c>
      <c r="P343" t="s">
        <v>16</v>
      </c>
      <c r="Q343" t="s">
        <v>2700</v>
      </c>
    </row>
    <row r="344" spans="1:17" ht="15" x14ac:dyDescent="0.25">
      <c r="A344" t="s">
        <v>4</v>
      </c>
      <c r="B344" t="s">
        <v>46</v>
      </c>
      <c r="C344" t="s">
        <v>792</v>
      </c>
      <c r="D344" t="s">
        <v>2000</v>
      </c>
      <c r="E344" t="s">
        <v>2001</v>
      </c>
      <c r="F344" t="s">
        <v>798</v>
      </c>
      <c r="G344" s="30">
        <v>106.76</v>
      </c>
      <c r="H344" s="29">
        <f>G344*(1-IFERROR(VLOOKUP(F344,Rabat!$D$10:$E$41,2,FALSE),0))</f>
        <v>106.76</v>
      </c>
      <c r="I344" t="s">
        <v>2540</v>
      </c>
      <c r="J344" t="s">
        <v>259</v>
      </c>
      <c r="K344" t="s">
        <v>2538</v>
      </c>
      <c r="L344">
        <v>12</v>
      </c>
      <c r="M344"/>
      <c r="N344" t="s">
        <v>2544</v>
      </c>
      <c r="O344" s="31" t="str">
        <f>HYPERLINK("https://b2b.kobi.pl/pl/product/10054,uchwyt-do-led-nina-hb-100w-kobi?currency=PLN")</f>
        <v>https://b2b.kobi.pl/pl/product/10054,uchwyt-do-led-nina-hb-100w-kobi?currency=PLN</v>
      </c>
      <c r="P344" t="s">
        <v>16</v>
      </c>
      <c r="Q344" t="s">
        <v>2700</v>
      </c>
    </row>
    <row r="345" spans="1:17" ht="15" x14ac:dyDescent="0.25">
      <c r="A345" t="s">
        <v>4</v>
      </c>
      <c r="B345" t="s">
        <v>46</v>
      </c>
      <c r="C345" t="s">
        <v>792</v>
      </c>
      <c r="D345" t="s">
        <v>2002</v>
      </c>
      <c r="E345" t="s">
        <v>2003</v>
      </c>
      <c r="F345" t="s">
        <v>798</v>
      </c>
      <c r="G345" s="30">
        <v>114</v>
      </c>
      <c r="H345" s="29">
        <f>G345*(1-IFERROR(VLOOKUP(F345,Rabat!$D$10:$E$41,2,FALSE),0))</f>
        <v>114</v>
      </c>
      <c r="I345" t="s">
        <v>2540</v>
      </c>
      <c r="J345" t="s">
        <v>260</v>
      </c>
      <c r="K345" t="s">
        <v>2538</v>
      </c>
      <c r="L345">
        <v>12</v>
      </c>
      <c r="M345"/>
      <c r="N345" t="s">
        <v>2544</v>
      </c>
      <c r="O345" s="31" t="str">
        <f>HYPERLINK("https://b2b.kobi.pl/pl/product/10055,uchwyt-do-led-nina-hb-150w-kobi?currency=PLN")</f>
        <v>https://b2b.kobi.pl/pl/product/10055,uchwyt-do-led-nina-hb-150w-kobi?currency=PLN</v>
      </c>
      <c r="P345" t="s">
        <v>16</v>
      </c>
      <c r="Q345" t="s">
        <v>2700</v>
      </c>
    </row>
    <row r="346" spans="1:17" ht="15" x14ac:dyDescent="0.25">
      <c r="A346" t="s">
        <v>4</v>
      </c>
      <c r="B346" t="s">
        <v>46</v>
      </c>
      <c r="C346" t="s">
        <v>792</v>
      </c>
      <c r="D346" t="s">
        <v>2004</v>
      </c>
      <c r="E346" t="s">
        <v>2005</v>
      </c>
      <c r="F346" t="s">
        <v>798</v>
      </c>
      <c r="G346" s="30">
        <v>125</v>
      </c>
      <c r="H346" s="29">
        <f>G346*(1-IFERROR(VLOOKUP(F346,Rabat!$D$10:$E$41,2,FALSE),0))</f>
        <v>125</v>
      </c>
      <c r="I346" t="s">
        <v>2540</v>
      </c>
      <c r="J346" t="s">
        <v>261</v>
      </c>
      <c r="K346" t="s">
        <v>2538</v>
      </c>
      <c r="L346">
        <v>12</v>
      </c>
      <c r="M346"/>
      <c r="N346" t="s">
        <v>2544</v>
      </c>
      <c r="O346" s="31" t="str">
        <f>HYPERLINK("https://b2b.kobi.pl/pl/product/10056,uchwyt-do-led-nina-hb-200w-kobi?currency=PLN")</f>
        <v>https://b2b.kobi.pl/pl/product/10056,uchwyt-do-led-nina-hb-200w-kobi?currency=PLN</v>
      </c>
      <c r="P346" t="s">
        <v>16</v>
      </c>
      <c r="Q346" t="s">
        <v>2700</v>
      </c>
    </row>
    <row r="347" spans="1:17" ht="15" x14ac:dyDescent="0.25">
      <c r="A347" t="s">
        <v>4</v>
      </c>
      <c r="B347" t="s">
        <v>46</v>
      </c>
      <c r="C347" t="s">
        <v>858</v>
      </c>
      <c r="D347" t="s">
        <v>2006</v>
      </c>
      <c r="E347" t="s">
        <v>2007</v>
      </c>
      <c r="F347" t="s">
        <v>798</v>
      </c>
      <c r="G347" s="30">
        <v>51</v>
      </c>
      <c r="H347" s="29">
        <f>G347*(1-IFERROR(VLOOKUP(F347,Rabat!$D$10:$E$41,2,FALSE),0))</f>
        <v>51</v>
      </c>
      <c r="I347" t="s">
        <v>2540</v>
      </c>
      <c r="J347" t="s">
        <v>574</v>
      </c>
      <c r="K347" t="s">
        <v>2538</v>
      </c>
      <c r="L347">
        <v>54</v>
      </c>
      <c r="M347"/>
      <c r="N347" t="s">
        <v>2544</v>
      </c>
      <c r="O347" s="31" t="str">
        <f>HYPERLINK("https://b2b.kobi.pl/pl/product/10181,uchwyt-do-led-rio-pro-100w-kobi?currency=PLN")</f>
        <v>https://b2b.kobi.pl/pl/product/10181,uchwyt-do-led-rio-pro-100w-kobi?currency=PLN</v>
      </c>
      <c r="P347" t="s">
        <v>16</v>
      </c>
      <c r="Q347" t="s">
        <v>2700</v>
      </c>
    </row>
    <row r="348" spans="1:17" ht="15" x14ac:dyDescent="0.25">
      <c r="A348" t="s">
        <v>4</v>
      </c>
      <c r="B348" t="s">
        <v>46</v>
      </c>
      <c r="C348" t="s">
        <v>858</v>
      </c>
      <c r="D348" t="s">
        <v>2008</v>
      </c>
      <c r="E348" t="s">
        <v>2009</v>
      </c>
      <c r="F348" t="s">
        <v>798</v>
      </c>
      <c r="G348" s="30">
        <v>61</v>
      </c>
      <c r="H348" s="29">
        <f>G348*(1-IFERROR(VLOOKUP(F348,Rabat!$D$10:$E$41,2,FALSE),0))</f>
        <v>61</v>
      </c>
      <c r="I348" t="s">
        <v>2540</v>
      </c>
      <c r="J348" t="s">
        <v>578</v>
      </c>
      <c r="K348" t="s">
        <v>2538</v>
      </c>
      <c r="L348">
        <v>54</v>
      </c>
      <c r="M348"/>
      <c r="N348" t="s">
        <v>2544</v>
      </c>
      <c r="O348" s="31" t="str">
        <f>HYPERLINK("https://b2b.kobi.pl/pl/product/10182,uchwyt-do-led-rio-pro-150w-kobi?currency=PLN")</f>
        <v>https://b2b.kobi.pl/pl/product/10182,uchwyt-do-led-rio-pro-150w-kobi?currency=PLN</v>
      </c>
      <c r="P348" t="s">
        <v>16</v>
      </c>
      <c r="Q348" t="s">
        <v>2700</v>
      </c>
    </row>
    <row r="349" spans="1:17" ht="15" x14ac:dyDescent="0.25">
      <c r="A349" t="s">
        <v>4</v>
      </c>
      <c r="B349" t="s">
        <v>46</v>
      </c>
      <c r="C349" t="s">
        <v>858</v>
      </c>
      <c r="D349" t="s">
        <v>2010</v>
      </c>
      <c r="E349" t="s">
        <v>2011</v>
      </c>
      <c r="F349" t="s">
        <v>798</v>
      </c>
      <c r="G349" s="30">
        <v>71</v>
      </c>
      <c r="H349" s="29">
        <f>G349*(1-IFERROR(VLOOKUP(F349,Rabat!$D$10:$E$41,2,FALSE),0))</f>
        <v>71</v>
      </c>
      <c r="I349" t="s">
        <v>2540</v>
      </c>
      <c r="J349" t="s">
        <v>579</v>
      </c>
      <c r="K349" t="s">
        <v>2538</v>
      </c>
      <c r="L349">
        <v>36</v>
      </c>
      <c r="M349"/>
      <c r="N349" t="s">
        <v>2544</v>
      </c>
      <c r="O349" s="31" t="str">
        <f>HYPERLINK("https://b2b.kobi.pl/pl/product/10183,uchwyt-do-led-rio-pro-200w-kobi?currency=PLN")</f>
        <v>https://b2b.kobi.pl/pl/product/10183,uchwyt-do-led-rio-pro-200w-kobi?currency=PLN</v>
      </c>
      <c r="P349" t="s">
        <v>16</v>
      </c>
      <c r="Q349" t="s">
        <v>2700</v>
      </c>
    </row>
    <row r="350" spans="1:17" ht="15" x14ac:dyDescent="0.25">
      <c r="A350" t="s">
        <v>4</v>
      </c>
      <c r="B350" t="s">
        <v>46</v>
      </c>
      <c r="C350" t="s">
        <v>792</v>
      </c>
      <c r="D350" t="s">
        <v>2012</v>
      </c>
      <c r="E350" t="s">
        <v>2013</v>
      </c>
      <c r="F350" t="s">
        <v>798</v>
      </c>
      <c r="G350" s="30">
        <v>114</v>
      </c>
      <c r="H350" s="29">
        <f>G350*(1-IFERROR(VLOOKUP(F350,Rabat!$D$10:$E$41,2,FALSE),0))</f>
        <v>114</v>
      </c>
      <c r="I350" t="s">
        <v>2540</v>
      </c>
      <c r="J350" t="s">
        <v>258</v>
      </c>
      <c r="K350" t="s">
        <v>2538</v>
      </c>
      <c r="L350">
        <v>10</v>
      </c>
      <c r="M350">
        <v>200</v>
      </c>
      <c r="N350" t="s">
        <v>2539</v>
      </c>
      <c r="O350" s="31" t="str">
        <f>HYPERLINK("https://b2b.kobi.pl/pl/product/11116,uchwyt-do-neo-150w-200w-kobi-pro?currency=PLN")</f>
        <v>https://b2b.kobi.pl/pl/product/11116,uchwyt-do-neo-150w-200w-kobi-pro?currency=PLN</v>
      </c>
      <c r="P350" t="s">
        <v>16</v>
      </c>
      <c r="Q350" t="s">
        <v>2700</v>
      </c>
    </row>
    <row r="351" spans="1:17" ht="15" x14ac:dyDescent="0.25">
      <c r="A351" t="s">
        <v>4</v>
      </c>
      <c r="B351" t="s">
        <v>46</v>
      </c>
      <c r="C351" t="s">
        <v>792</v>
      </c>
      <c r="D351" t="s">
        <v>2022</v>
      </c>
      <c r="E351" t="s">
        <v>2023</v>
      </c>
      <c r="F351" t="s">
        <v>798</v>
      </c>
      <c r="G351" s="30">
        <v>60</v>
      </c>
      <c r="H351" s="29">
        <f>G351*(1-IFERROR(VLOOKUP(F351,Rabat!$D$10:$E$41,2,FALSE),0))</f>
        <v>60</v>
      </c>
      <c r="I351" t="s">
        <v>2540</v>
      </c>
      <c r="J351" t="s">
        <v>566</v>
      </c>
      <c r="K351" t="s">
        <v>2538</v>
      </c>
      <c r="L351">
        <v>20</v>
      </c>
      <c r="M351"/>
      <c r="N351" t="s">
        <v>2544</v>
      </c>
      <c r="O351" s="31" t="str">
        <f>HYPERLINK("https://b2b.kobi.pl/pl/product/9895,uniwersalny-uchwyt-do-high-bay-m10-kobi-pro?currency=PLN")</f>
        <v>https://b2b.kobi.pl/pl/product/9895,uniwersalny-uchwyt-do-high-bay-m10-kobi-pro?currency=PLN</v>
      </c>
      <c r="P351" t="s">
        <v>16</v>
      </c>
      <c r="Q351"/>
    </row>
    <row r="352" spans="1:17" ht="15" x14ac:dyDescent="0.25">
      <c r="A352" t="s">
        <v>5</v>
      </c>
      <c r="B352" t="s">
        <v>1542</v>
      </c>
      <c r="C352" t="s">
        <v>858</v>
      </c>
      <c r="D352" t="s">
        <v>1554</v>
      </c>
      <c r="E352" t="s">
        <v>1555</v>
      </c>
      <c r="F352" t="s">
        <v>1545</v>
      </c>
      <c r="G352" s="30">
        <v>65.3</v>
      </c>
      <c r="H352" s="29">
        <f>G352*(1-IFERROR(VLOOKUP(F352,Rabat!$D$10:$E$41,2,FALSE),0))</f>
        <v>65.3</v>
      </c>
      <c r="I352" t="s">
        <v>2540</v>
      </c>
      <c r="J352" t="s">
        <v>424</v>
      </c>
      <c r="K352" t="s">
        <v>2538</v>
      </c>
      <c r="L352">
        <v>20</v>
      </c>
      <c r="M352">
        <v>1120</v>
      </c>
      <c r="N352" t="s">
        <v>2544</v>
      </c>
      <c r="O352" s="31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52" t="s">
        <v>16</v>
      </c>
      <c r="Q352"/>
    </row>
    <row r="353" spans="1:17" ht="15" x14ac:dyDescent="0.25">
      <c r="A353" t="s">
        <v>5</v>
      </c>
      <c r="B353" t="s">
        <v>1542</v>
      </c>
      <c r="C353" t="s">
        <v>858</v>
      </c>
      <c r="D353" t="s">
        <v>1562</v>
      </c>
      <c r="E353" t="s">
        <v>1563</v>
      </c>
      <c r="F353" t="s">
        <v>1545</v>
      </c>
      <c r="G353" s="30">
        <v>65.3</v>
      </c>
      <c r="H353" s="29">
        <f>G353*(1-IFERROR(VLOOKUP(F353,Rabat!$D$10:$E$41,2,FALSE),0))</f>
        <v>65.3</v>
      </c>
      <c r="I353" t="s">
        <v>2540</v>
      </c>
      <c r="J353" t="s">
        <v>422</v>
      </c>
      <c r="K353" t="s">
        <v>2538</v>
      </c>
      <c r="L353">
        <v>20</v>
      </c>
      <c r="M353">
        <v>1120</v>
      </c>
      <c r="N353" t="s">
        <v>2544</v>
      </c>
      <c r="O353" s="31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53" t="s">
        <v>16</v>
      </c>
      <c r="Q353"/>
    </row>
    <row r="354" spans="1:17" ht="15" x14ac:dyDescent="0.25">
      <c r="A354" t="s">
        <v>5</v>
      </c>
      <c r="B354" t="s">
        <v>1542</v>
      </c>
      <c r="C354" t="s">
        <v>858</v>
      </c>
      <c r="D354" t="s">
        <v>1558</v>
      </c>
      <c r="E354" t="s">
        <v>1559</v>
      </c>
      <c r="F354" t="s">
        <v>1545</v>
      </c>
      <c r="G354" s="30">
        <v>65.3</v>
      </c>
      <c r="H354" s="29">
        <f>G354*(1-IFERROR(VLOOKUP(F354,Rabat!$D$10:$E$41,2,FALSE),0))</f>
        <v>65.3</v>
      </c>
      <c r="I354" t="s">
        <v>2540</v>
      </c>
      <c r="J354" t="s">
        <v>423</v>
      </c>
      <c r="K354" t="s">
        <v>2538</v>
      </c>
      <c r="L354">
        <v>20</v>
      </c>
      <c r="M354">
        <v>840</v>
      </c>
      <c r="N354" t="s">
        <v>2544</v>
      </c>
      <c r="O354" s="31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54" t="s">
        <v>16</v>
      </c>
      <c r="Q354" t="s">
        <v>2700</v>
      </c>
    </row>
    <row r="355" spans="1:17" ht="15" x14ac:dyDescent="0.25">
      <c r="A355" t="s">
        <v>5</v>
      </c>
      <c r="B355" t="s">
        <v>1542</v>
      </c>
      <c r="C355" t="s">
        <v>858</v>
      </c>
      <c r="D355" t="s">
        <v>1543</v>
      </c>
      <c r="E355" t="s">
        <v>1544</v>
      </c>
      <c r="F355" t="s">
        <v>1545</v>
      </c>
      <c r="G355" s="30">
        <v>79.3</v>
      </c>
      <c r="H355" s="29">
        <f>G355*(1-IFERROR(VLOOKUP(F355,Rabat!$D$10:$E$41,2,FALSE),0))</f>
        <v>79.3</v>
      </c>
      <c r="I355" t="s">
        <v>2540</v>
      </c>
      <c r="J355" t="s">
        <v>426</v>
      </c>
      <c r="K355" t="s">
        <v>2538</v>
      </c>
      <c r="L355">
        <v>20</v>
      </c>
      <c r="M355"/>
      <c r="N355" t="s">
        <v>2544</v>
      </c>
      <c r="O355" s="31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55" t="s">
        <v>16</v>
      </c>
      <c r="Q355" t="s">
        <v>2700</v>
      </c>
    </row>
    <row r="356" spans="1:17" ht="15" x14ac:dyDescent="0.25">
      <c r="A356" t="s">
        <v>5</v>
      </c>
      <c r="B356" t="s">
        <v>1542</v>
      </c>
      <c r="C356" t="s">
        <v>858</v>
      </c>
      <c r="D356" t="s">
        <v>1550</v>
      </c>
      <c r="E356" t="s">
        <v>1551</v>
      </c>
      <c r="F356" t="s">
        <v>1545</v>
      </c>
      <c r="G356" s="30">
        <v>79.3</v>
      </c>
      <c r="H356" s="29">
        <f>G356*(1-IFERROR(VLOOKUP(F356,Rabat!$D$10:$E$41,2,FALSE),0))</f>
        <v>79.3</v>
      </c>
      <c r="I356" t="s">
        <v>2540</v>
      </c>
      <c r="J356" t="s">
        <v>425</v>
      </c>
      <c r="K356" t="s">
        <v>2538</v>
      </c>
      <c r="L356">
        <v>20</v>
      </c>
      <c r="M356"/>
      <c r="N356" t="s">
        <v>2544</v>
      </c>
      <c r="O356" s="31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56" t="s">
        <v>16</v>
      </c>
      <c r="Q356" t="s">
        <v>2700</v>
      </c>
    </row>
    <row r="357" spans="1:17" ht="15" x14ac:dyDescent="0.25">
      <c r="A357" t="s">
        <v>5</v>
      </c>
      <c r="B357" t="s">
        <v>1542</v>
      </c>
      <c r="C357" t="s">
        <v>858</v>
      </c>
      <c r="D357" t="s">
        <v>1574</v>
      </c>
      <c r="E357" t="s">
        <v>1575</v>
      </c>
      <c r="F357" t="s">
        <v>1545</v>
      </c>
      <c r="G357" s="30">
        <v>46</v>
      </c>
      <c r="H357" s="29">
        <f>G357*(1-IFERROR(VLOOKUP(F357,Rabat!$D$10:$E$41,2,FALSE),0))</f>
        <v>46</v>
      </c>
      <c r="I357" t="s">
        <v>2540</v>
      </c>
      <c r="J357" t="s">
        <v>412</v>
      </c>
      <c r="K357" t="s">
        <v>2538</v>
      </c>
      <c r="L357">
        <v>20</v>
      </c>
      <c r="M357">
        <v>1120</v>
      </c>
      <c r="N357" t="s">
        <v>2544</v>
      </c>
      <c r="O357" s="31" t="str">
        <f>HYPERLINK("https://b2b.kobi.pl/pl/product/10426,oprawa-do-nadbudowania-oh36-biala-kobi?currency=PLN")</f>
        <v>https://b2b.kobi.pl/pl/product/10426,oprawa-do-nadbudowania-oh36-biala-kobi?currency=PLN</v>
      </c>
      <c r="P357" t="s">
        <v>16</v>
      </c>
      <c r="Q357"/>
    </row>
    <row r="358" spans="1:17" ht="15" x14ac:dyDescent="0.25">
      <c r="A358" t="s">
        <v>5</v>
      </c>
      <c r="B358" t="s">
        <v>1542</v>
      </c>
      <c r="C358" t="s">
        <v>858</v>
      </c>
      <c r="D358" t="s">
        <v>1576</v>
      </c>
      <c r="E358" t="s">
        <v>1577</v>
      </c>
      <c r="F358" t="s">
        <v>1545</v>
      </c>
      <c r="G358" s="30">
        <v>46</v>
      </c>
      <c r="H358" s="29">
        <f>G358*(1-IFERROR(VLOOKUP(F358,Rabat!$D$10:$E$41,2,FALSE),0))</f>
        <v>46</v>
      </c>
      <c r="I358" t="s">
        <v>2540</v>
      </c>
      <c r="J358" t="s">
        <v>413</v>
      </c>
      <c r="K358" t="s">
        <v>2538</v>
      </c>
      <c r="L358">
        <v>20</v>
      </c>
      <c r="M358">
        <v>1120</v>
      </c>
      <c r="N358" t="s">
        <v>2544</v>
      </c>
      <c r="O358" s="31" t="str">
        <f>HYPERLINK("https://b2b.kobi.pl/pl/product/10428,oprawa-do-nadbudowania-oh36-czarna-kobi?currency=PLN")</f>
        <v>https://b2b.kobi.pl/pl/product/10428,oprawa-do-nadbudowania-oh36-czarna-kobi?currency=PLN</v>
      </c>
      <c r="P358" t="s">
        <v>16</v>
      </c>
      <c r="Q358"/>
    </row>
    <row r="359" spans="1:17" ht="15" x14ac:dyDescent="0.25">
      <c r="A359" t="s">
        <v>5</v>
      </c>
      <c r="B359" t="s">
        <v>1542</v>
      </c>
      <c r="C359" t="s">
        <v>858</v>
      </c>
      <c r="D359" t="s">
        <v>1580</v>
      </c>
      <c r="E359" t="s">
        <v>1581</v>
      </c>
      <c r="F359" t="s">
        <v>1545</v>
      </c>
      <c r="G359" s="30">
        <v>57</v>
      </c>
      <c r="H359" s="29">
        <f>G359*(1-IFERROR(VLOOKUP(F359,Rabat!$D$10:$E$41,2,FALSE),0))</f>
        <v>57</v>
      </c>
      <c r="I359" t="s">
        <v>2540</v>
      </c>
      <c r="J359" t="s">
        <v>414</v>
      </c>
      <c r="K359" t="s">
        <v>2538</v>
      </c>
      <c r="L359">
        <v>20</v>
      </c>
      <c r="M359">
        <v>1120</v>
      </c>
      <c r="N359" t="s">
        <v>2544</v>
      </c>
      <c r="O359" s="31" t="str">
        <f>HYPERLINK("https://b2b.kobi.pl/pl/product/10429,oprawa-do-nadbudowania-oh36-l-biala-kobi?currency=PLN")</f>
        <v>https://b2b.kobi.pl/pl/product/10429,oprawa-do-nadbudowania-oh36-l-biala-kobi?currency=PLN</v>
      </c>
      <c r="P359" t="s">
        <v>16</v>
      </c>
      <c r="Q359"/>
    </row>
    <row r="360" spans="1:17" ht="15" x14ac:dyDescent="0.25">
      <c r="A360" t="s">
        <v>5</v>
      </c>
      <c r="B360" t="s">
        <v>1542</v>
      </c>
      <c r="C360" t="s">
        <v>858</v>
      </c>
      <c r="D360" t="s">
        <v>2494</v>
      </c>
      <c r="E360" t="s">
        <v>2495</v>
      </c>
      <c r="F360" t="s">
        <v>1545</v>
      </c>
      <c r="G360" s="30">
        <v>57</v>
      </c>
      <c r="H360" s="29">
        <f>G360*(1-IFERROR(VLOOKUP(F360,Rabat!$D$10:$E$41,2,FALSE),0))</f>
        <v>57</v>
      </c>
      <c r="I360" t="s">
        <v>2540</v>
      </c>
      <c r="J360" t="s">
        <v>2674</v>
      </c>
      <c r="K360" t="s">
        <v>2538</v>
      </c>
      <c r="L360">
        <v>20</v>
      </c>
      <c r="M360">
        <v>1120</v>
      </c>
      <c r="N360" t="s">
        <v>2544</v>
      </c>
      <c r="O360"/>
      <c r="P360" t="s">
        <v>16</v>
      </c>
      <c r="Q360" t="s">
        <v>2700</v>
      </c>
    </row>
    <row r="361" spans="1:17" ht="15" x14ac:dyDescent="0.25">
      <c r="A361" t="s">
        <v>5</v>
      </c>
      <c r="B361" t="s">
        <v>1542</v>
      </c>
      <c r="C361" t="s">
        <v>858</v>
      </c>
      <c r="D361" t="s">
        <v>1584</v>
      </c>
      <c r="E361" t="s">
        <v>1585</v>
      </c>
      <c r="F361" t="s">
        <v>1545</v>
      </c>
      <c r="G361" s="30">
        <v>57</v>
      </c>
      <c r="H361" s="29">
        <f>G361*(1-IFERROR(VLOOKUP(F361,Rabat!$D$10:$E$41,2,FALSE),0))</f>
        <v>57</v>
      </c>
      <c r="I361" t="s">
        <v>2540</v>
      </c>
      <c r="J361" t="s">
        <v>415</v>
      </c>
      <c r="K361" t="s">
        <v>2538</v>
      </c>
      <c r="L361">
        <v>20</v>
      </c>
      <c r="M361">
        <v>1120</v>
      </c>
      <c r="N361" t="s">
        <v>2544</v>
      </c>
      <c r="O361" s="31" t="str">
        <f>HYPERLINK("https://b2b.kobi.pl/pl/product/10431,oprawa-do-nadbudowania-oh36-l-czarna-kobi?currency=PLN")</f>
        <v>https://b2b.kobi.pl/pl/product/10431,oprawa-do-nadbudowania-oh36-l-czarna-kobi?currency=PLN</v>
      </c>
      <c r="P361" t="s">
        <v>16</v>
      </c>
      <c r="Q361"/>
    </row>
    <row r="362" spans="1:17" ht="15" x14ac:dyDescent="0.25">
      <c r="A362" t="s">
        <v>5</v>
      </c>
      <c r="B362" t="s">
        <v>1542</v>
      </c>
      <c r="C362" t="s">
        <v>858</v>
      </c>
      <c r="D362" t="s">
        <v>1586</v>
      </c>
      <c r="E362" t="s">
        <v>1587</v>
      </c>
      <c r="F362" t="s">
        <v>1545</v>
      </c>
      <c r="G362" s="30">
        <v>43</v>
      </c>
      <c r="H362" s="29">
        <f>G362*(1-IFERROR(VLOOKUP(F362,Rabat!$D$10:$E$41,2,FALSE),0))</f>
        <v>43</v>
      </c>
      <c r="I362" t="s">
        <v>2540</v>
      </c>
      <c r="J362" t="s">
        <v>416</v>
      </c>
      <c r="K362" t="s">
        <v>2538</v>
      </c>
      <c r="L362">
        <v>20</v>
      </c>
      <c r="M362">
        <v>1600</v>
      </c>
      <c r="N362" t="s">
        <v>2544</v>
      </c>
      <c r="O362" s="31" t="str">
        <f>HYPERLINK("https://b2b.kobi.pl/pl/product/10432,oprawa-do-nadbudowania-oh36-s-biala-kobi?currency=PLN")</f>
        <v>https://b2b.kobi.pl/pl/product/10432,oprawa-do-nadbudowania-oh36-s-biala-kobi?currency=PLN</v>
      </c>
      <c r="P362" t="s">
        <v>16</v>
      </c>
      <c r="Q362"/>
    </row>
    <row r="363" spans="1:17" ht="15" x14ac:dyDescent="0.25">
      <c r="A363" t="s">
        <v>5</v>
      </c>
      <c r="B363" t="s">
        <v>1542</v>
      </c>
      <c r="C363" t="s">
        <v>858</v>
      </c>
      <c r="D363" t="s">
        <v>1588</v>
      </c>
      <c r="E363" t="s">
        <v>1589</v>
      </c>
      <c r="F363" t="s">
        <v>1545</v>
      </c>
      <c r="G363" s="30">
        <v>43</v>
      </c>
      <c r="H363" s="29">
        <f>G363*(1-IFERROR(VLOOKUP(F363,Rabat!$D$10:$E$41,2,FALSE),0))</f>
        <v>43</v>
      </c>
      <c r="I363" t="s">
        <v>2540</v>
      </c>
      <c r="J363" t="s">
        <v>417</v>
      </c>
      <c r="K363" t="s">
        <v>2538</v>
      </c>
      <c r="L363">
        <v>20</v>
      </c>
      <c r="M363">
        <v>1600</v>
      </c>
      <c r="N363" t="s">
        <v>2544</v>
      </c>
      <c r="O363" s="31" t="str">
        <f>HYPERLINK("https://b2b.kobi.pl/pl/product/10434,oprawa-do-nadbudowania-oh36-s-czarna-kobi?currency=PLN")</f>
        <v>https://b2b.kobi.pl/pl/product/10434,oprawa-do-nadbudowania-oh36-s-czarna-kobi?currency=PLN</v>
      </c>
      <c r="P363" t="s">
        <v>16</v>
      </c>
      <c r="Q363"/>
    </row>
    <row r="364" spans="1:17" ht="15" x14ac:dyDescent="0.25">
      <c r="A364" t="s">
        <v>5</v>
      </c>
      <c r="B364" t="s">
        <v>1542</v>
      </c>
      <c r="C364" t="s">
        <v>858</v>
      </c>
      <c r="D364" t="s">
        <v>1590</v>
      </c>
      <c r="E364" t="s">
        <v>1591</v>
      </c>
      <c r="F364" t="s">
        <v>1545</v>
      </c>
      <c r="G364" s="30">
        <v>55.5</v>
      </c>
      <c r="H364" s="29">
        <f>G364*(1-IFERROR(VLOOKUP(F364,Rabat!$D$10:$E$41,2,FALSE),0))</f>
        <v>55.5</v>
      </c>
      <c r="I364" t="s">
        <v>2540</v>
      </c>
      <c r="J364" t="s">
        <v>418</v>
      </c>
      <c r="K364" t="s">
        <v>2538</v>
      </c>
      <c r="L364">
        <v>20</v>
      </c>
      <c r="M364">
        <v>980</v>
      </c>
      <c r="N364" t="s">
        <v>2544</v>
      </c>
      <c r="O364" s="31" t="str">
        <f>HYPERLINK("https://b2b.kobi.pl/pl/product/10436,oprawa-do-nadbudowania-oh37-chrom-kobi?currency=PLN")</f>
        <v>https://b2b.kobi.pl/pl/product/10436,oprawa-do-nadbudowania-oh37-chrom-kobi?currency=PLN</v>
      </c>
      <c r="P364" t="s">
        <v>16</v>
      </c>
      <c r="Q364" t="s">
        <v>2700</v>
      </c>
    </row>
    <row r="365" spans="1:17" ht="15" x14ac:dyDescent="0.25">
      <c r="A365" t="s">
        <v>5</v>
      </c>
      <c r="B365" t="s">
        <v>1542</v>
      </c>
      <c r="C365" t="s">
        <v>858</v>
      </c>
      <c r="D365" t="s">
        <v>1592</v>
      </c>
      <c r="E365" t="s">
        <v>1593</v>
      </c>
      <c r="F365" t="s">
        <v>1545</v>
      </c>
      <c r="G365" s="30">
        <v>55.5</v>
      </c>
      <c r="H365" s="29">
        <f>G365*(1-IFERROR(VLOOKUP(F365,Rabat!$D$10:$E$41,2,FALSE),0))</f>
        <v>55.5</v>
      </c>
      <c r="I365" t="s">
        <v>2540</v>
      </c>
      <c r="J365" t="s">
        <v>419</v>
      </c>
      <c r="K365" t="s">
        <v>2538</v>
      </c>
      <c r="L365">
        <v>20</v>
      </c>
      <c r="M365">
        <v>980</v>
      </c>
      <c r="N365" t="s">
        <v>2544</v>
      </c>
      <c r="O365" s="31" t="str">
        <f>HYPERLINK("https://b2b.kobi.pl/pl/product/10437,oprawa-do-nadbudowania-oh37-czarna-kobi?currency=PLN")</f>
        <v>https://b2b.kobi.pl/pl/product/10437,oprawa-do-nadbudowania-oh37-czarna-kobi?currency=PLN</v>
      </c>
      <c r="P365" t="s">
        <v>16</v>
      </c>
      <c r="Q365"/>
    </row>
    <row r="366" spans="1:17" ht="15" x14ac:dyDescent="0.25">
      <c r="A366" t="s">
        <v>5</v>
      </c>
      <c r="B366" t="s">
        <v>1542</v>
      </c>
      <c r="C366" t="s">
        <v>858</v>
      </c>
      <c r="D366" t="s">
        <v>1594</v>
      </c>
      <c r="E366" t="s">
        <v>1595</v>
      </c>
      <c r="F366" t="s">
        <v>1545</v>
      </c>
      <c r="G366" s="30">
        <v>66.5</v>
      </c>
      <c r="H366" s="29">
        <f>G366*(1-IFERROR(VLOOKUP(F366,Rabat!$D$10:$E$41,2,FALSE),0))</f>
        <v>66.5</v>
      </c>
      <c r="I366" t="s">
        <v>2540</v>
      </c>
      <c r="J366" t="s">
        <v>2592</v>
      </c>
      <c r="K366" t="s">
        <v>2538</v>
      </c>
      <c r="L366">
        <v>20</v>
      </c>
      <c r="M366"/>
      <c r="N366" t="s">
        <v>2544</v>
      </c>
      <c r="O366" s="31" t="str">
        <f>HYPERLINK("https://b2b.kobi.pl/pl/product/10439,oprawa-do-nadbudowania-oh37-l-chrom-kobi?currency=PLN")</f>
        <v>https://b2b.kobi.pl/pl/product/10439,oprawa-do-nadbudowania-oh37-l-chrom-kobi?currency=PLN</v>
      </c>
      <c r="P366" t="s">
        <v>16</v>
      </c>
      <c r="Q366" t="s">
        <v>2700</v>
      </c>
    </row>
    <row r="367" spans="1:17" ht="15" x14ac:dyDescent="0.25">
      <c r="A367" t="s">
        <v>5</v>
      </c>
      <c r="B367" t="s">
        <v>1542</v>
      </c>
      <c r="C367" t="s">
        <v>858</v>
      </c>
      <c r="D367" t="s">
        <v>1600</v>
      </c>
      <c r="E367" t="s">
        <v>1601</v>
      </c>
      <c r="F367" t="s">
        <v>1545</v>
      </c>
      <c r="G367" s="30">
        <v>52</v>
      </c>
      <c r="H367" s="29">
        <f>G367*(1-IFERROR(VLOOKUP(F367,Rabat!$D$10:$E$41,2,FALSE),0))</f>
        <v>52</v>
      </c>
      <c r="I367" t="s">
        <v>2540</v>
      </c>
      <c r="J367" t="s">
        <v>420</v>
      </c>
      <c r="K367" t="s">
        <v>2538</v>
      </c>
      <c r="L367">
        <v>20</v>
      </c>
      <c r="M367">
        <v>1900</v>
      </c>
      <c r="N367" t="s">
        <v>2544</v>
      </c>
      <c r="O367" s="31" t="str">
        <f>HYPERLINK("https://b2b.kobi.pl/pl/product/10443,oprawa-do-nadbudowania-oh37-s-czarna-kobi?currency=PLN")</f>
        <v>https://b2b.kobi.pl/pl/product/10443,oprawa-do-nadbudowania-oh37-s-czarna-kobi?currency=PLN</v>
      </c>
      <c r="P367" t="s">
        <v>16</v>
      </c>
      <c r="Q367"/>
    </row>
    <row r="368" spans="1:17" ht="15" x14ac:dyDescent="0.25">
      <c r="A368" t="s">
        <v>5</v>
      </c>
      <c r="B368" t="s">
        <v>55</v>
      </c>
      <c r="C368" t="s">
        <v>858</v>
      </c>
      <c r="D368" t="s">
        <v>1058</v>
      </c>
      <c r="E368" t="s">
        <v>1059</v>
      </c>
      <c r="F368" t="s">
        <v>962</v>
      </c>
      <c r="G368" s="30">
        <v>167.1</v>
      </c>
      <c r="H368" s="29">
        <f>G368*(1-IFERROR(VLOOKUP(F368,Rabat!$D$10:$E$41,2,FALSE),0))</f>
        <v>167.1</v>
      </c>
      <c r="I368" t="s">
        <v>2540</v>
      </c>
      <c r="J368" t="s">
        <v>460</v>
      </c>
      <c r="K368" t="s">
        <v>2538</v>
      </c>
      <c r="L368">
        <v>4</v>
      </c>
      <c r="M368">
        <v>60</v>
      </c>
      <c r="N368" t="s">
        <v>2544</v>
      </c>
      <c r="O368" s="31" t="str">
        <f>HYPERLINK("https://b2b.kobi.pl/pl/product/10564,lampa-ogrodowa-garden-ball-s-1xe27-ip65-kobi?currency=PLN")</f>
        <v>https://b2b.kobi.pl/pl/product/10564,lampa-ogrodowa-garden-ball-s-1xe27-ip65-kobi?currency=PLN</v>
      </c>
      <c r="P368" t="s">
        <v>16</v>
      </c>
      <c r="Q368"/>
    </row>
    <row r="369" spans="1:17" ht="15" x14ac:dyDescent="0.25">
      <c r="A369" t="s">
        <v>5</v>
      </c>
      <c r="B369" t="s">
        <v>55</v>
      </c>
      <c r="C369" t="s">
        <v>858</v>
      </c>
      <c r="D369" t="s">
        <v>1056</v>
      </c>
      <c r="E369" t="s">
        <v>1057</v>
      </c>
      <c r="F369" t="s">
        <v>962</v>
      </c>
      <c r="G369" s="30">
        <v>227.21</v>
      </c>
      <c r="H369" s="29">
        <f>G369*(1-IFERROR(VLOOKUP(F369,Rabat!$D$10:$E$41,2,FALSE),0))</f>
        <v>227.21</v>
      </c>
      <c r="I369" t="s">
        <v>2540</v>
      </c>
      <c r="J369" t="s">
        <v>459</v>
      </c>
      <c r="K369" t="s">
        <v>2538</v>
      </c>
      <c r="L369">
        <v>4</v>
      </c>
      <c r="M369">
        <v>40</v>
      </c>
      <c r="N369" t="s">
        <v>2544</v>
      </c>
      <c r="O369" s="31" t="str">
        <f>HYPERLINK("https://b2b.kobi.pl/pl/product/10563,lampa-ogrodowa-garden-ball-m-1xe27-ip65-kobi?currency=PLN")</f>
        <v>https://b2b.kobi.pl/pl/product/10563,lampa-ogrodowa-garden-ball-m-1xe27-ip65-kobi?currency=PLN</v>
      </c>
      <c r="P369" t="s">
        <v>16</v>
      </c>
      <c r="Q369"/>
    </row>
    <row r="370" spans="1:17" ht="15" x14ac:dyDescent="0.25">
      <c r="A370" t="s">
        <v>5</v>
      </c>
      <c r="B370" t="s">
        <v>55</v>
      </c>
      <c r="C370" t="s">
        <v>858</v>
      </c>
      <c r="D370" t="s">
        <v>1054</v>
      </c>
      <c r="E370" t="s">
        <v>1055</v>
      </c>
      <c r="F370" t="s">
        <v>962</v>
      </c>
      <c r="G370" s="30">
        <v>292.29000000000002</v>
      </c>
      <c r="H370" s="29">
        <f>G370*(1-IFERROR(VLOOKUP(F370,Rabat!$D$10:$E$41,2,FALSE),0))</f>
        <v>292.29000000000002</v>
      </c>
      <c r="I370" t="s">
        <v>2540</v>
      </c>
      <c r="J370" t="s">
        <v>458</v>
      </c>
      <c r="K370" t="s">
        <v>2538</v>
      </c>
      <c r="L370">
        <v>1</v>
      </c>
      <c r="M370">
        <v>24</v>
      </c>
      <c r="N370" t="s">
        <v>2544</v>
      </c>
      <c r="O370" s="31" t="str">
        <f>HYPERLINK("https://b2b.kobi.pl/pl/product/10562,lampa-ogrodowa-garden-ball-l-1xe27-ip65-kobi?currency=PLN")</f>
        <v>https://b2b.kobi.pl/pl/product/10562,lampa-ogrodowa-garden-ball-l-1xe27-ip65-kobi?currency=PLN</v>
      </c>
      <c r="P370" t="s">
        <v>16</v>
      </c>
      <c r="Q370"/>
    </row>
    <row r="371" spans="1:17" ht="15" x14ac:dyDescent="0.25">
      <c r="A371" t="s">
        <v>5</v>
      </c>
      <c r="B371" t="s">
        <v>55</v>
      </c>
      <c r="C371" t="s">
        <v>858</v>
      </c>
      <c r="D371" t="s">
        <v>965</v>
      </c>
      <c r="E371" t="s">
        <v>966</v>
      </c>
      <c r="F371" t="s">
        <v>962</v>
      </c>
      <c r="G371" s="30">
        <v>61.8</v>
      </c>
      <c r="H371" s="29">
        <f>G371*(1-IFERROR(VLOOKUP(F371,Rabat!$D$10:$E$41,2,FALSE),0))</f>
        <v>61.8</v>
      </c>
      <c r="I371" t="s">
        <v>2540</v>
      </c>
      <c r="J371" t="s">
        <v>2553</v>
      </c>
      <c r="K371" t="s">
        <v>2538</v>
      </c>
      <c r="L371">
        <v>10</v>
      </c>
      <c r="M371">
        <v>160</v>
      </c>
      <c r="N371" t="s">
        <v>2544</v>
      </c>
      <c r="O371" s="31" t="str">
        <f>HYPERLINK("https://b2b.kobi.pl/pl/product/10584,kinkiet-ogrodowy-lo4101-1xe27-ip54-bialy-kobi?currency=PLN")</f>
        <v>https://b2b.kobi.pl/pl/product/10584,kinkiet-ogrodowy-lo4101-1xe27-ip54-bialy-kobi?currency=PLN</v>
      </c>
      <c r="P371" t="s">
        <v>16</v>
      </c>
      <c r="Q371"/>
    </row>
    <row r="372" spans="1:17" ht="15" x14ac:dyDescent="0.25">
      <c r="A372" t="s">
        <v>5</v>
      </c>
      <c r="B372" t="s">
        <v>55</v>
      </c>
      <c r="C372" t="s">
        <v>858</v>
      </c>
      <c r="D372" t="s">
        <v>967</v>
      </c>
      <c r="E372" t="s">
        <v>968</v>
      </c>
      <c r="F372" t="s">
        <v>962</v>
      </c>
      <c r="G372" s="30">
        <v>61.8</v>
      </c>
      <c r="H372" s="29">
        <f>G372*(1-IFERROR(VLOOKUP(F372,Rabat!$D$10:$E$41,2,FALSE),0))</f>
        <v>61.8</v>
      </c>
      <c r="I372" t="s">
        <v>2540</v>
      </c>
      <c r="J372" t="s">
        <v>451</v>
      </c>
      <c r="K372" t="s">
        <v>2538</v>
      </c>
      <c r="L372">
        <v>10</v>
      </c>
      <c r="M372">
        <v>160</v>
      </c>
      <c r="N372" t="s">
        <v>2544</v>
      </c>
      <c r="O372" s="31" t="str">
        <f>HYPERLINK("https://b2b.kobi.pl/pl/product/10585,kinkiet-ogrodowy-lo4101-1xe27-ip54-czarny-kobi?currency=PLN")</f>
        <v>https://b2b.kobi.pl/pl/product/10585,kinkiet-ogrodowy-lo4101-1xe27-ip54-czarny-kobi?currency=PLN</v>
      </c>
      <c r="P372" t="s">
        <v>16</v>
      </c>
      <c r="Q372"/>
    </row>
    <row r="373" spans="1:17" ht="15" x14ac:dyDescent="0.25">
      <c r="A373" t="s">
        <v>5</v>
      </c>
      <c r="B373" t="s">
        <v>55</v>
      </c>
      <c r="C373" t="s">
        <v>858</v>
      </c>
      <c r="D373" t="s">
        <v>969</v>
      </c>
      <c r="E373" t="s">
        <v>970</v>
      </c>
      <c r="F373" t="s">
        <v>962</v>
      </c>
      <c r="G373" s="30">
        <v>61.8</v>
      </c>
      <c r="H373" s="29">
        <f>G373*(1-IFERROR(VLOOKUP(F373,Rabat!$D$10:$E$41,2,FALSE),0))</f>
        <v>61.8</v>
      </c>
      <c r="I373" t="s">
        <v>2540</v>
      </c>
      <c r="J373" t="s">
        <v>452</v>
      </c>
      <c r="K373" t="s">
        <v>2538</v>
      </c>
      <c r="L373">
        <v>10</v>
      </c>
      <c r="M373">
        <v>160</v>
      </c>
      <c r="N373" t="s">
        <v>2544</v>
      </c>
      <c r="O373" s="31" t="str">
        <f>HYPERLINK("https://b2b.kobi.pl/pl/product/10587,kinkiet-ogrodowy-lo4101-1xe27-ip54-zloty-kobi?currency=PLN")</f>
        <v>https://b2b.kobi.pl/pl/product/10587,kinkiet-ogrodowy-lo4101-1xe27-ip54-zloty-kobi?currency=PLN</v>
      </c>
      <c r="P373" t="s">
        <v>16</v>
      </c>
      <c r="Q373"/>
    </row>
    <row r="374" spans="1:17" ht="15" x14ac:dyDescent="0.25">
      <c r="A374" t="s">
        <v>5</v>
      </c>
      <c r="B374" t="s">
        <v>55</v>
      </c>
      <c r="C374" t="s">
        <v>858</v>
      </c>
      <c r="D374" t="s">
        <v>971</v>
      </c>
      <c r="E374" t="s">
        <v>972</v>
      </c>
      <c r="F374" t="s">
        <v>962</v>
      </c>
      <c r="G374" s="30">
        <v>61.8</v>
      </c>
      <c r="H374" s="29">
        <f>G374*(1-IFERROR(VLOOKUP(F374,Rabat!$D$10:$E$41,2,FALSE),0))</f>
        <v>61.8</v>
      </c>
      <c r="I374" t="s">
        <v>2540</v>
      </c>
      <c r="J374" t="s">
        <v>2554</v>
      </c>
      <c r="K374" t="s">
        <v>2538</v>
      </c>
      <c r="L374">
        <v>10</v>
      </c>
      <c r="M374">
        <v>160</v>
      </c>
      <c r="N374" t="s">
        <v>2544</v>
      </c>
      <c r="O374" s="31" t="str">
        <f>HYPERLINK("https://b2b.kobi.pl/pl/product/10588,kinkiet-ogrodowy-lo4102-1xe27-ip54-bialy-kobi?currency=PLN")</f>
        <v>https://b2b.kobi.pl/pl/product/10588,kinkiet-ogrodowy-lo4102-1xe27-ip54-bialy-kobi?currency=PLN</v>
      </c>
      <c r="P374" t="s">
        <v>16</v>
      </c>
      <c r="Q374"/>
    </row>
    <row r="375" spans="1:17" ht="15" x14ac:dyDescent="0.25">
      <c r="A375" t="s">
        <v>5</v>
      </c>
      <c r="B375" t="s">
        <v>55</v>
      </c>
      <c r="C375" t="s">
        <v>858</v>
      </c>
      <c r="D375" t="s">
        <v>973</v>
      </c>
      <c r="E375" t="s">
        <v>974</v>
      </c>
      <c r="F375" t="s">
        <v>962</v>
      </c>
      <c r="G375" s="30">
        <v>61.8</v>
      </c>
      <c r="H375" s="29">
        <f>G375*(1-IFERROR(VLOOKUP(F375,Rabat!$D$10:$E$41,2,FALSE),0))</f>
        <v>61.8</v>
      </c>
      <c r="I375" t="s">
        <v>2540</v>
      </c>
      <c r="J375" t="s">
        <v>443</v>
      </c>
      <c r="K375" t="s">
        <v>2538</v>
      </c>
      <c r="L375">
        <v>10</v>
      </c>
      <c r="M375">
        <v>160</v>
      </c>
      <c r="N375" t="s">
        <v>2544</v>
      </c>
      <c r="O375" s="31" t="str">
        <f>HYPERLINK("https://b2b.kobi.pl/pl/product/10589,kinkiet-ogrodowy-lo4102-1xe27-ip54-czarny-kobi?currency=PLN")</f>
        <v>https://b2b.kobi.pl/pl/product/10589,kinkiet-ogrodowy-lo4102-1xe27-ip54-czarny-kobi?currency=PLN</v>
      </c>
      <c r="P375" t="s">
        <v>16</v>
      </c>
      <c r="Q375"/>
    </row>
    <row r="376" spans="1:17" ht="15" x14ac:dyDescent="0.25">
      <c r="A376" t="s">
        <v>5</v>
      </c>
      <c r="B376" t="s">
        <v>55</v>
      </c>
      <c r="C376" t="s">
        <v>858</v>
      </c>
      <c r="D376" t="s">
        <v>975</v>
      </c>
      <c r="E376" t="s">
        <v>976</v>
      </c>
      <c r="F376" t="s">
        <v>962</v>
      </c>
      <c r="G376" s="30">
        <v>61.8</v>
      </c>
      <c r="H376" s="29">
        <f>G376*(1-IFERROR(VLOOKUP(F376,Rabat!$D$10:$E$41,2,FALSE),0))</f>
        <v>61.8</v>
      </c>
      <c r="I376" t="s">
        <v>2540</v>
      </c>
      <c r="J376" t="s">
        <v>444</v>
      </c>
      <c r="K376" t="s">
        <v>2538</v>
      </c>
      <c r="L376">
        <v>10</v>
      </c>
      <c r="M376">
        <v>160</v>
      </c>
      <c r="N376" t="s">
        <v>2544</v>
      </c>
      <c r="O376" s="31" t="str">
        <f>HYPERLINK("https://b2b.kobi.pl/pl/product/10591,kinkiet-ogrodowy-lo4102-1xe27-ip54-zloty-kobi?currency=PLN")</f>
        <v>https://b2b.kobi.pl/pl/product/10591,kinkiet-ogrodowy-lo4102-1xe27-ip54-zloty-kobi?currency=PLN</v>
      </c>
      <c r="P376" t="s">
        <v>16</v>
      </c>
      <c r="Q376"/>
    </row>
    <row r="377" spans="1:17" ht="15" x14ac:dyDescent="0.25">
      <c r="A377" t="s">
        <v>5</v>
      </c>
      <c r="B377" t="s">
        <v>55</v>
      </c>
      <c r="C377" t="s">
        <v>858</v>
      </c>
      <c r="D377" t="s">
        <v>1875</v>
      </c>
      <c r="E377" t="s">
        <v>1876</v>
      </c>
      <c r="F377" t="s">
        <v>962</v>
      </c>
      <c r="G377" s="30">
        <v>84.85</v>
      </c>
      <c r="H377" s="29">
        <f>G377*(1-IFERROR(VLOOKUP(F377,Rabat!$D$10:$E$41,2,FALSE),0))</f>
        <v>84.85</v>
      </c>
      <c r="I377" t="s">
        <v>2540</v>
      </c>
      <c r="J377" t="s">
        <v>2624</v>
      </c>
      <c r="K377" t="s">
        <v>2538</v>
      </c>
      <c r="L377">
        <v>10</v>
      </c>
      <c r="M377"/>
      <c r="N377" t="s">
        <v>2544</v>
      </c>
      <c r="O377" s="31" t="str">
        <f>HYPERLINK("https://b2b.kobi.pl/pl/product/10595,slupek-ogrodowy-lo4104-1xe27-ip44-zloty-kobi?currency=PLN")</f>
        <v>https://b2b.kobi.pl/pl/product/10595,slupek-ogrodowy-lo4104-1xe27-ip44-zloty-kobi?currency=PLN</v>
      </c>
      <c r="P377" t="s">
        <v>16</v>
      </c>
      <c r="Q377" t="s">
        <v>2700</v>
      </c>
    </row>
    <row r="378" spans="1:17" ht="15" x14ac:dyDescent="0.25">
      <c r="A378" t="s">
        <v>5</v>
      </c>
      <c r="B378" t="s">
        <v>55</v>
      </c>
      <c r="C378" t="s">
        <v>858</v>
      </c>
      <c r="D378" t="s">
        <v>1213</v>
      </c>
      <c r="E378" t="s">
        <v>1214</v>
      </c>
      <c r="F378" t="s">
        <v>962</v>
      </c>
      <c r="G378" s="30">
        <v>61.8</v>
      </c>
      <c r="H378" s="29">
        <f>G378*(1-IFERROR(VLOOKUP(F378,Rabat!$D$10:$E$41,2,FALSE),0))</f>
        <v>61.8</v>
      </c>
      <c r="I378" t="s">
        <v>2540</v>
      </c>
      <c r="J378" t="s">
        <v>2580</v>
      </c>
      <c r="K378" t="s">
        <v>2538</v>
      </c>
      <c r="L378">
        <v>10</v>
      </c>
      <c r="M378">
        <v>160</v>
      </c>
      <c r="N378" t="s">
        <v>2544</v>
      </c>
      <c r="O378" s="31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378" t="s">
        <v>16</v>
      </c>
      <c r="Q378"/>
    </row>
    <row r="379" spans="1:17" ht="15" x14ac:dyDescent="0.25">
      <c r="A379" t="s">
        <v>5</v>
      </c>
      <c r="B379" t="s">
        <v>55</v>
      </c>
      <c r="C379" t="s">
        <v>858</v>
      </c>
      <c r="D379" t="s">
        <v>1215</v>
      </c>
      <c r="E379" t="s">
        <v>1216</v>
      </c>
      <c r="F379" t="s">
        <v>962</v>
      </c>
      <c r="G379" s="30">
        <v>61.8</v>
      </c>
      <c r="H379" s="29">
        <f>G379*(1-IFERROR(VLOOKUP(F379,Rabat!$D$10:$E$41,2,FALSE),0))</f>
        <v>61.8</v>
      </c>
      <c r="I379" t="s">
        <v>2540</v>
      </c>
      <c r="J379" t="s">
        <v>466</v>
      </c>
      <c r="K379" t="s">
        <v>2538</v>
      </c>
      <c r="L379">
        <v>10</v>
      </c>
      <c r="M379">
        <v>160</v>
      </c>
      <c r="N379" t="s">
        <v>2544</v>
      </c>
      <c r="O379" s="31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379" t="s">
        <v>16</v>
      </c>
      <c r="Q379"/>
    </row>
    <row r="380" spans="1:17" ht="15" x14ac:dyDescent="0.25">
      <c r="A380" t="s">
        <v>5</v>
      </c>
      <c r="B380" t="s">
        <v>55</v>
      </c>
      <c r="C380" t="s">
        <v>858</v>
      </c>
      <c r="D380" t="s">
        <v>1219</v>
      </c>
      <c r="E380" t="s">
        <v>1220</v>
      </c>
      <c r="F380" t="s">
        <v>962</v>
      </c>
      <c r="G380" s="30">
        <v>61.8</v>
      </c>
      <c r="H380" s="29">
        <f>G380*(1-IFERROR(VLOOKUP(F380,Rabat!$D$10:$E$41,2,FALSE),0))</f>
        <v>61.8</v>
      </c>
      <c r="I380" t="s">
        <v>2540</v>
      </c>
      <c r="J380" t="s">
        <v>467</v>
      </c>
      <c r="K380" t="s">
        <v>2538</v>
      </c>
      <c r="L380">
        <v>10</v>
      </c>
      <c r="M380">
        <v>160</v>
      </c>
      <c r="N380" t="s">
        <v>2544</v>
      </c>
      <c r="O380" s="31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380" t="s">
        <v>16</v>
      </c>
      <c r="Q380"/>
    </row>
    <row r="381" spans="1:17" ht="15" x14ac:dyDescent="0.25">
      <c r="A381" t="s">
        <v>5</v>
      </c>
      <c r="B381" t="s">
        <v>55</v>
      </c>
      <c r="C381" t="s">
        <v>858</v>
      </c>
      <c r="D381" t="s">
        <v>1217</v>
      </c>
      <c r="E381" t="s">
        <v>1218</v>
      </c>
      <c r="F381" t="s">
        <v>962</v>
      </c>
      <c r="G381" s="30">
        <v>97.96</v>
      </c>
      <c r="H381" s="29">
        <f>G381*(1-IFERROR(VLOOKUP(F381,Rabat!$D$10:$E$41,2,FALSE),0))</f>
        <v>97.96</v>
      </c>
      <c r="I381" t="s">
        <v>2540</v>
      </c>
      <c r="J381" t="s">
        <v>2581</v>
      </c>
      <c r="K381" t="s">
        <v>2538</v>
      </c>
      <c r="L381">
        <v>10</v>
      </c>
      <c r="M381">
        <v>160</v>
      </c>
      <c r="N381" t="s">
        <v>2544</v>
      </c>
      <c r="O381" s="31" t="str">
        <f>HYPERLINK("https://b2b.kobi.pl/pl/product/10598,lampa-wiszaca-ogrodowa-lo4105-1xe27-ip54-czarno-zlota-kobi?currency=PLN")</f>
        <v>https://b2b.kobi.pl/pl/product/10598,lampa-wiszaca-ogrodowa-lo4105-1xe27-ip54-czarno-zlota-kobi?currency=PLN</v>
      </c>
      <c r="P381" t="s">
        <v>16</v>
      </c>
      <c r="Q381" t="s">
        <v>2700</v>
      </c>
    </row>
    <row r="382" spans="1:17" ht="15" x14ac:dyDescent="0.25">
      <c r="A382" t="s">
        <v>5</v>
      </c>
      <c r="B382" t="s">
        <v>55</v>
      </c>
      <c r="C382" t="s">
        <v>858</v>
      </c>
      <c r="D382" t="s">
        <v>2502</v>
      </c>
      <c r="E382" t="s">
        <v>2503</v>
      </c>
      <c r="F382" t="s">
        <v>962</v>
      </c>
      <c r="G382" s="30">
        <v>214</v>
      </c>
      <c r="H382" s="29">
        <f>G382*(1-IFERROR(VLOOKUP(F382,Rabat!$D$10:$E$41,2,FALSE),0))</f>
        <v>214</v>
      </c>
      <c r="I382" t="s">
        <v>2540</v>
      </c>
      <c r="J382" t="s">
        <v>453</v>
      </c>
      <c r="K382" t="s">
        <v>2538</v>
      </c>
      <c r="L382">
        <v>10</v>
      </c>
      <c r="M382">
        <v>240</v>
      </c>
      <c r="N382" t="s">
        <v>2544</v>
      </c>
      <c r="O382" s="31" t="str">
        <f>HYPERLINK("https://b2b.kobi.pl/pl/product/10622,kinkiet-ogrodowy-quazar-4-2xgu10-ip44-czarny-kobi?currency=PLN")</f>
        <v>https://b2b.kobi.pl/pl/product/10622,kinkiet-ogrodowy-quazar-4-2xgu10-ip44-czarny-kobi?currency=PLN</v>
      </c>
      <c r="P382" t="s">
        <v>16</v>
      </c>
      <c r="Q382" t="s">
        <v>2700</v>
      </c>
    </row>
    <row r="383" spans="1:17" ht="15" x14ac:dyDescent="0.25">
      <c r="A383" t="s">
        <v>5</v>
      </c>
      <c r="B383" t="s">
        <v>55</v>
      </c>
      <c r="C383" t="s">
        <v>858</v>
      </c>
      <c r="D383" t="s">
        <v>977</v>
      </c>
      <c r="E383" t="s">
        <v>978</v>
      </c>
      <c r="F383" t="s">
        <v>962</v>
      </c>
      <c r="G383" s="30">
        <v>173.07</v>
      </c>
      <c r="H383" s="29">
        <f>G383*(1-IFERROR(VLOOKUP(F383,Rabat!$D$10:$E$41,2,FALSE),0))</f>
        <v>173.07</v>
      </c>
      <c r="I383" t="s">
        <v>2540</v>
      </c>
      <c r="J383" t="s">
        <v>454</v>
      </c>
      <c r="K383" t="s">
        <v>2538</v>
      </c>
      <c r="L383">
        <v>12</v>
      </c>
      <c r="M383">
        <v>480</v>
      </c>
      <c r="N383" t="s">
        <v>2544</v>
      </c>
      <c r="O383" s="31" t="str">
        <f>HYPERLINK("https://b2b.kobi.pl/pl/product/10624,kinkiet-ogrodowy-quazar-7-2xgu10-ip44-czarny-kobi?currency=PLN")</f>
        <v>https://b2b.kobi.pl/pl/product/10624,kinkiet-ogrodowy-quazar-7-2xgu10-ip44-czarny-kobi?currency=PLN</v>
      </c>
      <c r="P383" t="s">
        <v>16</v>
      </c>
      <c r="Q383"/>
    </row>
    <row r="384" spans="1:17" ht="15" x14ac:dyDescent="0.25">
      <c r="A384" t="s">
        <v>5</v>
      </c>
      <c r="B384" t="s">
        <v>55</v>
      </c>
      <c r="C384" t="s">
        <v>858</v>
      </c>
      <c r="D384" t="s">
        <v>979</v>
      </c>
      <c r="E384" t="s">
        <v>980</v>
      </c>
      <c r="F384" t="s">
        <v>962</v>
      </c>
      <c r="G384" s="30">
        <v>173.07</v>
      </c>
      <c r="H384" s="29">
        <f>G384*(1-IFERROR(VLOOKUP(F384,Rabat!$D$10:$E$41,2,FALSE),0))</f>
        <v>173.07</v>
      </c>
      <c r="I384" t="s">
        <v>2540</v>
      </c>
      <c r="J384" t="s">
        <v>455</v>
      </c>
      <c r="K384" t="s">
        <v>2538</v>
      </c>
      <c r="L384">
        <v>12</v>
      </c>
      <c r="M384">
        <v>384</v>
      </c>
      <c r="N384" t="s">
        <v>2544</v>
      </c>
      <c r="O384" s="31" t="str">
        <f>HYPERLINK("https://b2b.kobi.pl/pl/product/10625,kinkiet-ogrodowy-quazar-7-2xgu10-ip44-szary-kobi?currency=PLN")</f>
        <v>https://b2b.kobi.pl/pl/product/10625,kinkiet-ogrodowy-quazar-7-2xgu10-ip44-szary-kobi?currency=PLN</v>
      </c>
      <c r="P384" t="s">
        <v>16</v>
      </c>
      <c r="Q384"/>
    </row>
    <row r="385" spans="1:17" ht="15" x14ac:dyDescent="0.25">
      <c r="A385" t="s">
        <v>5</v>
      </c>
      <c r="B385" t="s">
        <v>55</v>
      </c>
      <c r="C385" t="s">
        <v>858</v>
      </c>
      <c r="D385" t="s">
        <v>983</v>
      </c>
      <c r="E385" t="s">
        <v>984</v>
      </c>
      <c r="F385" t="s">
        <v>962</v>
      </c>
      <c r="G385" s="30">
        <v>118.18</v>
      </c>
      <c r="H385" s="29">
        <f>G385*(1-IFERROR(VLOOKUP(F385,Rabat!$D$10:$E$41,2,FALSE),0))</f>
        <v>118.18</v>
      </c>
      <c r="I385" t="s">
        <v>2540</v>
      </c>
      <c r="J385" t="s">
        <v>447</v>
      </c>
      <c r="K385" t="s">
        <v>2538</v>
      </c>
      <c r="L385">
        <v>16</v>
      </c>
      <c r="M385">
        <v>576</v>
      </c>
      <c r="N385" t="s">
        <v>2544</v>
      </c>
      <c r="O385" s="31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385" t="s">
        <v>16</v>
      </c>
      <c r="Q385"/>
    </row>
    <row r="386" spans="1:17" ht="15" x14ac:dyDescent="0.25">
      <c r="A386" t="s">
        <v>5</v>
      </c>
      <c r="B386" t="s">
        <v>55</v>
      </c>
      <c r="C386" t="s">
        <v>858</v>
      </c>
      <c r="D386" t="s">
        <v>985</v>
      </c>
      <c r="E386" t="s">
        <v>986</v>
      </c>
      <c r="F386" t="s">
        <v>962</v>
      </c>
      <c r="G386" s="30">
        <v>118.18</v>
      </c>
      <c r="H386" s="29">
        <f>G386*(1-IFERROR(VLOOKUP(F386,Rabat!$D$10:$E$41,2,FALSE),0))</f>
        <v>118.18</v>
      </c>
      <c r="I386" t="s">
        <v>2540</v>
      </c>
      <c r="J386" t="s">
        <v>448</v>
      </c>
      <c r="K386" t="s">
        <v>2538</v>
      </c>
      <c r="L386">
        <v>16</v>
      </c>
      <c r="M386">
        <v>576</v>
      </c>
      <c r="N386" t="s">
        <v>2544</v>
      </c>
      <c r="O386" s="31" t="str">
        <f>HYPERLINK("https://b2b.kobi.pl/pl/product/10603,kinkiet-ogrodowy-quazar-11-1xgu10-ip44-szary-kobi?currency=PLN")</f>
        <v>https://b2b.kobi.pl/pl/product/10603,kinkiet-ogrodowy-quazar-11-1xgu10-ip44-szary-kobi?currency=PLN</v>
      </c>
      <c r="P386" t="s">
        <v>16</v>
      </c>
      <c r="Q386"/>
    </row>
    <row r="387" spans="1:17" ht="15" x14ac:dyDescent="0.25">
      <c r="A387" t="s">
        <v>5</v>
      </c>
      <c r="B387" t="s">
        <v>55</v>
      </c>
      <c r="C387" t="s">
        <v>858</v>
      </c>
      <c r="D387" t="s">
        <v>1877</v>
      </c>
      <c r="E387" t="s">
        <v>1878</v>
      </c>
      <c r="F387" t="s">
        <v>962</v>
      </c>
      <c r="G387" s="30">
        <v>304.68</v>
      </c>
      <c r="H387" s="29">
        <f>G387*(1-IFERROR(VLOOKUP(F387,Rabat!$D$10:$E$41,2,FALSE),0))</f>
        <v>304.68</v>
      </c>
      <c r="I387" t="s">
        <v>2540</v>
      </c>
      <c r="J387" t="s">
        <v>464</v>
      </c>
      <c r="K387" t="s">
        <v>2538</v>
      </c>
      <c r="L387">
        <v>6</v>
      </c>
      <c r="M387">
        <v>48</v>
      </c>
      <c r="N387" t="s">
        <v>2544</v>
      </c>
      <c r="O387" s="31" t="str">
        <f>HYPERLINK("https://b2b.kobi.pl/pl/product/10604,slupek-ogrodowy-quazar-12-1xgu10-ip44-czarny-kobi?currency=PLN")</f>
        <v>https://b2b.kobi.pl/pl/product/10604,slupek-ogrodowy-quazar-12-1xgu10-ip44-czarny-kobi?currency=PLN</v>
      </c>
      <c r="P387" t="s">
        <v>16</v>
      </c>
      <c r="Q387"/>
    </row>
    <row r="388" spans="1:17" ht="15" x14ac:dyDescent="0.25">
      <c r="A388" t="s">
        <v>5</v>
      </c>
      <c r="B388" t="s">
        <v>55</v>
      </c>
      <c r="C388" t="s">
        <v>858</v>
      </c>
      <c r="D388" t="s">
        <v>1879</v>
      </c>
      <c r="E388" t="s">
        <v>1880</v>
      </c>
      <c r="F388" t="s">
        <v>962</v>
      </c>
      <c r="G388" s="30">
        <v>304.68</v>
      </c>
      <c r="H388" s="29">
        <f>G388*(1-IFERROR(VLOOKUP(F388,Rabat!$D$10:$E$41,2,FALSE),0))</f>
        <v>304.68</v>
      </c>
      <c r="I388" t="s">
        <v>2540</v>
      </c>
      <c r="J388" t="s">
        <v>465</v>
      </c>
      <c r="K388" t="s">
        <v>2538</v>
      </c>
      <c r="L388">
        <v>6</v>
      </c>
      <c r="M388">
        <v>48</v>
      </c>
      <c r="N388" t="s">
        <v>2544</v>
      </c>
      <c r="O388" s="31" t="str">
        <f>HYPERLINK("https://b2b.kobi.pl/pl/product/10605,slupek-ogrodowy-quazar-12-1xgu10-ip44-szary-kobi?currency=PLN")</f>
        <v>https://b2b.kobi.pl/pl/product/10605,slupek-ogrodowy-quazar-12-1xgu10-ip44-szary-kobi?currency=PLN</v>
      </c>
      <c r="P388" t="s">
        <v>16</v>
      </c>
      <c r="Q388"/>
    </row>
    <row r="389" spans="1:17" ht="15" x14ac:dyDescent="0.25">
      <c r="A389" t="s">
        <v>5</v>
      </c>
      <c r="B389" t="s">
        <v>55</v>
      </c>
      <c r="C389" t="s">
        <v>858</v>
      </c>
      <c r="D389" t="s">
        <v>2498</v>
      </c>
      <c r="E389" t="s">
        <v>2499</v>
      </c>
      <c r="F389" t="s">
        <v>962</v>
      </c>
      <c r="G389" s="30">
        <v>155.01</v>
      </c>
      <c r="H389" s="29">
        <f>G389*(1-IFERROR(VLOOKUP(F389,Rabat!$D$10:$E$41,2,FALSE),0))</f>
        <v>155.01</v>
      </c>
      <c r="I389" t="s">
        <v>2540</v>
      </c>
      <c r="J389" t="s">
        <v>2675</v>
      </c>
      <c r="K389" t="s">
        <v>2538</v>
      </c>
      <c r="L389">
        <v>12</v>
      </c>
      <c r="M389">
        <v>480</v>
      </c>
      <c r="N389" t="s">
        <v>2544</v>
      </c>
      <c r="O389" s="31" t="str">
        <f>HYPERLINK("https://b2b.kobi.pl/pl/product/10607,kinkiet-ogrodowy-quazar-13-1xgu10-lx-ip44-szary-kobi?currency=PLN")</f>
        <v>https://b2b.kobi.pl/pl/product/10607,kinkiet-ogrodowy-quazar-13-1xgu10-lx-ip44-szary-kobi?currency=PLN</v>
      </c>
      <c r="P389" t="s">
        <v>16</v>
      </c>
      <c r="Q389" t="s">
        <v>2700</v>
      </c>
    </row>
    <row r="390" spans="1:17" ht="15" x14ac:dyDescent="0.25">
      <c r="A390" t="s">
        <v>5</v>
      </c>
      <c r="B390" t="s">
        <v>55</v>
      </c>
      <c r="C390" t="s">
        <v>858</v>
      </c>
      <c r="D390" t="s">
        <v>2500</v>
      </c>
      <c r="E390" t="s">
        <v>2501</v>
      </c>
      <c r="F390" t="s">
        <v>962</v>
      </c>
      <c r="G390" s="30">
        <v>207.96</v>
      </c>
      <c r="H390" s="29">
        <f>G390*(1-IFERROR(VLOOKUP(F390,Rabat!$D$10:$E$41,2,FALSE),0))</f>
        <v>207.96</v>
      </c>
      <c r="I390" t="s">
        <v>2540</v>
      </c>
      <c r="J390" t="s">
        <v>2676</v>
      </c>
      <c r="K390" t="s">
        <v>2538</v>
      </c>
      <c r="L390">
        <v>6</v>
      </c>
      <c r="M390">
        <v>60</v>
      </c>
      <c r="N390" t="s">
        <v>2544</v>
      </c>
      <c r="O390" s="31" t="str">
        <f>HYPERLINK("https://b2b.kobi.pl/pl/product/10608,slupek-ogrodowy-quazar-14-1xgu10-ip44-czarny-kobi?currency=PLN")</f>
        <v>https://b2b.kobi.pl/pl/product/10608,slupek-ogrodowy-quazar-14-1xgu10-ip44-czarny-kobi?currency=PLN</v>
      </c>
      <c r="P390" t="s">
        <v>16</v>
      </c>
      <c r="Q390" t="s">
        <v>2700</v>
      </c>
    </row>
    <row r="391" spans="1:17" ht="15" x14ac:dyDescent="0.25">
      <c r="A391" t="s">
        <v>5</v>
      </c>
      <c r="B391" t="s">
        <v>55</v>
      </c>
      <c r="C391" t="s">
        <v>858</v>
      </c>
      <c r="D391" t="s">
        <v>987</v>
      </c>
      <c r="E391" t="s">
        <v>988</v>
      </c>
      <c r="F391" t="s">
        <v>962</v>
      </c>
      <c r="G391" s="30">
        <v>105</v>
      </c>
      <c r="H391" s="29">
        <f>G391*(1-IFERROR(VLOOKUP(F391,Rabat!$D$10:$E$41,2,FALSE),0))</f>
        <v>105</v>
      </c>
      <c r="I391" t="s">
        <v>2540</v>
      </c>
      <c r="J391" t="s">
        <v>445</v>
      </c>
      <c r="K391" t="s">
        <v>2538</v>
      </c>
      <c r="L391">
        <v>24</v>
      </c>
      <c r="M391">
        <v>864</v>
      </c>
      <c r="N391" t="s">
        <v>2544</v>
      </c>
      <c r="O391" s="31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391" t="s">
        <v>16</v>
      </c>
      <c r="Q391"/>
    </row>
    <row r="392" spans="1:17" ht="15" x14ac:dyDescent="0.25">
      <c r="A392" t="s">
        <v>5</v>
      </c>
      <c r="B392" t="s">
        <v>55</v>
      </c>
      <c r="C392" t="s">
        <v>858</v>
      </c>
      <c r="D392" t="s">
        <v>989</v>
      </c>
      <c r="E392" t="s">
        <v>990</v>
      </c>
      <c r="F392" t="s">
        <v>962</v>
      </c>
      <c r="G392" s="30">
        <v>105</v>
      </c>
      <c r="H392" s="29">
        <f>G392*(1-IFERROR(VLOOKUP(F392,Rabat!$D$10:$E$41,2,FALSE),0))</f>
        <v>105</v>
      </c>
      <c r="I392" t="s">
        <v>2540</v>
      </c>
      <c r="J392" t="s">
        <v>446</v>
      </c>
      <c r="K392" t="s">
        <v>2538</v>
      </c>
      <c r="L392">
        <v>24</v>
      </c>
      <c r="M392">
        <v>864</v>
      </c>
      <c r="N392" t="s">
        <v>2544</v>
      </c>
      <c r="O392" s="31" t="str">
        <f>HYPERLINK("https://b2b.kobi.pl/pl/product/10615,kinkiet-ogrodowy-quazar-15-1xgu10-ip44-szary-kobi?currency=PLN")</f>
        <v>https://b2b.kobi.pl/pl/product/10615,kinkiet-ogrodowy-quazar-15-1xgu10-ip44-szary-kobi?currency=PLN</v>
      </c>
      <c r="P392" t="s">
        <v>16</v>
      </c>
      <c r="Q392"/>
    </row>
    <row r="393" spans="1:17" ht="15" x14ac:dyDescent="0.25">
      <c r="A393" t="s">
        <v>5</v>
      </c>
      <c r="B393" t="s">
        <v>55</v>
      </c>
      <c r="C393" t="s">
        <v>858</v>
      </c>
      <c r="D393" t="s">
        <v>2717</v>
      </c>
      <c r="E393" t="s">
        <v>1009</v>
      </c>
      <c r="F393" t="s">
        <v>962</v>
      </c>
      <c r="G393" s="30">
        <v>195</v>
      </c>
      <c r="H393" s="29">
        <f>G393*(1-IFERROR(VLOOKUP(F393,Rabat!$D$10:$E$41,2,FALSE),0))</f>
        <v>195</v>
      </c>
      <c r="I393" t="s">
        <v>2540</v>
      </c>
      <c r="J393" t="s">
        <v>449</v>
      </c>
      <c r="K393" t="s">
        <v>2538</v>
      </c>
      <c r="L393">
        <v>16</v>
      </c>
      <c r="M393">
        <v>576</v>
      </c>
      <c r="N393" t="s">
        <v>2544</v>
      </c>
      <c r="O393" s="31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393" t="s">
        <v>16</v>
      </c>
      <c r="Q393"/>
    </row>
    <row r="394" spans="1:17" ht="15" x14ac:dyDescent="0.25">
      <c r="A394" t="s">
        <v>5</v>
      </c>
      <c r="B394" t="s">
        <v>55</v>
      </c>
      <c r="C394" t="s">
        <v>858</v>
      </c>
      <c r="D394" t="s">
        <v>2718</v>
      </c>
      <c r="E394" t="s">
        <v>1010</v>
      </c>
      <c r="F394" t="s">
        <v>962</v>
      </c>
      <c r="G394" s="30">
        <v>195</v>
      </c>
      <c r="H394" s="29">
        <f>G394*(1-IFERROR(VLOOKUP(F394,Rabat!$D$10:$E$41,2,FALSE),0))</f>
        <v>195</v>
      </c>
      <c r="I394" t="s">
        <v>2540</v>
      </c>
      <c r="J394" t="s">
        <v>450</v>
      </c>
      <c r="K394" t="s">
        <v>2538</v>
      </c>
      <c r="L394">
        <v>16</v>
      </c>
      <c r="M394">
        <v>576</v>
      </c>
      <c r="N394" t="s">
        <v>2544</v>
      </c>
      <c r="O394" s="31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394" t="s">
        <v>16</v>
      </c>
      <c r="Q394"/>
    </row>
    <row r="395" spans="1:17" ht="15" x14ac:dyDescent="0.25">
      <c r="A395" t="s">
        <v>5</v>
      </c>
      <c r="B395" t="s">
        <v>55</v>
      </c>
      <c r="C395" t="s">
        <v>858</v>
      </c>
      <c r="D395" t="s">
        <v>1881</v>
      </c>
      <c r="E395" t="s">
        <v>1882</v>
      </c>
      <c r="F395" t="s">
        <v>962</v>
      </c>
      <c r="G395" s="30">
        <v>259</v>
      </c>
      <c r="H395" s="29">
        <f>G395*(1-IFERROR(VLOOKUP(F395,Rabat!$D$10:$E$41,2,FALSE),0))</f>
        <v>259</v>
      </c>
      <c r="I395" t="s">
        <v>2540</v>
      </c>
      <c r="J395" t="s">
        <v>462</v>
      </c>
      <c r="K395" t="s">
        <v>2538</v>
      </c>
      <c r="L395">
        <v>6</v>
      </c>
      <c r="M395">
        <v>60</v>
      </c>
      <c r="N395" t="s">
        <v>2544</v>
      </c>
      <c r="O395" s="31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395" t="s">
        <v>16</v>
      </c>
      <c r="Q395"/>
    </row>
    <row r="396" spans="1:17" ht="15" x14ac:dyDescent="0.25">
      <c r="A396" t="s">
        <v>5</v>
      </c>
      <c r="B396" t="s">
        <v>55</v>
      </c>
      <c r="C396" t="s">
        <v>858</v>
      </c>
      <c r="D396" t="s">
        <v>1883</v>
      </c>
      <c r="E396" t="s">
        <v>1884</v>
      </c>
      <c r="F396" t="s">
        <v>962</v>
      </c>
      <c r="G396" s="30">
        <v>204.45</v>
      </c>
      <c r="H396" s="29">
        <f>G396*(1-IFERROR(VLOOKUP(F396,Rabat!$D$10:$E$41,2,FALSE),0))</f>
        <v>204.45</v>
      </c>
      <c r="I396" t="s">
        <v>2540</v>
      </c>
      <c r="J396" t="s">
        <v>463</v>
      </c>
      <c r="K396" t="s">
        <v>2538</v>
      </c>
      <c r="L396">
        <v>6</v>
      </c>
      <c r="M396">
        <v>60</v>
      </c>
      <c r="N396" t="s">
        <v>2544</v>
      </c>
      <c r="O396" s="31" t="str">
        <f>HYPERLINK("https://b2b.kobi.pl/pl/product/10614,slupek-ogrodowy-quazar-15s-1xgu10-ip44-szary-kobi?currency=PLN")</f>
        <v>https://b2b.kobi.pl/pl/product/10614,slupek-ogrodowy-quazar-15s-1xgu10-ip44-szary-kobi?currency=PLN</v>
      </c>
      <c r="P396" t="s">
        <v>16</v>
      </c>
      <c r="Q396"/>
    </row>
    <row r="397" spans="1:17" ht="15" x14ac:dyDescent="0.25">
      <c r="A397" t="s">
        <v>5</v>
      </c>
      <c r="B397" t="s">
        <v>55</v>
      </c>
      <c r="C397" t="s">
        <v>858</v>
      </c>
      <c r="D397" t="s">
        <v>991</v>
      </c>
      <c r="E397" t="s">
        <v>992</v>
      </c>
      <c r="F397" t="s">
        <v>962</v>
      </c>
      <c r="G397" s="30">
        <v>83.12</v>
      </c>
      <c r="H397" s="29">
        <f>G397*(1-IFERROR(VLOOKUP(F397,Rabat!$D$10:$E$41,2,FALSE),0))</f>
        <v>83.12</v>
      </c>
      <c r="I397" t="s">
        <v>2540</v>
      </c>
      <c r="J397" t="s">
        <v>2555</v>
      </c>
      <c r="K397" t="s">
        <v>2538</v>
      </c>
      <c r="L397">
        <v>24</v>
      </c>
      <c r="M397"/>
      <c r="N397" t="s">
        <v>2544</v>
      </c>
      <c r="O397" s="31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397" t="s">
        <v>16</v>
      </c>
      <c r="Q397" t="s">
        <v>2700</v>
      </c>
    </row>
    <row r="398" spans="1:17" ht="15" x14ac:dyDescent="0.25">
      <c r="A398" t="s">
        <v>5</v>
      </c>
      <c r="B398" t="s">
        <v>55</v>
      </c>
      <c r="C398" t="s">
        <v>858</v>
      </c>
      <c r="D398" t="s">
        <v>1060</v>
      </c>
      <c r="E398" t="s">
        <v>1061</v>
      </c>
      <c r="F398" t="s">
        <v>962</v>
      </c>
      <c r="G398" s="30">
        <v>98</v>
      </c>
      <c r="H398" s="29">
        <f>G398*(1-IFERROR(VLOOKUP(F398,Rabat!$D$10:$E$41,2,FALSE),0))</f>
        <v>98</v>
      </c>
      <c r="I398" t="s">
        <v>2540</v>
      </c>
      <c r="J398" t="s">
        <v>461</v>
      </c>
      <c r="K398" t="s">
        <v>2538</v>
      </c>
      <c r="L398">
        <v>24</v>
      </c>
      <c r="M398">
        <v>720</v>
      </c>
      <c r="N398" t="s">
        <v>2544</v>
      </c>
      <c r="O398" s="31" t="str">
        <f>HYPERLINK("https://b2b.kobi.pl/pl/product/10618,lampa-ogrodowa-quazar-17-1xgu10-ip44-szara-kobi?currency=PLN")</f>
        <v>https://b2b.kobi.pl/pl/product/10618,lampa-ogrodowa-quazar-17-1xgu10-ip44-szara-kobi?currency=PLN</v>
      </c>
      <c r="P398" t="s">
        <v>16</v>
      </c>
      <c r="Q398" t="s">
        <v>2700</v>
      </c>
    </row>
    <row r="399" spans="1:17" ht="15" x14ac:dyDescent="0.25">
      <c r="A399" t="s">
        <v>5</v>
      </c>
      <c r="B399" t="s">
        <v>55</v>
      </c>
      <c r="C399" t="s">
        <v>44</v>
      </c>
      <c r="D399" t="s">
        <v>1062</v>
      </c>
      <c r="E399" t="s">
        <v>1063</v>
      </c>
      <c r="F399" t="s">
        <v>962</v>
      </c>
      <c r="G399" s="30">
        <v>69.400000000000006</v>
      </c>
      <c r="H399" s="29">
        <f>G399*(1-IFERROR(VLOOKUP(F399,Rabat!$D$10:$E$41,2,FALSE),0))</f>
        <v>69.400000000000006</v>
      </c>
      <c r="I399" t="s">
        <v>2540</v>
      </c>
      <c r="J399" t="s">
        <v>502</v>
      </c>
      <c r="K399" t="s">
        <v>2538</v>
      </c>
      <c r="L399">
        <v>30</v>
      </c>
      <c r="M399"/>
      <c r="N399" t="s">
        <v>2544</v>
      </c>
      <c r="O399" s="31" t="str">
        <f>HYPERLINK("https://b2b.kobi.pl/pl/product/10642,lampa-ogrodowa-querk-1-1xgu10-ip54-czarna-led2b?currency=PLN")</f>
        <v>https://b2b.kobi.pl/pl/product/10642,lampa-ogrodowa-querk-1-1xgu10-ip54-czarna-led2b?currency=PLN</v>
      </c>
      <c r="P399" t="s">
        <v>16</v>
      </c>
      <c r="Q399"/>
    </row>
    <row r="400" spans="1:17" ht="15" x14ac:dyDescent="0.25">
      <c r="A400" t="s">
        <v>5</v>
      </c>
      <c r="B400" t="s">
        <v>55</v>
      </c>
      <c r="C400" t="s">
        <v>44</v>
      </c>
      <c r="D400" t="s">
        <v>1064</v>
      </c>
      <c r="E400" t="s">
        <v>1065</v>
      </c>
      <c r="F400" t="s">
        <v>962</v>
      </c>
      <c r="G400" s="30">
        <v>63.46</v>
      </c>
      <c r="H400" s="29">
        <f>G400*(1-IFERROR(VLOOKUP(F400,Rabat!$D$10:$E$41,2,FALSE),0))</f>
        <v>63.46</v>
      </c>
      <c r="I400" t="s">
        <v>2540</v>
      </c>
      <c r="J400" t="s">
        <v>503</v>
      </c>
      <c r="K400" t="s">
        <v>2538</v>
      </c>
      <c r="L400">
        <v>30</v>
      </c>
      <c r="M400"/>
      <c r="N400" t="s">
        <v>2544</v>
      </c>
      <c r="O400" s="31" t="str">
        <f>HYPERLINK("https://b2b.kobi.pl/pl/product/10643,lampa-ogrodowa-querk-2-1xgu10-ip54-czarna-led2b?currency=PLN")</f>
        <v>https://b2b.kobi.pl/pl/product/10643,lampa-ogrodowa-querk-2-1xgu10-ip54-czarna-led2b?currency=PLN</v>
      </c>
      <c r="P400" t="s">
        <v>16</v>
      </c>
      <c r="Q400"/>
    </row>
    <row r="401" spans="1:17" ht="15" x14ac:dyDescent="0.25">
      <c r="A401" t="s">
        <v>5</v>
      </c>
      <c r="B401" t="s">
        <v>55</v>
      </c>
      <c r="C401" t="s">
        <v>44</v>
      </c>
      <c r="D401" t="s">
        <v>993</v>
      </c>
      <c r="E401" t="s">
        <v>994</v>
      </c>
      <c r="F401" t="s">
        <v>962</v>
      </c>
      <c r="G401" s="30">
        <v>79.95</v>
      </c>
      <c r="H401" s="29">
        <f>G401*(1-IFERROR(VLOOKUP(F401,Rabat!$D$10:$E$41,2,FALSE),0))</f>
        <v>79.95</v>
      </c>
      <c r="I401" t="s">
        <v>2540</v>
      </c>
      <c r="J401" t="s">
        <v>504</v>
      </c>
      <c r="K401" t="s">
        <v>2538</v>
      </c>
      <c r="L401">
        <v>10</v>
      </c>
      <c r="M401">
        <v>450</v>
      </c>
      <c r="N401" t="s">
        <v>2544</v>
      </c>
      <c r="O401" s="31" t="str">
        <f>HYPERLINK("https://b2b.kobi.pl/pl/product/10644,kinkiet-ogrodowy-querk-3-2xgu10-ip54-czarna-led2b?currency=PLN")</f>
        <v>https://b2b.kobi.pl/pl/product/10644,kinkiet-ogrodowy-querk-3-2xgu10-ip54-czarna-led2b?currency=PLN</v>
      </c>
      <c r="P401" t="s">
        <v>16</v>
      </c>
      <c r="Q401"/>
    </row>
    <row r="402" spans="1:17" ht="15" x14ac:dyDescent="0.25">
      <c r="A402" t="s">
        <v>5</v>
      </c>
      <c r="B402" t="s">
        <v>55</v>
      </c>
      <c r="C402" t="s">
        <v>44</v>
      </c>
      <c r="D402" t="s">
        <v>995</v>
      </c>
      <c r="E402" t="s">
        <v>996</v>
      </c>
      <c r="F402" t="s">
        <v>962</v>
      </c>
      <c r="G402" s="30">
        <v>126.45</v>
      </c>
      <c r="H402" s="29">
        <f>G402*(1-IFERROR(VLOOKUP(F402,Rabat!$D$10:$E$41,2,FALSE),0))</f>
        <v>126.45</v>
      </c>
      <c r="I402" t="s">
        <v>2540</v>
      </c>
      <c r="J402" t="s">
        <v>505</v>
      </c>
      <c r="K402" t="s">
        <v>2538</v>
      </c>
      <c r="L402">
        <v>10</v>
      </c>
      <c r="M402">
        <v>300</v>
      </c>
      <c r="N402" t="s">
        <v>2544</v>
      </c>
      <c r="O402" s="31" t="str">
        <f>HYPERLINK("https://b2b.kobi.pl/pl/product/10645,kinkiet-ogrodowy-querk-4-2xgu10-ip54-czarna-led2b?currency=PLN")</f>
        <v>https://b2b.kobi.pl/pl/product/10645,kinkiet-ogrodowy-querk-4-2xgu10-ip54-czarna-led2b?currency=PLN</v>
      </c>
      <c r="P402" t="s">
        <v>16</v>
      </c>
      <c r="Q402"/>
    </row>
    <row r="403" spans="1:17" ht="15" x14ac:dyDescent="0.25">
      <c r="A403" t="s">
        <v>5</v>
      </c>
      <c r="B403" t="s">
        <v>55</v>
      </c>
      <c r="C403" t="s">
        <v>44</v>
      </c>
      <c r="D403" t="s">
        <v>997</v>
      </c>
      <c r="E403" t="s">
        <v>998</v>
      </c>
      <c r="F403" t="s">
        <v>962</v>
      </c>
      <c r="G403" s="30">
        <v>116.6</v>
      </c>
      <c r="H403" s="29">
        <f>G403*(1-IFERROR(VLOOKUP(F403,Rabat!$D$10:$E$41,2,FALSE),0))</f>
        <v>116.6</v>
      </c>
      <c r="I403" t="s">
        <v>2540</v>
      </c>
      <c r="J403" t="s">
        <v>506</v>
      </c>
      <c r="K403" t="s">
        <v>2538</v>
      </c>
      <c r="L403">
        <v>10</v>
      </c>
      <c r="M403">
        <v>300</v>
      </c>
      <c r="N403" t="s">
        <v>2544</v>
      </c>
      <c r="O403" s="31" t="str">
        <f>HYPERLINK("https://b2b.kobi.pl/pl/product/10646,kinkiet-ogrodowy-querk-5-2xgu10-ip54-czarna-led2b?currency=PLN")</f>
        <v>https://b2b.kobi.pl/pl/product/10646,kinkiet-ogrodowy-querk-5-2xgu10-ip54-czarna-led2b?currency=PLN</v>
      </c>
      <c r="P403" t="s">
        <v>16</v>
      </c>
      <c r="Q403"/>
    </row>
    <row r="404" spans="1:17" ht="15" x14ac:dyDescent="0.25">
      <c r="A404" t="s">
        <v>5</v>
      </c>
      <c r="B404" t="s">
        <v>55</v>
      </c>
      <c r="C404" t="s">
        <v>44</v>
      </c>
      <c r="D404" t="s">
        <v>999</v>
      </c>
      <c r="E404" t="s">
        <v>1000</v>
      </c>
      <c r="F404" t="s">
        <v>962</v>
      </c>
      <c r="G404" s="30">
        <v>62.5</v>
      </c>
      <c r="H404" s="29">
        <f>G404*(1-IFERROR(VLOOKUP(F404,Rabat!$D$10:$E$41,2,FALSE),0))</f>
        <v>62.5</v>
      </c>
      <c r="I404" t="s">
        <v>2540</v>
      </c>
      <c r="J404" t="s">
        <v>2556</v>
      </c>
      <c r="K404" t="s">
        <v>2538</v>
      </c>
      <c r="L404">
        <v>30</v>
      </c>
      <c r="M404">
        <v>1350</v>
      </c>
      <c r="N404" t="s">
        <v>2544</v>
      </c>
      <c r="O404" s="31" t="str">
        <f>HYPERLINK("https://b2b.kobi.pl/pl/product/12143,kinkiet-ogrodowy-querk-6-1xgu10-ip54-czarny-led2b?currency=PLN")</f>
        <v>https://b2b.kobi.pl/pl/product/12143,kinkiet-ogrodowy-querk-6-1xgu10-ip54-czarny-led2b?currency=PLN</v>
      </c>
      <c r="P404" t="s">
        <v>16</v>
      </c>
      <c r="Q404"/>
    </row>
    <row r="405" spans="1:17" ht="15" x14ac:dyDescent="0.25">
      <c r="A405" t="s">
        <v>5</v>
      </c>
      <c r="B405" t="s">
        <v>55</v>
      </c>
      <c r="C405" t="s">
        <v>44</v>
      </c>
      <c r="D405" t="s">
        <v>1001</v>
      </c>
      <c r="E405" t="s">
        <v>1002</v>
      </c>
      <c r="F405" t="s">
        <v>962</v>
      </c>
      <c r="G405" s="30">
        <v>82.25</v>
      </c>
      <c r="H405" s="29">
        <f>G405*(1-IFERROR(VLOOKUP(F405,Rabat!$D$10:$E$41,2,FALSE),0))</f>
        <v>82.25</v>
      </c>
      <c r="I405" t="s">
        <v>2540</v>
      </c>
      <c r="J405" t="s">
        <v>2557</v>
      </c>
      <c r="K405" t="s">
        <v>2538</v>
      </c>
      <c r="L405">
        <v>20</v>
      </c>
      <c r="M405">
        <v>840</v>
      </c>
      <c r="N405" t="s">
        <v>2544</v>
      </c>
      <c r="O405" s="31" t="str">
        <f>HYPERLINK("https://b2b.kobi.pl/pl/product/12144,kinkiet-ogrodowy-querk-7-2xgu10-ip54-czarny-led2b?currency=PLN")</f>
        <v>https://b2b.kobi.pl/pl/product/12144,kinkiet-ogrodowy-querk-7-2xgu10-ip54-czarny-led2b?currency=PLN</v>
      </c>
      <c r="P405" t="s">
        <v>16</v>
      </c>
      <c r="Q405"/>
    </row>
    <row r="406" spans="1:17" ht="15" x14ac:dyDescent="0.25">
      <c r="A406" t="s">
        <v>5</v>
      </c>
      <c r="B406" t="s">
        <v>55</v>
      </c>
      <c r="C406" t="s">
        <v>44</v>
      </c>
      <c r="D406" t="s">
        <v>1005</v>
      </c>
      <c r="E406" t="s">
        <v>1006</v>
      </c>
      <c r="F406" t="s">
        <v>962</v>
      </c>
      <c r="G406" s="30">
        <v>84.75</v>
      </c>
      <c r="H406" s="29">
        <f>G406*(1-IFERROR(VLOOKUP(F406,Rabat!$D$10:$E$41,2,FALSE),0))</f>
        <v>84.75</v>
      </c>
      <c r="I406" t="s">
        <v>2540</v>
      </c>
      <c r="J406" t="s">
        <v>2559</v>
      </c>
      <c r="K406" t="s">
        <v>2538</v>
      </c>
      <c r="L406">
        <v>12</v>
      </c>
      <c r="M406">
        <v>72</v>
      </c>
      <c r="N406" t="s">
        <v>2544</v>
      </c>
      <c r="O406" s="31" t="str">
        <f>HYPERLINK("https://b2b.kobi.pl/pl/product/12136,kinkiet-ogrodowy-tevio-kg-1xe27-ip54-czarny-led2b?currency=PLN")</f>
        <v>https://b2b.kobi.pl/pl/product/12136,kinkiet-ogrodowy-tevio-kg-1xe27-ip54-czarny-led2b?currency=PLN</v>
      </c>
      <c r="P406" t="s">
        <v>16</v>
      </c>
      <c r="Q406"/>
    </row>
    <row r="407" spans="1:17" ht="15" x14ac:dyDescent="0.25">
      <c r="A407" t="s">
        <v>5</v>
      </c>
      <c r="B407" t="s">
        <v>55</v>
      </c>
      <c r="C407" t="s">
        <v>44</v>
      </c>
      <c r="D407" t="s">
        <v>1007</v>
      </c>
      <c r="E407" t="s">
        <v>1008</v>
      </c>
      <c r="F407" t="s">
        <v>962</v>
      </c>
      <c r="G407" s="30">
        <v>141.25</v>
      </c>
      <c r="H407" s="29">
        <f>G407*(1-IFERROR(VLOOKUP(F407,Rabat!$D$10:$E$41,2,FALSE),0))</f>
        <v>141.25</v>
      </c>
      <c r="I407" t="s">
        <v>2540</v>
      </c>
      <c r="J407" t="s">
        <v>2560</v>
      </c>
      <c r="K407" t="s">
        <v>2538</v>
      </c>
      <c r="L407">
        <v>12</v>
      </c>
      <c r="M407">
        <v>72</v>
      </c>
      <c r="N407" t="s">
        <v>2544</v>
      </c>
      <c r="O407" s="31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07" t="s">
        <v>16</v>
      </c>
      <c r="Q407"/>
    </row>
    <row r="408" spans="1:17" ht="15" x14ac:dyDescent="0.25">
      <c r="A408" t="s">
        <v>5</v>
      </c>
      <c r="B408" t="s">
        <v>55</v>
      </c>
      <c r="C408" t="s">
        <v>44</v>
      </c>
      <c r="D408" t="s">
        <v>1003</v>
      </c>
      <c r="E408" t="s">
        <v>1004</v>
      </c>
      <c r="F408" t="s">
        <v>962</v>
      </c>
      <c r="G408" s="30">
        <v>84.75</v>
      </c>
      <c r="H408" s="29">
        <f>G408*(1-IFERROR(VLOOKUP(F408,Rabat!$D$10:$E$41,2,FALSE),0))</f>
        <v>84.75</v>
      </c>
      <c r="I408" t="s">
        <v>2540</v>
      </c>
      <c r="J408" t="s">
        <v>2558</v>
      </c>
      <c r="K408" t="s">
        <v>2538</v>
      </c>
      <c r="L408">
        <v>12</v>
      </c>
      <c r="M408">
        <v>72</v>
      </c>
      <c r="N408" t="s">
        <v>2544</v>
      </c>
      <c r="O408" s="31" t="str">
        <f>HYPERLINK("https://b2b.kobi.pl/pl/product/12138,kinkiet-ogrodowy-tevio-kd-1xe27-ip54-czarny-led2b?currency=PLN")</f>
        <v>https://b2b.kobi.pl/pl/product/12138,kinkiet-ogrodowy-tevio-kd-1xe27-ip54-czarny-led2b?currency=PLN</v>
      </c>
      <c r="P408" t="s">
        <v>16</v>
      </c>
      <c r="Q408"/>
    </row>
    <row r="409" spans="1:17" ht="15" x14ac:dyDescent="0.25">
      <c r="A409" t="s">
        <v>5</v>
      </c>
      <c r="B409" t="s">
        <v>55</v>
      </c>
      <c r="C409" t="s">
        <v>44</v>
      </c>
      <c r="D409" t="s">
        <v>1221</v>
      </c>
      <c r="E409" t="s">
        <v>1222</v>
      </c>
      <c r="F409" t="s">
        <v>962</v>
      </c>
      <c r="G409" s="30">
        <v>84.75</v>
      </c>
      <c r="H409" s="29">
        <f>G409*(1-IFERROR(VLOOKUP(F409,Rabat!$D$10:$E$41,2,FALSE),0))</f>
        <v>84.75</v>
      </c>
      <c r="I409" t="s">
        <v>2540</v>
      </c>
      <c r="J409" t="s">
        <v>2582</v>
      </c>
      <c r="K409" t="s">
        <v>2538</v>
      </c>
      <c r="L409">
        <v>12</v>
      </c>
      <c r="M409">
        <v>144</v>
      </c>
      <c r="N409" t="s">
        <v>2544</v>
      </c>
      <c r="O409" s="31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09" t="s">
        <v>16</v>
      </c>
      <c r="Q409"/>
    </row>
    <row r="410" spans="1:17" ht="15" x14ac:dyDescent="0.25">
      <c r="A410" t="s">
        <v>5</v>
      </c>
      <c r="B410" t="s">
        <v>55</v>
      </c>
      <c r="C410" t="s">
        <v>44</v>
      </c>
      <c r="D410" t="s">
        <v>1903</v>
      </c>
      <c r="E410" t="s">
        <v>1904</v>
      </c>
      <c r="F410" t="s">
        <v>962</v>
      </c>
      <c r="G410" s="30">
        <v>157.25</v>
      </c>
      <c r="H410" s="29">
        <f>G410*(1-IFERROR(VLOOKUP(F410,Rabat!$D$10:$E$41,2,FALSE),0))</f>
        <v>157.25</v>
      </c>
      <c r="I410" t="s">
        <v>2540</v>
      </c>
      <c r="J410" t="s">
        <v>2625</v>
      </c>
      <c r="K410" t="s">
        <v>2538</v>
      </c>
      <c r="L410">
        <v>8</v>
      </c>
      <c r="M410">
        <v>96</v>
      </c>
      <c r="N410" t="s">
        <v>2544</v>
      </c>
      <c r="O410" s="31" t="str">
        <f>HYPERLINK("https://b2b.kobi.pl/pl/product/12140,slupek-ogrodowy-tevio-s-1xe27-ip54-czarny-led2b?currency=PLN")</f>
        <v>https://b2b.kobi.pl/pl/product/12140,slupek-ogrodowy-tevio-s-1xe27-ip54-czarny-led2b?currency=PLN</v>
      </c>
      <c r="P410" t="s">
        <v>16</v>
      </c>
      <c r="Q410"/>
    </row>
    <row r="411" spans="1:17" ht="15" x14ac:dyDescent="0.25">
      <c r="A411" t="s">
        <v>5</v>
      </c>
      <c r="B411" t="s">
        <v>55</v>
      </c>
      <c r="C411" t="s">
        <v>44</v>
      </c>
      <c r="D411" t="s">
        <v>960</v>
      </c>
      <c r="E411" t="s">
        <v>961</v>
      </c>
      <c r="F411" t="s">
        <v>962</v>
      </c>
      <c r="G411" s="30">
        <v>162.25</v>
      </c>
      <c r="H411" s="29">
        <f>G411*(1-IFERROR(VLOOKUP(F411,Rabat!$D$10:$E$41,2,FALSE),0))</f>
        <v>162.25</v>
      </c>
      <c r="I411" t="s">
        <v>2540</v>
      </c>
      <c r="J411" t="s">
        <v>2551</v>
      </c>
      <c r="K411" t="s">
        <v>2538</v>
      </c>
      <c r="L411">
        <v>10</v>
      </c>
      <c r="M411"/>
      <c r="N411" t="s">
        <v>2544</v>
      </c>
      <c r="O411" s="31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11" s="31" t="str">
        <f>HYPERLINK("https://eprel.ec.europa.eu/qr/2176183")</f>
        <v>https://eprel.ec.europa.eu/qr/2176183</v>
      </c>
      <c r="Q411"/>
    </row>
    <row r="412" spans="1:17" ht="15" x14ac:dyDescent="0.25">
      <c r="A412" t="s">
        <v>5</v>
      </c>
      <c r="B412" t="s">
        <v>55</v>
      </c>
      <c r="C412" t="s">
        <v>44</v>
      </c>
      <c r="D412" t="s">
        <v>2533</v>
      </c>
      <c r="E412" t="s">
        <v>2534</v>
      </c>
      <c r="F412" t="s">
        <v>962</v>
      </c>
      <c r="G412" s="30">
        <v>116.25</v>
      </c>
      <c r="H412" s="29">
        <f>G412*(1-IFERROR(VLOOKUP(F412,Rabat!$D$10:$E$41,2,FALSE),0))</f>
        <v>116.25</v>
      </c>
      <c r="I412" t="s">
        <v>2540</v>
      </c>
      <c r="J412" t="s">
        <v>2689</v>
      </c>
      <c r="K412" t="s">
        <v>2538</v>
      </c>
      <c r="L412">
        <v>10</v>
      </c>
      <c r="M412">
        <v>200</v>
      </c>
      <c r="N412" t="s">
        <v>2544</v>
      </c>
      <c r="O412" s="31" t="str">
        <f>HYPERLINK("https://b2b.kobi.pl/pl/product/12142,kinkiet-ogrodowy-led-lentero-12w-4000k-lx-ip54-czarny-led2b?currency=PLN")</f>
        <v>https://b2b.kobi.pl/pl/product/12142,kinkiet-ogrodowy-led-lentero-12w-4000k-lx-ip54-czarny-led2b?currency=PLN</v>
      </c>
      <c r="P412" s="31" t="str">
        <f>HYPERLINK("https://eprel.ec.europa.eu/qr/2176464")</f>
        <v>https://eprel.ec.europa.eu/qr/2176464</v>
      </c>
      <c r="Q412"/>
    </row>
    <row r="413" spans="1:17" ht="15" x14ac:dyDescent="0.25">
      <c r="A413" t="s">
        <v>5</v>
      </c>
      <c r="B413" t="s">
        <v>55</v>
      </c>
      <c r="C413" t="s">
        <v>858</v>
      </c>
      <c r="D413" t="s">
        <v>2504</v>
      </c>
      <c r="E413" t="s">
        <v>2505</v>
      </c>
      <c r="F413" t="s">
        <v>962</v>
      </c>
      <c r="G413" s="30">
        <v>60</v>
      </c>
      <c r="H413" s="29">
        <f>G413*(1-IFERROR(VLOOKUP(F413,Rabat!$D$10:$E$41,2,FALSE),0))</f>
        <v>60</v>
      </c>
      <c r="I413" t="s">
        <v>2540</v>
      </c>
      <c r="J413" t="s">
        <v>2677</v>
      </c>
      <c r="K413" t="s">
        <v>2538</v>
      </c>
      <c r="L413">
        <v>24</v>
      </c>
      <c r="M413">
        <v>1152</v>
      </c>
      <c r="N413" t="s">
        <v>2544</v>
      </c>
      <c r="O413" s="31" t="str">
        <f>HYPERLINK("https://b2b.kobi.pl/pl/product/10626,kinkiet-ogrodowy-quazar-8-1xgu10-ip44-czarny-kobi?currency=PLN")</f>
        <v>https://b2b.kobi.pl/pl/product/10626,kinkiet-ogrodowy-quazar-8-1xgu10-ip44-czarny-kobi?currency=PLN</v>
      </c>
      <c r="P413" t="s">
        <v>16</v>
      </c>
      <c r="Q413"/>
    </row>
    <row r="414" spans="1:17" ht="15" x14ac:dyDescent="0.25">
      <c r="A414" t="s">
        <v>5</v>
      </c>
      <c r="B414" t="s">
        <v>55</v>
      </c>
      <c r="C414" t="s">
        <v>858</v>
      </c>
      <c r="D414" t="s">
        <v>2506</v>
      </c>
      <c r="E414" t="s">
        <v>2507</v>
      </c>
      <c r="F414" t="s">
        <v>962</v>
      </c>
      <c r="G414" s="30">
        <v>60</v>
      </c>
      <c r="H414" s="29">
        <f>G414*(1-IFERROR(VLOOKUP(F414,Rabat!$D$10:$E$41,2,FALSE),0))</f>
        <v>60</v>
      </c>
      <c r="I414" t="s">
        <v>2540</v>
      </c>
      <c r="J414" t="s">
        <v>2678</v>
      </c>
      <c r="K414" t="s">
        <v>2538</v>
      </c>
      <c r="L414">
        <v>24</v>
      </c>
      <c r="M414">
        <v>1152</v>
      </c>
      <c r="N414" t="s">
        <v>2544</v>
      </c>
      <c r="O414" s="31" t="str">
        <f>HYPERLINK("https://b2b.kobi.pl/pl/product/10627,kinkiet-ogrodowy-quazar-8-1xgu10-ip44-szary-kobi?currency=PLN")</f>
        <v>https://b2b.kobi.pl/pl/product/10627,kinkiet-ogrodowy-quazar-8-1xgu10-ip44-szary-kobi?currency=PLN</v>
      </c>
      <c r="P414" t="s">
        <v>16</v>
      </c>
      <c r="Q414"/>
    </row>
    <row r="415" spans="1:17" ht="15" x14ac:dyDescent="0.25">
      <c r="A415" t="s">
        <v>5</v>
      </c>
      <c r="B415" t="s">
        <v>55</v>
      </c>
      <c r="C415" t="s">
        <v>858</v>
      </c>
      <c r="D415" t="s">
        <v>2508</v>
      </c>
      <c r="E415" t="s">
        <v>2509</v>
      </c>
      <c r="F415" t="s">
        <v>962</v>
      </c>
      <c r="G415" s="30">
        <v>79.75</v>
      </c>
      <c r="H415" s="29">
        <f>G415*(1-IFERROR(VLOOKUP(F415,Rabat!$D$10:$E$41,2,FALSE),0))</f>
        <v>79.75</v>
      </c>
      <c r="I415" t="s">
        <v>2540</v>
      </c>
      <c r="J415" t="s">
        <v>456</v>
      </c>
      <c r="K415" t="s">
        <v>2538</v>
      </c>
      <c r="L415">
        <v>16</v>
      </c>
      <c r="M415">
        <v>736</v>
      </c>
      <c r="N415" t="s">
        <v>2544</v>
      </c>
      <c r="O415" s="31" t="str">
        <f>HYPERLINK("https://b2b.kobi.pl/pl/product/10628,kinkiet-ogrodowy-quazar-9-2xgu10-ip44-czarny-kobi?currency=PLN")</f>
        <v>https://b2b.kobi.pl/pl/product/10628,kinkiet-ogrodowy-quazar-9-2xgu10-ip44-czarny-kobi?currency=PLN</v>
      </c>
      <c r="P415" t="s">
        <v>16</v>
      </c>
      <c r="Q415"/>
    </row>
    <row r="416" spans="1:17" ht="15" x14ac:dyDescent="0.25">
      <c r="A416" t="s">
        <v>5</v>
      </c>
      <c r="B416" t="s">
        <v>55</v>
      </c>
      <c r="C416" t="s">
        <v>858</v>
      </c>
      <c r="D416" t="s">
        <v>981</v>
      </c>
      <c r="E416" t="s">
        <v>982</v>
      </c>
      <c r="F416" t="s">
        <v>962</v>
      </c>
      <c r="G416" s="30">
        <v>79.75</v>
      </c>
      <c r="H416" s="29">
        <f>G416*(1-IFERROR(VLOOKUP(F416,Rabat!$D$10:$E$41,2,FALSE),0))</f>
        <v>79.75</v>
      </c>
      <c r="I416" t="s">
        <v>2540</v>
      </c>
      <c r="J416" t="s">
        <v>457</v>
      </c>
      <c r="K416" t="s">
        <v>2538</v>
      </c>
      <c r="L416">
        <v>16</v>
      </c>
      <c r="M416">
        <v>736</v>
      </c>
      <c r="N416" t="s">
        <v>2544</v>
      </c>
      <c r="O416" s="31" t="str">
        <f>HYPERLINK("https://b2b.kobi.pl/pl/product/10629,kinkiet-ogrodowy-quazar-9-2xgu10-ip44-szary-kobi?currency=PLN")</f>
        <v>https://b2b.kobi.pl/pl/product/10629,kinkiet-ogrodowy-quazar-9-2xgu10-ip44-szary-kobi?currency=PLN</v>
      </c>
      <c r="P416" t="s">
        <v>16</v>
      </c>
      <c r="Q416"/>
    </row>
    <row r="417" spans="1:17" ht="15" x14ac:dyDescent="0.25">
      <c r="A417" t="s">
        <v>5</v>
      </c>
      <c r="B417" t="s">
        <v>882</v>
      </c>
      <c r="C417" t="s">
        <v>858</v>
      </c>
      <c r="D417" t="s">
        <v>1732</v>
      </c>
      <c r="E417" t="s">
        <v>1733</v>
      </c>
      <c r="F417" t="s">
        <v>885</v>
      </c>
      <c r="G417" s="30">
        <v>9.11</v>
      </c>
      <c r="H417" s="29">
        <f>G417*(1-IFERROR(VLOOKUP(F417,Rabat!$D$10:$E$41,2,FALSE),0))</f>
        <v>9.11</v>
      </c>
      <c r="I417" t="s">
        <v>2540</v>
      </c>
      <c r="J417" t="s">
        <v>469</v>
      </c>
      <c r="K417" t="s">
        <v>2538</v>
      </c>
      <c r="L417">
        <v>50</v>
      </c>
      <c r="M417">
        <v>2800</v>
      </c>
      <c r="N417" t="s">
        <v>2544</v>
      </c>
      <c r="O417" s="31" t="str">
        <f>HYPERLINK("https://b2b.kobi.pl/pl/product/10371,pierscien-ozdobny-oh14-bialy-kobi?currency=PLN")</f>
        <v>https://b2b.kobi.pl/pl/product/10371,pierscien-ozdobny-oh14-bialy-kobi?currency=PLN</v>
      </c>
      <c r="P417" t="s">
        <v>16</v>
      </c>
      <c r="Q417"/>
    </row>
    <row r="418" spans="1:17" ht="15" x14ac:dyDescent="0.25">
      <c r="A418" t="s">
        <v>5</v>
      </c>
      <c r="B418" t="s">
        <v>882</v>
      </c>
      <c r="C418" t="s">
        <v>858</v>
      </c>
      <c r="D418" t="s">
        <v>1736</v>
      </c>
      <c r="E418" t="s">
        <v>1737</v>
      </c>
      <c r="F418" t="s">
        <v>885</v>
      </c>
      <c r="G418" s="30">
        <v>9.94</v>
      </c>
      <c r="H418" s="29">
        <f>G418*(1-IFERROR(VLOOKUP(F418,Rabat!$D$10:$E$41,2,FALSE),0))</f>
        <v>9.94</v>
      </c>
      <c r="I418" t="s">
        <v>2540</v>
      </c>
      <c r="J418" t="s">
        <v>470</v>
      </c>
      <c r="K418" t="s">
        <v>2538</v>
      </c>
      <c r="L418">
        <v>50</v>
      </c>
      <c r="M418">
        <v>2800</v>
      </c>
      <c r="N418" t="s">
        <v>2544</v>
      </c>
      <c r="O418" s="31" t="str">
        <f>HYPERLINK("https://b2b.kobi.pl/pl/product/10372,pierscien-ozdobny-oh14-chrom-kobi?currency=PLN")</f>
        <v>https://b2b.kobi.pl/pl/product/10372,pierscien-ozdobny-oh14-chrom-kobi?currency=PLN</v>
      </c>
      <c r="P418" t="s">
        <v>16</v>
      </c>
      <c r="Q418"/>
    </row>
    <row r="419" spans="1:17" ht="15" x14ac:dyDescent="0.25">
      <c r="A419" t="s">
        <v>5</v>
      </c>
      <c r="B419" t="s">
        <v>882</v>
      </c>
      <c r="C419" t="s">
        <v>858</v>
      </c>
      <c r="D419" t="s">
        <v>1740</v>
      </c>
      <c r="E419" t="s">
        <v>1741</v>
      </c>
      <c r="F419" t="s">
        <v>885</v>
      </c>
      <c r="G419" s="30">
        <v>9.94</v>
      </c>
      <c r="H419" s="29">
        <f>G419*(1-IFERROR(VLOOKUP(F419,Rabat!$D$10:$E$41,2,FALSE),0))</f>
        <v>9.94</v>
      </c>
      <c r="I419" t="s">
        <v>2540</v>
      </c>
      <c r="J419" t="s">
        <v>471</v>
      </c>
      <c r="K419" t="s">
        <v>2538</v>
      </c>
      <c r="L419">
        <v>50</v>
      </c>
      <c r="M419">
        <v>2800</v>
      </c>
      <c r="N419" t="s">
        <v>2544</v>
      </c>
      <c r="O419" s="31" t="str">
        <f>HYPERLINK("https://b2b.kobi.pl/pl/product/10374,pierscien-ozdobny-oh14-mat-chrom-kobi?currency=PLN")</f>
        <v>https://b2b.kobi.pl/pl/product/10374,pierscien-ozdobny-oh14-mat-chrom-kobi?currency=PLN</v>
      </c>
      <c r="P419" t="s">
        <v>16</v>
      </c>
      <c r="Q419"/>
    </row>
    <row r="420" spans="1:17" ht="15" x14ac:dyDescent="0.25">
      <c r="A420" t="s">
        <v>5</v>
      </c>
      <c r="B420" t="s">
        <v>882</v>
      </c>
      <c r="C420" t="s">
        <v>858</v>
      </c>
      <c r="D420" t="s">
        <v>1742</v>
      </c>
      <c r="E420" t="s">
        <v>1743</v>
      </c>
      <c r="F420" t="s">
        <v>885</v>
      </c>
      <c r="G420" s="30">
        <v>9.94</v>
      </c>
      <c r="H420" s="29">
        <f>G420*(1-IFERROR(VLOOKUP(F420,Rabat!$D$10:$E$41,2,FALSE),0))</f>
        <v>9.94</v>
      </c>
      <c r="I420" t="s">
        <v>2540</v>
      </c>
      <c r="J420" t="s">
        <v>472</v>
      </c>
      <c r="K420" t="s">
        <v>2538</v>
      </c>
      <c r="L420">
        <v>50</v>
      </c>
      <c r="M420">
        <v>2800</v>
      </c>
      <c r="N420" t="s">
        <v>2544</v>
      </c>
      <c r="O420" s="31" t="str">
        <f>HYPERLINK("https://b2b.kobi.pl/pl/product/10375,pierscien-ozdobny-oh14-mat-czarny-kobi?currency=PLN")</f>
        <v>https://b2b.kobi.pl/pl/product/10375,pierscien-ozdobny-oh14-mat-czarny-kobi?currency=PLN</v>
      </c>
      <c r="P420" t="s">
        <v>16</v>
      </c>
      <c r="Q420"/>
    </row>
    <row r="421" spans="1:17" ht="15" x14ac:dyDescent="0.25">
      <c r="A421" t="s">
        <v>5</v>
      </c>
      <c r="B421" t="s">
        <v>882</v>
      </c>
      <c r="C421" t="s">
        <v>858</v>
      </c>
      <c r="D421" t="s">
        <v>1744</v>
      </c>
      <c r="E421" t="s">
        <v>1745</v>
      </c>
      <c r="F421" t="s">
        <v>885</v>
      </c>
      <c r="G421" s="30">
        <v>9.94</v>
      </c>
      <c r="H421" s="29">
        <f>G421*(1-IFERROR(VLOOKUP(F421,Rabat!$D$10:$E$41,2,FALSE),0))</f>
        <v>9.94</v>
      </c>
      <c r="I421" t="s">
        <v>2540</v>
      </c>
      <c r="J421" t="s">
        <v>473</v>
      </c>
      <c r="K421" t="s">
        <v>2538</v>
      </c>
      <c r="L421">
        <v>50</v>
      </c>
      <c r="M421">
        <v>2800</v>
      </c>
      <c r="N421" t="s">
        <v>2544</v>
      </c>
      <c r="O421" s="31" t="str">
        <f>HYPERLINK("https://b2b.kobi.pl/pl/product/10376,pierscien-ozdobny-oh14-patyna-kobi?currency=PLN")</f>
        <v>https://b2b.kobi.pl/pl/product/10376,pierscien-ozdobny-oh14-patyna-kobi?currency=PLN</v>
      </c>
      <c r="P421" t="s">
        <v>16</v>
      </c>
      <c r="Q421"/>
    </row>
    <row r="422" spans="1:17" ht="15" x14ac:dyDescent="0.25">
      <c r="A422" t="s">
        <v>5</v>
      </c>
      <c r="B422" t="s">
        <v>882</v>
      </c>
      <c r="C422" t="s">
        <v>858</v>
      </c>
      <c r="D422" t="s">
        <v>1746</v>
      </c>
      <c r="E422" t="s">
        <v>1747</v>
      </c>
      <c r="F422" t="s">
        <v>885</v>
      </c>
      <c r="G422" s="30">
        <v>12.24</v>
      </c>
      <c r="H422" s="29">
        <f>G422*(1-IFERROR(VLOOKUP(F422,Rabat!$D$10:$E$41,2,FALSE),0))</f>
        <v>12.24</v>
      </c>
      <c r="I422" t="s">
        <v>2540</v>
      </c>
      <c r="J422" t="s">
        <v>486</v>
      </c>
      <c r="K422" t="s">
        <v>2538</v>
      </c>
      <c r="L422">
        <v>50</v>
      </c>
      <c r="M422">
        <v>2450</v>
      </c>
      <c r="N422" t="s">
        <v>2544</v>
      </c>
      <c r="O422" s="31" t="str">
        <f>HYPERLINK("https://b2b.kobi.pl/pl/product/10377,pierscien-ozdobny-oh15-bialy-kobi?currency=PLN")</f>
        <v>https://b2b.kobi.pl/pl/product/10377,pierscien-ozdobny-oh15-bialy-kobi?currency=PLN</v>
      </c>
      <c r="P422" t="s">
        <v>16</v>
      </c>
      <c r="Q422"/>
    </row>
    <row r="423" spans="1:17" ht="15" x14ac:dyDescent="0.25">
      <c r="A423" t="s">
        <v>5</v>
      </c>
      <c r="B423" t="s">
        <v>882</v>
      </c>
      <c r="C423" t="s">
        <v>858</v>
      </c>
      <c r="D423" t="s">
        <v>1748</v>
      </c>
      <c r="E423" t="s">
        <v>1749</v>
      </c>
      <c r="F423" t="s">
        <v>885</v>
      </c>
      <c r="G423" s="30">
        <v>13.82</v>
      </c>
      <c r="H423" s="29">
        <f>G423*(1-IFERROR(VLOOKUP(F423,Rabat!$D$10:$E$41,2,FALSE),0))</f>
        <v>13.82</v>
      </c>
      <c r="I423" t="s">
        <v>2540</v>
      </c>
      <c r="J423" t="s">
        <v>487</v>
      </c>
      <c r="K423" t="s">
        <v>2538</v>
      </c>
      <c r="L423">
        <v>50</v>
      </c>
      <c r="M423">
        <v>2450</v>
      </c>
      <c r="N423" t="s">
        <v>2544</v>
      </c>
      <c r="O423" s="31" t="str">
        <f>HYPERLINK("https://b2b.kobi.pl/pl/product/10378,pierscien-ozdobny-oh15-chrom-kobi?currency=PLN")</f>
        <v>https://b2b.kobi.pl/pl/product/10378,pierscien-ozdobny-oh15-chrom-kobi?currency=PLN</v>
      </c>
      <c r="P423" t="s">
        <v>16</v>
      </c>
      <c r="Q423"/>
    </row>
    <row r="424" spans="1:17" ht="15" x14ac:dyDescent="0.25">
      <c r="A424" t="s">
        <v>5</v>
      </c>
      <c r="B424" t="s">
        <v>882</v>
      </c>
      <c r="C424" t="s">
        <v>858</v>
      </c>
      <c r="D424" t="s">
        <v>1750</v>
      </c>
      <c r="E424" t="s">
        <v>1751</v>
      </c>
      <c r="F424" t="s">
        <v>885</v>
      </c>
      <c r="G424" s="30">
        <v>13.82</v>
      </c>
      <c r="H424" s="29">
        <f>G424*(1-IFERROR(VLOOKUP(F424,Rabat!$D$10:$E$41,2,FALSE),0))</f>
        <v>13.82</v>
      </c>
      <c r="I424" t="s">
        <v>2540</v>
      </c>
      <c r="J424" t="s">
        <v>488</v>
      </c>
      <c r="K424" t="s">
        <v>2538</v>
      </c>
      <c r="L424">
        <v>50</v>
      </c>
      <c r="M424">
        <v>2450</v>
      </c>
      <c r="N424" t="s">
        <v>2544</v>
      </c>
      <c r="O424" s="31" t="str">
        <f>HYPERLINK("https://b2b.kobi.pl/pl/product/10380,pierscien-ozdobny-oh15-mat-chrom-kobi?currency=PLN")</f>
        <v>https://b2b.kobi.pl/pl/product/10380,pierscien-ozdobny-oh15-mat-chrom-kobi?currency=PLN</v>
      </c>
      <c r="P424" t="s">
        <v>16</v>
      </c>
      <c r="Q424"/>
    </row>
    <row r="425" spans="1:17" ht="15" x14ac:dyDescent="0.25">
      <c r="A425" t="s">
        <v>5</v>
      </c>
      <c r="B425" t="s">
        <v>882</v>
      </c>
      <c r="C425" t="s">
        <v>858</v>
      </c>
      <c r="D425" t="s">
        <v>1752</v>
      </c>
      <c r="E425" t="s">
        <v>1753</v>
      </c>
      <c r="F425" t="s">
        <v>885</v>
      </c>
      <c r="G425" s="30">
        <v>13.82</v>
      </c>
      <c r="H425" s="29">
        <f>G425*(1-IFERROR(VLOOKUP(F425,Rabat!$D$10:$E$41,2,FALSE),0))</f>
        <v>13.82</v>
      </c>
      <c r="I425" t="s">
        <v>2540</v>
      </c>
      <c r="J425" t="s">
        <v>489</v>
      </c>
      <c r="K425" t="s">
        <v>2538</v>
      </c>
      <c r="L425">
        <v>50</v>
      </c>
      <c r="M425">
        <v>2450</v>
      </c>
      <c r="N425" t="s">
        <v>2544</v>
      </c>
      <c r="O425" s="31" t="str">
        <f>HYPERLINK("https://b2b.kobi.pl/pl/product/10381,pierscien-ozdobny-oh15-mat-czarny-kobi?currency=PLN")</f>
        <v>https://b2b.kobi.pl/pl/product/10381,pierscien-ozdobny-oh15-mat-czarny-kobi?currency=PLN</v>
      </c>
      <c r="P425" t="s">
        <v>16</v>
      </c>
      <c r="Q425"/>
    </row>
    <row r="426" spans="1:17" ht="15" x14ac:dyDescent="0.25">
      <c r="A426" t="s">
        <v>5</v>
      </c>
      <c r="B426" t="s">
        <v>882</v>
      </c>
      <c r="C426" t="s">
        <v>858</v>
      </c>
      <c r="D426" t="s">
        <v>1754</v>
      </c>
      <c r="E426" t="s">
        <v>1755</v>
      </c>
      <c r="F426" t="s">
        <v>885</v>
      </c>
      <c r="G426" s="30">
        <v>13.82</v>
      </c>
      <c r="H426" s="29">
        <f>G426*(1-IFERROR(VLOOKUP(F426,Rabat!$D$10:$E$41,2,FALSE),0))</f>
        <v>13.82</v>
      </c>
      <c r="I426" t="s">
        <v>2540</v>
      </c>
      <c r="J426" t="s">
        <v>490</v>
      </c>
      <c r="K426" t="s">
        <v>2538</v>
      </c>
      <c r="L426">
        <v>50</v>
      </c>
      <c r="M426">
        <v>2450</v>
      </c>
      <c r="N426" t="s">
        <v>2544</v>
      </c>
      <c r="O426" s="31" t="str">
        <f>HYPERLINK("https://b2b.kobi.pl/pl/product/10383,pierscien-ozdobny-oh15-patyna-kobi?currency=PLN")</f>
        <v>https://b2b.kobi.pl/pl/product/10383,pierscien-ozdobny-oh15-patyna-kobi?currency=PLN</v>
      </c>
      <c r="P426" t="s">
        <v>16</v>
      </c>
      <c r="Q426"/>
    </row>
    <row r="427" spans="1:17" ht="15" x14ac:dyDescent="0.25">
      <c r="A427" t="s">
        <v>5</v>
      </c>
      <c r="B427" t="s">
        <v>882</v>
      </c>
      <c r="C427" t="s">
        <v>858</v>
      </c>
      <c r="D427" t="s">
        <v>2490</v>
      </c>
      <c r="E427" t="s">
        <v>2491</v>
      </c>
      <c r="F427" t="s">
        <v>885</v>
      </c>
      <c r="G427" s="30">
        <v>21.58</v>
      </c>
      <c r="H427" s="29">
        <f>G427*(1-IFERROR(VLOOKUP(F427,Rabat!$D$10:$E$41,2,FALSE),0))</f>
        <v>21.58</v>
      </c>
      <c r="I427" t="s">
        <v>2540</v>
      </c>
      <c r="J427" t="s">
        <v>2672</v>
      </c>
      <c r="K427" t="s">
        <v>2538</v>
      </c>
      <c r="L427">
        <v>100</v>
      </c>
      <c r="M427"/>
      <c r="N427" t="s">
        <v>2544</v>
      </c>
      <c r="O427" s="31" t="str">
        <f>HYPERLINK("https://b2b.kobi.pl/pl/product/10387,pierscien-ozdobny-oh20-czarny-kobi?currency=PLN")</f>
        <v>https://b2b.kobi.pl/pl/product/10387,pierscien-ozdobny-oh20-czarny-kobi?currency=PLN</v>
      </c>
      <c r="P427" t="s">
        <v>16</v>
      </c>
      <c r="Q427" t="s">
        <v>2700</v>
      </c>
    </row>
    <row r="428" spans="1:17" ht="15" x14ac:dyDescent="0.25">
      <c r="A428" t="s">
        <v>5</v>
      </c>
      <c r="B428" t="s">
        <v>882</v>
      </c>
      <c r="C428" t="s">
        <v>858</v>
      </c>
      <c r="D428" t="s">
        <v>1756</v>
      </c>
      <c r="E428" t="s">
        <v>1757</v>
      </c>
      <c r="F428" t="s">
        <v>885</v>
      </c>
      <c r="G428" s="30">
        <v>21.58</v>
      </c>
      <c r="H428" s="29">
        <f>G428*(1-IFERROR(VLOOKUP(F428,Rabat!$D$10:$E$41,2,FALSE),0))</f>
        <v>21.58</v>
      </c>
      <c r="I428" t="s">
        <v>2540</v>
      </c>
      <c r="J428" t="s">
        <v>474</v>
      </c>
      <c r="K428" t="s">
        <v>2538</v>
      </c>
      <c r="L428">
        <v>100</v>
      </c>
      <c r="M428">
        <v>4000</v>
      </c>
      <c r="N428" t="s">
        <v>2544</v>
      </c>
      <c r="O428" s="31" t="str">
        <f>HYPERLINK("https://b2b.kobi.pl/pl/product/10388,pierscien-ozdobny-oh21-chrom-kobi?currency=PLN")</f>
        <v>https://b2b.kobi.pl/pl/product/10388,pierscien-ozdobny-oh21-chrom-kobi?currency=PLN</v>
      </c>
      <c r="P428" t="s">
        <v>16</v>
      </c>
      <c r="Q428"/>
    </row>
    <row r="429" spans="1:17" ht="15" x14ac:dyDescent="0.25">
      <c r="A429" t="s">
        <v>5</v>
      </c>
      <c r="B429" t="s">
        <v>882</v>
      </c>
      <c r="C429" t="s">
        <v>858</v>
      </c>
      <c r="D429" t="s">
        <v>1758</v>
      </c>
      <c r="E429" t="s">
        <v>1759</v>
      </c>
      <c r="F429" t="s">
        <v>885</v>
      </c>
      <c r="G429" s="30">
        <v>21.58</v>
      </c>
      <c r="H429" s="29">
        <f>G429*(1-IFERROR(VLOOKUP(F429,Rabat!$D$10:$E$41,2,FALSE),0))</f>
        <v>21.58</v>
      </c>
      <c r="I429" t="s">
        <v>2540</v>
      </c>
      <c r="J429" t="s">
        <v>475</v>
      </c>
      <c r="K429" t="s">
        <v>2538</v>
      </c>
      <c r="L429">
        <v>100</v>
      </c>
      <c r="M429">
        <v>4000</v>
      </c>
      <c r="N429" t="s">
        <v>2544</v>
      </c>
      <c r="O429" s="31" t="str">
        <f>HYPERLINK("https://b2b.kobi.pl/pl/product/10389,pierscien-ozdobny-oh21-czarny-kobi?currency=PLN")</f>
        <v>https://b2b.kobi.pl/pl/product/10389,pierscien-ozdobny-oh21-czarny-kobi?currency=PLN</v>
      </c>
      <c r="P429" t="s">
        <v>16</v>
      </c>
      <c r="Q429"/>
    </row>
    <row r="430" spans="1:17" ht="15" x14ac:dyDescent="0.25">
      <c r="A430" t="s">
        <v>5</v>
      </c>
      <c r="B430" t="s">
        <v>882</v>
      </c>
      <c r="C430" t="s">
        <v>858</v>
      </c>
      <c r="D430" t="s">
        <v>1764</v>
      </c>
      <c r="E430" t="s">
        <v>1765</v>
      </c>
      <c r="F430" t="s">
        <v>885</v>
      </c>
      <c r="G430" s="30">
        <v>19.12</v>
      </c>
      <c r="H430" s="29">
        <f>G430*(1-IFERROR(VLOOKUP(F430,Rabat!$D$10:$E$41,2,FALSE),0))</f>
        <v>19.12</v>
      </c>
      <c r="I430" t="s">
        <v>2540</v>
      </c>
      <c r="J430" t="s">
        <v>478</v>
      </c>
      <c r="K430" t="s">
        <v>2538</v>
      </c>
      <c r="L430">
        <v>50</v>
      </c>
      <c r="M430">
        <v>2450</v>
      </c>
      <c r="N430" t="s">
        <v>2544</v>
      </c>
      <c r="O430" s="31" t="str">
        <f>HYPERLINK("https://b2b.kobi.pl/pl/product/10402,pierscien-ozdobny-oh26n-przezroczysty-kobi?currency=PLN")</f>
        <v>https://b2b.kobi.pl/pl/product/10402,pierscien-ozdobny-oh26n-przezroczysty-kobi?currency=PLN</v>
      </c>
      <c r="P430" t="s">
        <v>16</v>
      </c>
      <c r="Q430"/>
    </row>
    <row r="431" spans="1:17" ht="15" x14ac:dyDescent="0.25">
      <c r="A431" t="s">
        <v>5</v>
      </c>
      <c r="B431" t="s">
        <v>882</v>
      </c>
      <c r="C431" t="s">
        <v>858</v>
      </c>
      <c r="D431" t="s">
        <v>1766</v>
      </c>
      <c r="E431" t="s">
        <v>1767</v>
      </c>
      <c r="F431" t="s">
        <v>885</v>
      </c>
      <c r="G431" s="30">
        <v>19.12</v>
      </c>
      <c r="H431" s="29">
        <f>G431*(1-IFERROR(VLOOKUP(F431,Rabat!$D$10:$E$41,2,FALSE),0))</f>
        <v>19.12</v>
      </c>
      <c r="I431" t="s">
        <v>2540</v>
      </c>
      <c r="J431" t="s">
        <v>477</v>
      </c>
      <c r="K431" t="s">
        <v>2538</v>
      </c>
      <c r="L431">
        <v>50</v>
      </c>
      <c r="M431">
        <v>3150</v>
      </c>
      <c r="N431" t="s">
        <v>2544</v>
      </c>
      <c r="O431" s="31" t="str">
        <f>HYPERLINK("https://b2b.kobi.pl/pl/product/10403,pierscien-ozdobny-oh26n-czarny-kobi?currency=PLN")</f>
        <v>https://b2b.kobi.pl/pl/product/10403,pierscien-ozdobny-oh26n-czarny-kobi?currency=PLN</v>
      </c>
      <c r="P431" t="s">
        <v>16</v>
      </c>
      <c r="Q431"/>
    </row>
    <row r="432" spans="1:17" ht="15" x14ac:dyDescent="0.25">
      <c r="A432" t="s">
        <v>5</v>
      </c>
      <c r="B432" t="s">
        <v>882</v>
      </c>
      <c r="C432" t="s">
        <v>858</v>
      </c>
      <c r="D432" t="s">
        <v>1762</v>
      </c>
      <c r="E432" t="s">
        <v>1763</v>
      </c>
      <c r="F432" t="s">
        <v>885</v>
      </c>
      <c r="G432" s="30">
        <v>21.58</v>
      </c>
      <c r="H432" s="29">
        <f>G432*(1-IFERROR(VLOOKUP(F432,Rabat!$D$10:$E$41,2,FALSE),0))</f>
        <v>21.58</v>
      </c>
      <c r="I432" t="s">
        <v>2540</v>
      </c>
      <c r="J432" t="s">
        <v>476</v>
      </c>
      <c r="K432" t="s">
        <v>2538</v>
      </c>
      <c r="L432">
        <v>50</v>
      </c>
      <c r="M432">
        <v>3150</v>
      </c>
      <c r="N432" t="s">
        <v>2544</v>
      </c>
      <c r="O432" s="31" t="str">
        <f>HYPERLINK("https://b2b.kobi.pl/pl/product/10401,pierscien-ozdobny-oh26-czarny-kobi?currency=PLN")</f>
        <v>https://b2b.kobi.pl/pl/product/10401,pierscien-ozdobny-oh26-czarny-kobi?currency=PLN</v>
      </c>
      <c r="P432" t="s">
        <v>16</v>
      </c>
      <c r="Q432" t="s">
        <v>2700</v>
      </c>
    </row>
    <row r="433" spans="1:17" ht="15" x14ac:dyDescent="0.25">
      <c r="A433" t="s">
        <v>5</v>
      </c>
      <c r="B433" t="s">
        <v>882</v>
      </c>
      <c r="C433" t="s">
        <v>858</v>
      </c>
      <c r="D433" t="s">
        <v>1768</v>
      </c>
      <c r="E433" t="s">
        <v>1769</v>
      </c>
      <c r="F433" t="s">
        <v>885</v>
      </c>
      <c r="G433" s="30">
        <v>21.58</v>
      </c>
      <c r="H433" s="29">
        <f>G433*(1-IFERROR(VLOOKUP(F433,Rabat!$D$10:$E$41,2,FALSE),0))</f>
        <v>21.58</v>
      </c>
      <c r="I433" t="s">
        <v>2540</v>
      </c>
      <c r="J433" t="s">
        <v>479</v>
      </c>
      <c r="K433" t="s">
        <v>2538</v>
      </c>
      <c r="L433">
        <v>50</v>
      </c>
      <c r="M433">
        <v>3150</v>
      </c>
      <c r="N433" t="s">
        <v>2544</v>
      </c>
      <c r="O433" s="31" t="str">
        <f>HYPERLINK("https://b2b.kobi.pl/pl/product/10405,pierscien-ozdobny-oh27-czarny-kobi?currency=PLN")</f>
        <v>https://b2b.kobi.pl/pl/product/10405,pierscien-ozdobny-oh27-czarny-kobi?currency=PLN</v>
      </c>
      <c r="P433" t="s">
        <v>16</v>
      </c>
      <c r="Q433" t="s">
        <v>2700</v>
      </c>
    </row>
    <row r="434" spans="1:17" ht="15" x14ac:dyDescent="0.25">
      <c r="A434" t="s">
        <v>5</v>
      </c>
      <c r="B434" t="s">
        <v>882</v>
      </c>
      <c r="C434" t="s">
        <v>858</v>
      </c>
      <c r="D434" t="s">
        <v>1770</v>
      </c>
      <c r="E434" t="s">
        <v>1771</v>
      </c>
      <c r="F434" t="s">
        <v>885</v>
      </c>
      <c r="G434" s="30">
        <v>19.12</v>
      </c>
      <c r="H434" s="29">
        <f>G434*(1-IFERROR(VLOOKUP(F434,Rabat!$D$10:$E$41,2,FALSE),0))</f>
        <v>19.12</v>
      </c>
      <c r="I434" t="s">
        <v>2540</v>
      </c>
      <c r="J434" t="s">
        <v>481</v>
      </c>
      <c r="K434" t="s">
        <v>2538</v>
      </c>
      <c r="L434">
        <v>50</v>
      </c>
      <c r="M434">
        <v>3150</v>
      </c>
      <c r="N434" t="s">
        <v>2544</v>
      </c>
      <c r="O434" s="31" t="str">
        <f>HYPERLINK("https://b2b.kobi.pl/pl/product/10406,pierscien-ozdobny-oh27n-przezroczysty-kobi?currency=PLN")</f>
        <v>https://b2b.kobi.pl/pl/product/10406,pierscien-ozdobny-oh27n-przezroczysty-kobi?currency=PLN</v>
      </c>
      <c r="P434" t="s">
        <v>16</v>
      </c>
      <c r="Q434"/>
    </row>
    <row r="435" spans="1:17" ht="15" x14ac:dyDescent="0.25">
      <c r="A435" t="s">
        <v>5</v>
      </c>
      <c r="B435" t="s">
        <v>882</v>
      </c>
      <c r="C435" t="s">
        <v>858</v>
      </c>
      <c r="D435" t="s">
        <v>1772</v>
      </c>
      <c r="E435" t="s">
        <v>1773</v>
      </c>
      <c r="F435" t="s">
        <v>885</v>
      </c>
      <c r="G435" s="30">
        <v>19.12</v>
      </c>
      <c r="H435" s="29">
        <f>G435*(1-IFERROR(VLOOKUP(F435,Rabat!$D$10:$E$41,2,FALSE),0))</f>
        <v>19.12</v>
      </c>
      <c r="I435" t="s">
        <v>2540</v>
      </c>
      <c r="J435" t="s">
        <v>480</v>
      </c>
      <c r="K435" t="s">
        <v>2538</v>
      </c>
      <c r="L435">
        <v>50</v>
      </c>
      <c r="M435">
        <v>3150</v>
      </c>
      <c r="N435" t="s">
        <v>2544</v>
      </c>
      <c r="O435" s="31" t="str">
        <f>HYPERLINK("https://b2b.kobi.pl/pl/product/10407,pierscien-ozdobny-oh27n-czarny-kobi?currency=PLN")</f>
        <v>https://b2b.kobi.pl/pl/product/10407,pierscien-ozdobny-oh27n-czarny-kobi?currency=PLN</v>
      </c>
      <c r="P435" t="s">
        <v>16</v>
      </c>
      <c r="Q435"/>
    </row>
    <row r="436" spans="1:17" ht="15" x14ac:dyDescent="0.25">
      <c r="A436" t="s">
        <v>5</v>
      </c>
      <c r="B436" t="s">
        <v>882</v>
      </c>
      <c r="C436" t="s">
        <v>858</v>
      </c>
      <c r="D436" t="s">
        <v>1774</v>
      </c>
      <c r="E436" t="s">
        <v>1775</v>
      </c>
      <c r="F436" t="s">
        <v>885</v>
      </c>
      <c r="G436" s="30">
        <v>31.8</v>
      </c>
      <c r="H436" s="29">
        <f>G436*(1-IFERROR(VLOOKUP(F436,Rabat!$D$10:$E$41,2,FALSE),0))</f>
        <v>31.8</v>
      </c>
      <c r="I436" t="s">
        <v>2540</v>
      </c>
      <c r="J436" t="s">
        <v>492</v>
      </c>
      <c r="K436" t="s">
        <v>2538</v>
      </c>
      <c r="L436">
        <v>100</v>
      </c>
      <c r="M436">
        <v>2800</v>
      </c>
      <c r="N436" t="s">
        <v>2544</v>
      </c>
      <c r="O436" s="31" t="str">
        <f>HYPERLINK("https://b2b.kobi.pl/pl/product/10408,pierscien-ozdobny-oh28-chrom-kobi?currency=PLN")</f>
        <v>https://b2b.kobi.pl/pl/product/10408,pierscien-ozdobny-oh28-chrom-kobi?currency=PLN</v>
      </c>
      <c r="P436" t="s">
        <v>16</v>
      </c>
      <c r="Q436"/>
    </row>
    <row r="437" spans="1:17" ht="15" x14ac:dyDescent="0.25">
      <c r="A437" t="s">
        <v>5</v>
      </c>
      <c r="B437" t="s">
        <v>882</v>
      </c>
      <c r="C437" t="s">
        <v>858</v>
      </c>
      <c r="D437" t="s">
        <v>1776</v>
      </c>
      <c r="E437" t="s">
        <v>1777</v>
      </c>
      <c r="F437" t="s">
        <v>885</v>
      </c>
      <c r="G437" s="30">
        <v>31.8</v>
      </c>
      <c r="H437" s="29">
        <f>G437*(1-IFERROR(VLOOKUP(F437,Rabat!$D$10:$E$41,2,FALSE),0))</f>
        <v>31.8</v>
      </c>
      <c r="I437" t="s">
        <v>2540</v>
      </c>
      <c r="J437" t="s">
        <v>493</v>
      </c>
      <c r="K437" t="s">
        <v>2538</v>
      </c>
      <c r="L437">
        <v>100</v>
      </c>
      <c r="M437">
        <v>2800</v>
      </c>
      <c r="N437" t="s">
        <v>2544</v>
      </c>
      <c r="O437" s="31" t="str">
        <f>HYPERLINK("https://b2b.kobi.pl/pl/product/10409,pierscien-ozdobny-oh28-czarny-kobi?currency=PLN")</f>
        <v>https://b2b.kobi.pl/pl/product/10409,pierscien-ozdobny-oh28-czarny-kobi?currency=PLN</v>
      </c>
      <c r="P437" t="s">
        <v>16</v>
      </c>
      <c r="Q437"/>
    </row>
    <row r="438" spans="1:17" ht="15" x14ac:dyDescent="0.25">
      <c r="A438" t="s">
        <v>5</v>
      </c>
      <c r="B438" t="s">
        <v>882</v>
      </c>
      <c r="C438" t="s">
        <v>858</v>
      </c>
      <c r="D438" t="s">
        <v>1778</v>
      </c>
      <c r="E438" t="s">
        <v>1779</v>
      </c>
      <c r="F438" t="s">
        <v>885</v>
      </c>
      <c r="G438" s="30">
        <v>31.8</v>
      </c>
      <c r="H438" s="29">
        <f>G438*(1-IFERROR(VLOOKUP(F438,Rabat!$D$10:$E$41,2,FALSE),0))</f>
        <v>31.8</v>
      </c>
      <c r="I438" t="s">
        <v>2540</v>
      </c>
      <c r="J438" t="s">
        <v>495</v>
      </c>
      <c r="K438" t="s">
        <v>2538</v>
      </c>
      <c r="L438">
        <v>100</v>
      </c>
      <c r="M438"/>
      <c r="N438" t="s">
        <v>2544</v>
      </c>
      <c r="O438" s="31" t="str">
        <f>HYPERLINK("https://b2b.kobi.pl/pl/product/10410,pierscien-ozdobny-oh28-mat-bialy-kobi?currency=PLN")</f>
        <v>https://b2b.kobi.pl/pl/product/10410,pierscien-ozdobny-oh28-mat-bialy-kobi?currency=PLN</v>
      </c>
      <c r="P438" t="s">
        <v>16</v>
      </c>
      <c r="Q438"/>
    </row>
    <row r="439" spans="1:17" ht="15" x14ac:dyDescent="0.25">
      <c r="A439" t="s">
        <v>5</v>
      </c>
      <c r="B439" t="s">
        <v>882</v>
      </c>
      <c r="C439" t="s">
        <v>858</v>
      </c>
      <c r="D439" t="s">
        <v>1780</v>
      </c>
      <c r="E439" t="s">
        <v>1781</v>
      </c>
      <c r="F439" t="s">
        <v>885</v>
      </c>
      <c r="G439" s="30">
        <v>31.8</v>
      </c>
      <c r="H439" s="29">
        <f>G439*(1-IFERROR(VLOOKUP(F439,Rabat!$D$10:$E$41,2,FALSE),0))</f>
        <v>31.8</v>
      </c>
      <c r="I439" t="s">
        <v>2540</v>
      </c>
      <c r="J439" t="s">
        <v>494</v>
      </c>
      <c r="K439" t="s">
        <v>2538</v>
      </c>
      <c r="L439">
        <v>100</v>
      </c>
      <c r="M439">
        <v>2800</v>
      </c>
      <c r="N439" t="s">
        <v>2544</v>
      </c>
      <c r="O439" s="31" t="str">
        <f>HYPERLINK("https://b2b.kobi.pl/pl/product/10411,pierscien-ozdobny-oh28-mat-czarny-kobi?currency=PLN")</f>
        <v>https://b2b.kobi.pl/pl/product/10411,pierscien-ozdobny-oh28-mat-czarny-kobi?currency=PLN</v>
      </c>
      <c r="P439" t="s">
        <v>16</v>
      </c>
      <c r="Q439"/>
    </row>
    <row r="440" spans="1:17" ht="15" x14ac:dyDescent="0.25">
      <c r="A440" t="s">
        <v>5</v>
      </c>
      <c r="B440" t="s">
        <v>882</v>
      </c>
      <c r="C440" t="s">
        <v>858</v>
      </c>
      <c r="D440" t="s">
        <v>2492</v>
      </c>
      <c r="E440" t="s">
        <v>2493</v>
      </c>
      <c r="F440" t="s">
        <v>885</v>
      </c>
      <c r="G440" s="30">
        <v>44</v>
      </c>
      <c r="H440" s="29">
        <f>G440*(1-IFERROR(VLOOKUP(F440,Rabat!$D$10:$E$41,2,FALSE),0))</f>
        <v>44</v>
      </c>
      <c r="I440" t="s">
        <v>2540</v>
      </c>
      <c r="J440" t="s">
        <v>2673</v>
      </c>
      <c r="K440" t="s">
        <v>2538</v>
      </c>
      <c r="L440">
        <v>30</v>
      </c>
      <c r="M440"/>
      <c r="N440" t="s">
        <v>2544</v>
      </c>
      <c r="O440" s="31" t="str">
        <f>HYPERLINK("https://b2b.kobi.pl/pl/product/10392,pierscien-ozdobny-oh228-chrom-kobi?currency=PLN")</f>
        <v>https://b2b.kobi.pl/pl/product/10392,pierscien-ozdobny-oh228-chrom-kobi?currency=PLN</v>
      </c>
      <c r="P440" t="s">
        <v>16</v>
      </c>
      <c r="Q440" t="s">
        <v>2700</v>
      </c>
    </row>
    <row r="441" spans="1:17" ht="15" x14ac:dyDescent="0.25">
      <c r="A441" t="s">
        <v>5</v>
      </c>
      <c r="B441" t="s">
        <v>882</v>
      </c>
      <c r="C441" t="s">
        <v>858</v>
      </c>
      <c r="D441" t="s">
        <v>1760</v>
      </c>
      <c r="E441" t="s">
        <v>1761</v>
      </c>
      <c r="F441" t="s">
        <v>885</v>
      </c>
      <c r="G441" s="30">
        <v>44</v>
      </c>
      <c r="H441" s="29">
        <f>G441*(1-IFERROR(VLOOKUP(F441,Rabat!$D$10:$E$41,2,FALSE),0))</f>
        <v>44</v>
      </c>
      <c r="I441" t="s">
        <v>2540</v>
      </c>
      <c r="J441" t="s">
        <v>491</v>
      </c>
      <c r="K441" t="s">
        <v>2538</v>
      </c>
      <c r="L441">
        <v>30</v>
      </c>
      <c r="M441"/>
      <c r="N441" t="s">
        <v>2544</v>
      </c>
      <c r="O441" s="31" t="str">
        <f>HYPERLINK("https://b2b.kobi.pl/pl/product/10393,pierscien-ozdobny-oh228-czarny-kobi?currency=PLN")</f>
        <v>https://b2b.kobi.pl/pl/product/10393,pierscien-ozdobny-oh228-czarny-kobi?currency=PLN</v>
      </c>
      <c r="P441" t="s">
        <v>16</v>
      </c>
      <c r="Q441" t="s">
        <v>2700</v>
      </c>
    </row>
    <row r="442" spans="1:17" ht="15" x14ac:dyDescent="0.25">
      <c r="A442" t="s">
        <v>5</v>
      </c>
      <c r="B442" t="s">
        <v>882</v>
      </c>
      <c r="C442" t="s">
        <v>858</v>
      </c>
      <c r="D442" t="s">
        <v>1782</v>
      </c>
      <c r="E442" t="s">
        <v>1783</v>
      </c>
      <c r="F442" t="s">
        <v>885</v>
      </c>
      <c r="G442" s="30">
        <v>25.58</v>
      </c>
      <c r="H442" s="29">
        <f>G442*(1-IFERROR(VLOOKUP(F442,Rabat!$D$10:$E$41,2,FALSE),0))</f>
        <v>25.58</v>
      </c>
      <c r="I442" t="s">
        <v>2540</v>
      </c>
      <c r="J442" t="s">
        <v>496</v>
      </c>
      <c r="K442" t="s">
        <v>2538</v>
      </c>
      <c r="L442">
        <v>100</v>
      </c>
      <c r="M442">
        <v>3200</v>
      </c>
      <c r="N442" t="s">
        <v>2544</v>
      </c>
      <c r="O442" s="31" t="str">
        <f>HYPERLINK("https://b2b.kobi.pl/pl/product/10412,pierscien-ozdobny-oh29-chrom-kobi?currency=PLN")</f>
        <v>https://b2b.kobi.pl/pl/product/10412,pierscien-ozdobny-oh29-chrom-kobi?currency=PLN</v>
      </c>
      <c r="P442" t="s">
        <v>16</v>
      </c>
      <c r="Q442"/>
    </row>
    <row r="443" spans="1:17" ht="15" x14ac:dyDescent="0.25">
      <c r="A443" t="s">
        <v>5</v>
      </c>
      <c r="B443" t="s">
        <v>882</v>
      </c>
      <c r="C443" t="s">
        <v>858</v>
      </c>
      <c r="D443" t="s">
        <v>1784</v>
      </c>
      <c r="E443" t="s">
        <v>1785</v>
      </c>
      <c r="F443" t="s">
        <v>885</v>
      </c>
      <c r="G443" s="30">
        <v>25.58</v>
      </c>
      <c r="H443" s="29">
        <f>G443*(1-IFERROR(VLOOKUP(F443,Rabat!$D$10:$E$41,2,FALSE),0))</f>
        <v>25.58</v>
      </c>
      <c r="I443" t="s">
        <v>2540</v>
      </c>
      <c r="J443" t="s">
        <v>497</v>
      </c>
      <c r="K443" t="s">
        <v>2538</v>
      </c>
      <c r="L443">
        <v>100</v>
      </c>
      <c r="M443">
        <v>3200</v>
      </c>
      <c r="N443" t="s">
        <v>2544</v>
      </c>
      <c r="O443" s="31" t="str">
        <f>HYPERLINK("https://b2b.kobi.pl/pl/product/10413,pierscien-ozdobny-oh29-czarny-kobi?currency=PLN")</f>
        <v>https://b2b.kobi.pl/pl/product/10413,pierscien-ozdobny-oh29-czarny-kobi?currency=PLN</v>
      </c>
      <c r="P443" t="s">
        <v>16</v>
      </c>
      <c r="Q443"/>
    </row>
    <row r="444" spans="1:17" ht="15" x14ac:dyDescent="0.25">
      <c r="A444" t="s">
        <v>5</v>
      </c>
      <c r="B444" t="s">
        <v>882</v>
      </c>
      <c r="C444" t="s">
        <v>858</v>
      </c>
      <c r="D444" t="s">
        <v>1786</v>
      </c>
      <c r="E444" t="s">
        <v>1787</v>
      </c>
      <c r="F444" t="s">
        <v>885</v>
      </c>
      <c r="G444" s="30">
        <v>25.58</v>
      </c>
      <c r="H444" s="29">
        <f>G444*(1-IFERROR(VLOOKUP(F444,Rabat!$D$10:$E$41,2,FALSE),0))</f>
        <v>25.58</v>
      </c>
      <c r="I444" t="s">
        <v>2540</v>
      </c>
      <c r="J444" t="s">
        <v>498</v>
      </c>
      <c r="K444" t="s">
        <v>2538</v>
      </c>
      <c r="L444">
        <v>100</v>
      </c>
      <c r="M444">
        <v>4000</v>
      </c>
      <c r="N444" t="s">
        <v>2544</v>
      </c>
      <c r="O444" s="31" t="str">
        <f>HYPERLINK("https://b2b.kobi.pl/pl/product/10414,pierscien-ozdobny-oh29-mat-bialy-kobi?currency=PLN")</f>
        <v>https://b2b.kobi.pl/pl/product/10414,pierscien-ozdobny-oh29-mat-bialy-kobi?currency=PLN</v>
      </c>
      <c r="P444" t="s">
        <v>16</v>
      </c>
      <c r="Q444"/>
    </row>
    <row r="445" spans="1:17" ht="15" x14ac:dyDescent="0.25">
      <c r="A445" t="s">
        <v>5</v>
      </c>
      <c r="B445" t="s">
        <v>882</v>
      </c>
      <c r="C445" t="s">
        <v>858</v>
      </c>
      <c r="D445" t="s">
        <v>1788</v>
      </c>
      <c r="E445" t="s">
        <v>1789</v>
      </c>
      <c r="F445" t="s">
        <v>885</v>
      </c>
      <c r="G445" s="30">
        <v>25.58</v>
      </c>
      <c r="H445" s="29">
        <f>G445*(1-IFERROR(VLOOKUP(F445,Rabat!$D$10:$E$41,2,FALSE),0))</f>
        <v>25.58</v>
      </c>
      <c r="I445" t="s">
        <v>2540</v>
      </c>
      <c r="J445" t="s">
        <v>499</v>
      </c>
      <c r="K445" t="s">
        <v>2538</v>
      </c>
      <c r="L445">
        <v>100</v>
      </c>
      <c r="M445">
        <v>3200</v>
      </c>
      <c r="N445" t="s">
        <v>2544</v>
      </c>
      <c r="O445" s="31" t="str">
        <f>HYPERLINK("https://b2b.kobi.pl/pl/product/10415,pierscien-ozdobny-oh29-mat-czarny-kobi?currency=PLN")</f>
        <v>https://b2b.kobi.pl/pl/product/10415,pierscien-ozdobny-oh29-mat-czarny-kobi?currency=PLN</v>
      </c>
      <c r="P445" t="s">
        <v>16</v>
      </c>
      <c r="Q445"/>
    </row>
    <row r="446" spans="1:17" ht="15" x14ac:dyDescent="0.25">
      <c r="A446" t="s">
        <v>5</v>
      </c>
      <c r="B446" t="s">
        <v>882</v>
      </c>
      <c r="C446" t="s">
        <v>858</v>
      </c>
      <c r="D446" t="s">
        <v>1792</v>
      </c>
      <c r="E446" t="s">
        <v>1793</v>
      </c>
      <c r="F446" t="s">
        <v>885</v>
      </c>
      <c r="G446" s="30">
        <v>38.85</v>
      </c>
      <c r="H446" s="29">
        <f>G446*(1-IFERROR(VLOOKUP(F446,Rabat!$D$10:$E$41,2,FALSE),0))</f>
        <v>38.85</v>
      </c>
      <c r="I446" t="s">
        <v>2540</v>
      </c>
      <c r="J446" t="s">
        <v>482</v>
      </c>
      <c r="K446" t="s">
        <v>2538</v>
      </c>
      <c r="L446">
        <v>50</v>
      </c>
      <c r="M446">
        <v>2000</v>
      </c>
      <c r="N446" t="s">
        <v>2544</v>
      </c>
      <c r="O446" s="31" t="str">
        <f>HYPERLINK("https://b2b.kobi.pl/pl/product/10420,pierscien-ozdobny-oh34-ip44-chrom-kobi?currency=PLN")</f>
        <v>https://b2b.kobi.pl/pl/product/10420,pierscien-ozdobny-oh34-ip44-chrom-kobi?currency=PLN</v>
      </c>
      <c r="P446" t="s">
        <v>16</v>
      </c>
      <c r="Q446" t="s">
        <v>2700</v>
      </c>
    </row>
    <row r="447" spans="1:17" ht="15" x14ac:dyDescent="0.25">
      <c r="A447" t="s">
        <v>5</v>
      </c>
      <c r="B447" t="s">
        <v>882</v>
      </c>
      <c r="C447" t="s">
        <v>858</v>
      </c>
      <c r="D447" t="s">
        <v>1794</v>
      </c>
      <c r="E447" t="s">
        <v>1795</v>
      </c>
      <c r="F447" t="s">
        <v>885</v>
      </c>
      <c r="G447" s="30">
        <v>38.85</v>
      </c>
      <c r="H447" s="29">
        <f>G447*(1-IFERROR(VLOOKUP(F447,Rabat!$D$10:$E$41,2,FALSE),0))</f>
        <v>38.85</v>
      </c>
      <c r="I447" t="s">
        <v>2540</v>
      </c>
      <c r="J447" t="s">
        <v>483</v>
      </c>
      <c r="K447" t="s">
        <v>2538</v>
      </c>
      <c r="L447">
        <v>50</v>
      </c>
      <c r="M447">
        <v>2000</v>
      </c>
      <c r="N447" t="s">
        <v>2544</v>
      </c>
      <c r="O447" s="31" t="str">
        <f>HYPERLINK("https://b2b.kobi.pl/pl/product/10422,pierscien-ozdobny-oh34-ip44-mat-czarny-kobi?currency=PLN")</f>
        <v>https://b2b.kobi.pl/pl/product/10422,pierscien-ozdobny-oh34-ip44-mat-czarny-kobi?currency=PLN</v>
      </c>
      <c r="P447" t="s">
        <v>16</v>
      </c>
      <c r="Q447"/>
    </row>
    <row r="448" spans="1:17" ht="15" x14ac:dyDescent="0.25">
      <c r="A448" t="s">
        <v>5</v>
      </c>
      <c r="B448" t="s">
        <v>882</v>
      </c>
      <c r="C448" t="s">
        <v>858</v>
      </c>
      <c r="D448" t="s">
        <v>883</v>
      </c>
      <c r="E448" t="s">
        <v>884</v>
      </c>
      <c r="F448" t="s">
        <v>885</v>
      </c>
      <c r="G448" s="30">
        <v>59.05</v>
      </c>
      <c r="H448" s="29">
        <f>G448*(1-IFERROR(VLOOKUP(F448,Rabat!$D$10:$E$41,2,FALSE),0))</f>
        <v>59.05</v>
      </c>
      <c r="I448" t="s">
        <v>2546</v>
      </c>
      <c r="J448" t="s">
        <v>500</v>
      </c>
      <c r="K448" t="s">
        <v>2538</v>
      </c>
      <c r="L448">
        <v>50</v>
      </c>
      <c r="M448">
        <v>2400</v>
      </c>
      <c r="N448" t="s">
        <v>2544</v>
      </c>
      <c r="O448" s="31" t="str">
        <f>HYPERLINK("https://b2b.kobi.pl/pl/product/10465,downlight-led-halo-5w-3000k-kobi?currency=PLN")</f>
        <v>https://b2b.kobi.pl/pl/product/10465,downlight-led-halo-5w-3000k-kobi?currency=PLN</v>
      </c>
      <c r="P448" s="31" t="str">
        <f>HYPERLINK("https://eprel.ec.europa.eu/qr/807386")</f>
        <v>https://eprel.ec.europa.eu/qr/807386</v>
      </c>
      <c r="Q448"/>
    </row>
    <row r="449" spans="1:17" ht="15" x14ac:dyDescent="0.25">
      <c r="A449" t="s">
        <v>5</v>
      </c>
      <c r="B449" t="s">
        <v>882</v>
      </c>
      <c r="C449" t="s">
        <v>858</v>
      </c>
      <c r="D449" t="s">
        <v>886</v>
      </c>
      <c r="E449" t="s">
        <v>887</v>
      </c>
      <c r="F449" t="s">
        <v>885</v>
      </c>
      <c r="G449" s="30">
        <v>59.05</v>
      </c>
      <c r="H449" s="29">
        <f>G449*(1-IFERROR(VLOOKUP(F449,Rabat!$D$10:$E$41,2,FALSE),0))</f>
        <v>59.05</v>
      </c>
      <c r="I449" t="s">
        <v>2546</v>
      </c>
      <c r="J449" t="s">
        <v>501</v>
      </c>
      <c r="K449" t="s">
        <v>2538</v>
      </c>
      <c r="L449">
        <v>50</v>
      </c>
      <c r="M449">
        <v>2850</v>
      </c>
      <c r="N449" t="s">
        <v>2544</v>
      </c>
      <c r="O449" s="31" t="str">
        <f>HYPERLINK("https://b2b.kobi.pl/pl/product/10466,downlight-led-halo-5w-4000k-kobi?currency=PLN")</f>
        <v>https://b2b.kobi.pl/pl/product/10466,downlight-led-halo-5w-4000k-kobi?currency=PLN</v>
      </c>
      <c r="P449" s="31" t="str">
        <f>HYPERLINK("https://eprel.ec.europa.eu/qr/807424")</f>
        <v>https://eprel.ec.europa.eu/qr/807424</v>
      </c>
      <c r="Q449"/>
    </row>
    <row r="450" spans="1:17" ht="15" x14ac:dyDescent="0.25">
      <c r="A450" t="s">
        <v>5</v>
      </c>
      <c r="B450" t="s">
        <v>882</v>
      </c>
      <c r="C450" t="s">
        <v>858</v>
      </c>
      <c r="D450" t="s">
        <v>1800</v>
      </c>
      <c r="E450" t="s">
        <v>1801</v>
      </c>
      <c r="F450" t="s">
        <v>885</v>
      </c>
      <c r="G450" s="30">
        <v>31.93</v>
      </c>
      <c r="H450" s="29">
        <f>G450*(1-IFERROR(VLOOKUP(F450,Rabat!$D$10:$E$41,2,FALSE),0))</f>
        <v>31.93</v>
      </c>
      <c r="I450" t="s">
        <v>2540</v>
      </c>
      <c r="J450" t="s">
        <v>2605</v>
      </c>
      <c r="K450" t="s">
        <v>2538</v>
      </c>
      <c r="L450">
        <v>50</v>
      </c>
      <c r="M450"/>
      <c r="N450" t="s">
        <v>2544</v>
      </c>
      <c r="O450" s="31" t="str">
        <f>HYPERLINK("https://b2b.kobi.pl/pl/product/10453,pierscien-ozdobny-oh50-czarny-kobi?currency=PLN")</f>
        <v>https://b2b.kobi.pl/pl/product/10453,pierscien-ozdobny-oh50-czarny-kobi?currency=PLN</v>
      </c>
      <c r="P450" t="s">
        <v>16</v>
      </c>
      <c r="Q450" t="s">
        <v>2700</v>
      </c>
    </row>
    <row r="451" spans="1:17" ht="15" x14ac:dyDescent="0.25">
      <c r="A451" t="s">
        <v>5</v>
      </c>
      <c r="B451" t="s">
        <v>882</v>
      </c>
      <c r="C451" t="s">
        <v>858</v>
      </c>
      <c r="D451" t="s">
        <v>1808</v>
      </c>
      <c r="E451" t="s">
        <v>1809</v>
      </c>
      <c r="F451" t="s">
        <v>885</v>
      </c>
      <c r="G451" s="30">
        <v>31.93</v>
      </c>
      <c r="H451" s="29">
        <f>G451*(1-IFERROR(VLOOKUP(F451,Rabat!$D$10:$E$41,2,FALSE),0))</f>
        <v>31.93</v>
      </c>
      <c r="I451" t="s">
        <v>2540</v>
      </c>
      <c r="J451" t="s">
        <v>484</v>
      </c>
      <c r="K451" t="s">
        <v>2538</v>
      </c>
      <c r="L451">
        <v>50</v>
      </c>
      <c r="M451"/>
      <c r="N451" t="s">
        <v>2544</v>
      </c>
      <c r="O451" s="31" t="str">
        <f>HYPERLINK("https://b2b.kobi.pl/pl/product/10455,pierscien-ozdobny-oh51-czarny-kobi?currency=PLN")</f>
        <v>https://b2b.kobi.pl/pl/product/10455,pierscien-ozdobny-oh51-czarny-kobi?currency=PLN</v>
      </c>
      <c r="P451" t="s">
        <v>16</v>
      </c>
      <c r="Q451" t="s">
        <v>2700</v>
      </c>
    </row>
    <row r="452" spans="1:17" ht="15" x14ac:dyDescent="0.25">
      <c r="A452" t="s">
        <v>5</v>
      </c>
      <c r="B452" t="s">
        <v>882</v>
      </c>
      <c r="C452" t="s">
        <v>858</v>
      </c>
      <c r="D452" t="s">
        <v>1804</v>
      </c>
      <c r="E452" t="s">
        <v>1805</v>
      </c>
      <c r="F452" t="s">
        <v>885</v>
      </c>
      <c r="G452" s="30">
        <v>31.93</v>
      </c>
      <c r="H452" s="29">
        <f>G452*(1-IFERROR(VLOOKUP(F452,Rabat!$D$10:$E$41,2,FALSE),0))</f>
        <v>31.93</v>
      </c>
      <c r="I452" t="s">
        <v>2540</v>
      </c>
      <c r="J452" t="s">
        <v>485</v>
      </c>
      <c r="K452" t="s">
        <v>2538</v>
      </c>
      <c r="L452">
        <v>50</v>
      </c>
      <c r="M452"/>
      <c r="N452" t="s">
        <v>2544</v>
      </c>
      <c r="O452" s="31" t="str">
        <f>HYPERLINK("https://b2b.kobi.pl/pl/product/10454,pierscien-ozdobny-oh51-przezroczysty-kobi?currency=PLN")</f>
        <v>https://b2b.kobi.pl/pl/product/10454,pierscien-ozdobny-oh51-przezroczysty-kobi?currency=PLN</v>
      </c>
      <c r="P452" t="s">
        <v>16</v>
      </c>
      <c r="Q452" t="s">
        <v>2700</v>
      </c>
    </row>
    <row r="453" spans="1:17" ht="15" x14ac:dyDescent="0.25">
      <c r="A453" t="s">
        <v>5</v>
      </c>
      <c r="B453" t="s">
        <v>882</v>
      </c>
      <c r="C453" t="s">
        <v>858</v>
      </c>
      <c r="D453" t="s">
        <v>1790</v>
      </c>
      <c r="E453" t="s">
        <v>1791</v>
      </c>
      <c r="F453" t="s">
        <v>885</v>
      </c>
      <c r="G453" s="30">
        <v>28</v>
      </c>
      <c r="H453" s="29">
        <f>G453*(1-IFERROR(VLOOKUP(F453,Rabat!$D$10:$E$41,2,FALSE),0))</f>
        <v>28</v>
      </c>
      <c r="I453" t="s">
        <v>2540</v>
      </c>
      <c r="J453" t="s">
        <v>2603</v>
      </c>
      <c r="K453" t="s">
        <v>2538</v>
      </c>
      <c r="L453">
        <v>100</v>
      </c>
      <c r="M453"/>
      <c r="N453" t="s">
        <v>2544</v>
      </c>
      <c r="O453" s="31" t="str">
        <f>HYPERLINK("https://b2b.kobi.pl/pl/product/10418,oprawka-halogenowa-oh33-bialy-kobi?currency=PLN")</f>
        <v>https://b2b.kobi.pl/pl/product/10418,oprawka-halogenowa-oh33-bialy-kobi?currency=PLN</v>
      </c>
      <c r="P453" t="s">
        <v>16</v>
      </c>
      <c r="Q453" t="s">
        <v>2700</v>
      </c>
    </row>
    <row r="454" spans="1:17" ht="15" x14ac:dyDescent="0.25">
      <c r="A454" t="s">
        <v>5</v>
      </c>
      <c r="B454" t="s">
        <v>882</v>
      </c>
      <c r="C454" t="s">
        <v>858</v>
      </c>
      <c r="D454" t="s">
        <v>2496</v>
      </c>
      <c r="E454" t="s">
        <v>2497</v>
      </c>
      <c r="F454" t="s">
        <v>885</v>
      </c>
      <c r="G454" s="30">
        <v>61.4</v>
      </c>
      <c r="H454" s="29">
        <f>G454*(1-IFERROR(VLOOKUP(F454,Rabat!$D$10:$E$41,2,FALSE),0))</f>
        <v>61.4</v>
      </c>
      <c r="I454" t="s">
        <v>2540</v>
      </c>
      <c r="J454" t="s">
        <v>468</v>
      </c>
      <c r="K454" t="s">
        <v>2538</v>
      </c>
      <c r="L454">
        <v>20</v>
      </c>
      <c r="M454">
        <v>420</v>
      </c>
      <c r="N454" t="s">
        <v>2544</v>
      </c>
      <c r="O454"/>
      <c r="P454" t="s">
        <v>16</v>
      </c>
      <c r="Q454" t="s">
        <v>2700</v>
      </c>
    </row>
    <row r="455" spans="1:17" ht="15" x14ac:dyDescent="0.25">
      <c r="A455" t="s">
        <v>5</v>
      </c>
      <c r="B455" t="s">
        <v>882</v>
      </c>
      <c r="C455" t="s">
        <v>2427</v>
      </c>
      <c r="D455" t="s">
        <v>2428</v>
      </c>
      <c r="E455" t="s">
        <v>2429</v>
      </c>
      <c r="F455" t="s">
        <v>885</v>
      </c>
      <c r="G455" s="30">
        <v>9.9</v>
      </c>
      <c r="H455" s="29">
        <f>G455*(1-IFERROR(VLOOKUP(F455,Rabat!$D$10:$E$41,2,FALSE),0))</f>
        <v>9.9</v>
      </c>
      <c r="I455" t="s">
        <v>2540</v>
      </c>
      <c r="J455" t="s">
        <v>2644</v>
      </c>
      <c r="K455" t="s">
        <v>2538</v>
      </c>
      <c r="L455">
        <v>100</v>
      </c>
      <c r="M455"/>
      <c r="N455" t="s">
        <v>2544</v>
      </c>
      <c r="O455"/>
      <c r="P455" t="s">
        <v>16</v>
      </c>
      <c r="Q455" t="s">
        <v>2700</v>
      </c>
    </row>
    <row r="456" spans="1:17" ht="15" x14ac:dyDescent="0.25">
      <c r="A456" t="s">
        <v>5</v>
      </c>
      <c r="B456" t="s">
        <v>882</v>
      </c>
      <c r="C456" t="s">
        <v>2427</v>
      </c>
      <c r="D456" t="s">
        <v>2430</v>
      </c>
      <c r="E456" t="s">
        <v>2431</v>
      </c>
      <c r="F456" t="s">
        <v>885</v>
      </c>
      <c r="G456" s="30">
        <v>9.9</v>
      </c>
      <c r="H456" s="29">
        <f>G456*(1-IFERROR(VLOOKUP(F456,Rabat!$D$10:$E$41,2,FALSE),0))</f>
        <v>9.9</v>
      </c>
      <c r="I456" t="s">
        <v>2540</v>
      </c>
      <c r="J456" t="s">
        <v>2645</v>
      </c>
      <c r="K456" t="s">
        <v>2538</v>
      </c>
      <c r="L456">
        <v>100</v>
      </c>
      <c r="M456"/>
      <c r="N456" t="s">
        <v>2544</v>
      </c>
      <c r="O456"/>
      <c r="P456" t="s">
        <v>16</v>
      </c>
      <c r="Q456" t="s">
        <v>2700</v>
      </c>
    </row>
    <row r="457" spans="1:17" ht="15" x14ac:dyDescent="0.25">
      <c r="A457" t="s">
        <v>5</v>
      </c>
      <c r="B457" t="s">
        <v>882</v>
      </c>
      <c r="C457" t="s">
        <v>2427</v>
      </c>
      <c r="D457" t="s">
        <v>2488</v>
      </c>
      <c r="E457" t="s">
        <v>2489</v>
      </c>
      <c r="F457" t="s">
        <v>885</v>
      </c>
      <c r="G457" s="30">
        <v>9.35</v>
      </c>
      <c r="H457" s="29">
        <f>G457*(1-IFERROR(VLOOKUP(F457,Rabat!$D$10:$E$41,2,FALSE),0))</f>
        <v>9.35</v>
      </c>
      <c r="I457" t="s">
        <v>2540</v>
      </c>
      <c r="J457" t="s">
        <v>2671</v>
      </c>
      <c r="K457" t="s">
        <v>2538</v>
      </c>
      <c r="L457">
        <v>30</v>
      </c>
      <c r="M457"/>
      <c r="N457" t="s">
        <v>2544</v>
      </c>
      <c r="O457"/>
      <c r="P457" t="s">
        <v>16</v>
      </c>
      <c r="Q457" t="s">
        <v>2700</v>
      </c>
    </row>
    <row r="458" spans="1:17" ht="15" x14ac:dyDescent="0.25">
      <c r="A458" t="s">
        <v>4</v>
      </c>
      <c r="B458" t="s">
        <v>1341</v>
      </c>
      <c r="C458" t="s">
        <v>792</v>
      </c>
      <c r="D458" t="s">
        <v>1342</v>
      </c>
      <c r="E458" t="s">
        <v>1343</v>
      </c>
      <c r="F458" t="s">
        <v>1344</v>
      </c>
      <c r="G458" s="30">
        <v>1350</v>
      </c>
      <c r="H458" s="29">
        <f>G458*(1-IFERROR(VLOOKUP(F458,Rabat!$D$10:$E$41,2,FALSE),0))</f>
        <v>1350</v>
      </c>
      <c r="I458" t="s">
        <v>2549</v>
      </c>
      <c r="J458" t="s">
        <v>346</v>
      </c>
      <c r="K458" t="s">
        <v>2538</v>
      </c>
      <c r="L458">
        <v>4</v>
      </c>
      <c r="M458"/>
      <c r="N458" t="s">
        <v>2539</v>
      </c>
      <c r="O458" s="31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58" s="31" t="str">
        <f>HYPERLINK("https://eprel.ec.europa.eu/qr/1864776")</f>
        <v>https://eprel.ec.europa.eu/qr/1864776</v>
      </c>
      <c r="Q458" t="s">
        <v>2700</v>
      </c>
    </row>
    <row r="459" spans="1:17" ht="15" x14ac:dyDescent="0.25">
      <c r="A459" t="s">
        <v>4</v>
      </c>
      <c r="B459" t="s">
        <v>1341</v>
      </c>
      <c r="C459" t="s">
        <v>858</v>
      </c>
      <c r="D459" t="s">
        <v>1566</v>
      </c>
      <c r="E459" t="s">
        <v>1567</v>
      </c>
      <c r="F459" t="s">
        <v>1344</v>
      </c>
      <c r="G459" s="30">
        <v>379.01</v>
      </c>
      <c r="H459" s="29">
        <f>G459*(1-IFERROR(VLOOKUP(F459,Rabat!$D$10:$E$41,2,FALSE),0))</f>
        <v>379.01</v>
      </c>
      <c r="I459" t="s">
        <v>2540</v>
      </c>
      <c r="J459" t="s">
        <v>318</v>
      </c>
      <c r="K459" t="s">
        <v>2538</v>
      </c>
      <c r="L459">
        <v>6</v>
      </c>
      <c r="M459">
        <v>72</v>
      </c>
      <c r="N459" t="s">
        <v>2544</v>
      </c>
      <c r="O459" s="31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59" t="s">
        <v>16</v>
      </c>
      <c r="Q459"/>
    </row>
    <row r="460" spans="1:17" ht="15" x14ac:dyDescent="0.25">
      <c r="A460" t="s">
        <v>4</v>
      </c>
      <c r="B460" t="s">
        <v>1341</v>
      </c>
      <c r="C460" t="s">
        <v>840</v>
      </c>
      <c r="D460" t="s">
        <v>1632</v>
      </c>
      <c r="E460" t="s">
        <v>1633</v>
      </c>
      <c r="F460" t="s">
        <v>1344</v>
      </c>
      <c r="G460" s="30">
        <v>688.89</v>
      </c>
      <c r="H460" s="29">
        <f>G460*(1-IFERROR(VLOOKUP(F460,Rabat!$D$10:$E$41,2,FALSE),0))</f>
        <v>688.89</v>
      </c>
      <c r="I460" t="s">
        <v>2540</v>
      </c>
      <c r="J460" t="s">
        <v>2594</v>
      </c>
      <c r="K460" t="s">
        <v>2538</v>
      </c>
      <c r="L460">
        <v>4</v>
      </c>
      <c r="M460"/>
      <c r="N460" t="s">
        <v>2545</v>
      </c>
      <c r="O460" s="31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60" t="s">
        <v>16</v>
      </c>
      <c r="Q460"/>
    </row>
    <row r="461" spans="1:17" ht="15" x14ac:dyDescent="0.25">
      <c r="A461" t="s">
        <v>4</v>
      </c>
      <c r="B461" t="s">
        <v>1341</v>
      </c>
      <c r="C461" t="s">
        <v>840</v>
      </c>
      <c r="D461" t="s">
        <v>1568</v>
      </c>
      <c r="E461" t="s">
        <v>1569</v>
      </c>
      <c r="F461" t="s">
        <v>1344</v>
      </c>
      <c r="G461" s="30">
        <v>1194.94</v>
      </c>
      <c r="H461" s="29">
        <f>G461*(1-IFERROR(VLOOKUP(F461,Rabat!$D$10:$E$41,2,FALSE),0))</f>
        <v>1194.94</v>
      </c>
      <c r="I461" t="s">
        <v>2540</v>
      </c>
      <c r="J461" t="s">
        <v>319</v>
      </c>
      <c r="K461" t="s">
        <v>2538</v>
      </c>
      <c r="L461">
        <v>4</v>
      </c>
      <c r="M461">
        <v>48</v>
      </c>
      <c r="N461" t="s">
        <v>2545</v>
      </c>
      <c r="O461" s="31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61" t="s">
        <v>16</v>
      </c>
      <c r="Q461" t="s">
        <v>2700</v>
      </c>
    </row>
    <row r="462" spans="1:17" ht="15" x14ac:dyDescent="0.25">
      <c r="A462" t="s">
        <v>4</v>
      </c>
      <c r="B462" t="s">
        <v>26</v>
      </c>
      <c r="C462" t="s">
        <v>792</v>
      </c>
      <c r="D462" t="s">
        <v>808</v>
      </c>
      <c r="E462" t="s">
        <v>809</v>
      </c>
      <c r="F462" t="s">
        <v>810</v>
      </c>
      <c r="G462" s="30">
        <v>185</v>
      </c>
      <c r="H462" s="29">
        <f>G462*(1-IFERROR(VLOOKUP(F462,Rabat!$D$10:$E$41,2,FALSE),0))</f>
        <v>185</v>
      </c>
      <c r="I462" t="s">
        <v>2542</v>
      </c>
      <c r="J462" t="s">
        <v>374</v>
      </c>
      <c r="K462" t="s">
        <v>2538</v>
      </c>
      <c r="L462">
        <v>10</v>
      </c>
      <c r="M462">
        <v>200</v>
      </c>
      <c r="N462" t="s">
        <v>2539</v>
      </c>
      <c r="O462" s="31" t="str">
        <f>HYPERLINK("https://b2b.kobi.pl/pl/product/8409,plafon-led-numos-7w-4000k-lx-ip65-kobi-pro?currency=PLN")</f>
        <v>https://b2b.kobi.pl/pl/product/8409,plafon-led-numos-7w-4000k-lx-ip65-kobi-pro?currency=PLN</v>
      </c>
      <c r="P462" s="31" t="str">
        <f>HYPERLINK("https://eprel.ec.europa.eu/qr/1057273")</f>
        <v>https://eprel.ec.europa.eu/qr/1057273</v>
      </c>
      <c r="Q462"/>
    </row>
    <row r="463" spans="1:17" ht="15" x14ac:dyDescent="0.25">
      <c r="A463" t="s">
        <v>4</v>
      </c>
      <c r="B463" t="s">
        <v>26</v>
      </c>
      <c r="C463" t="s">
        <v>792</v>
      </c>
      <c r="D463" t="s">
        <v>811</v>
      </c>
      <c r="E463" t="s">
        <v>812</v>
      </c>
      <c r="F463" t="s">
        <v>810</v>
      </c>
      <c r="G463" s="30">
        <v>120</v>
      </c>
      <c r="H463" s="29">
        <f>G463*(1-IFERROR(VLOOKUP(F463,Rabat!$D$10:$E$41,2,FALSE),0))</f>
        <v>120</v>
      </c>
      <c r="I463" t="s">
        <v>2542</v>
      </c>
      <c r="J463" t="s">
        <v>375</v>
      </c>
      <c r="K463" t="s">
        <v>2538</v>
      </c>
      <c r="L463">
        <v>5</v>
      </c>
      <c r="M463">
        <v>250</v>
      </c>
      <c r="N463" t="s">
        <v>2539</v>
      </c>
      <c r="O463" s="31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63" s="31" t="str">
        <f>HYPERLINK("https://eprel.ec.europa.eu/qr/1057303")</f>
        <v>https://eprel.ec.europa.eu/qr/1057303</v>
      </c>
      <c r="Q463"/>
    </row>
    <row r="464" spans="1:17" ht="15" x14ac:dyDescent="0.25">
      <c r="A464" t="s">
        <v>4</v>
      </c>
      <c r="B464" t="s">
        <v>26</v>
      </c>
      <c r="C464" t="s">
        <v>792</v>
      </c>
      <c r="D464" t="s">
        <v>1287</v>
      </c>
      <c r="E464" t="s">
        <v>1288</v>
      </c>
      <c r="F464" t="s">
        <v>810</v>
      </c>
      <c r="G464" s="30">
        <v>161</v>
      </c>
      <c r="H464" s="29">
        <f>G464*(1-IFERROR(VLOOKUP(F464,Rabat!$D$10:$E$41,2,FALSE),0))</f>
        <v>161</v>
      </c>
      <c r="I464" t="s">
        <v>2549</v>
      </c>
      <c r="J464" t="s">
        <v>326</v>
      </c>
      <c r="K464" t="s">
        <v>2538</v>
      </c>
      <c r="L464">
        <v>4</v>
      </c>
      <c r="M464">
        <v>120</v>
      </c>
      <c r="N464" t="s">
        <v>2539</v>
      </c>
      <c r="O464" s="31" t="str">
        <f>HYPERLINK("https://b2b.kobi.pl/pl/product/9930,plafon-led-defender-18w-4000k-ip66-kobi-pro?currency=PLN")</f>
        <v>https://b2b.kobi.pl/pl/product/9930,plafon-led-defender-18w-4000k-ip66-kobi-pro?currency=PLN</v>
      </c>
      <c r="P464" s="31" t="str">
        <f>HYPERLINK("https://eprel.ec.europa.eu/qr/1789259")</f>
        <v>https://eprel.ec.europa.eu/qr/1789259</v>
      </c>
      <c r="Q464"/>
    </row>
    <row r="465" spans="1:17" ht="15" x14ac:dyDescent="0.25">
      <c r="A465" t="s">
        <v>4</v>
      </c>
      <c r="B465" t="s">
        <v>26</v>
      </c>
      <c r="C465" t="s">
        <v>792</v>
      </c>
      <c r="D465" t="s">
        <v>1291</v>
      </c>
      <c r="E465" t="s">
        <v>1292</v>
      </c>
      <c r="F465" t="s">
        <v>810</v>
      </c>
      <c r="G465" s="30">
        <v>185</v>
      </c>
      <c r="H465" s="29">
        <f>G465*(1-IFERROR(VLOOKUP(F465,Rabat!$D$10:$E$41,2,FALSE),0))</f>
        <v>185</v>
      </c>
      <c r="I465" t="s">
        <v>2549</v>
      </c>
      <c r="J465" t="s">
        <v>327</v>
      </c>
      <c r="K465" t="s">
        <v>2538</v>
      </c>
      <c r="L465">
        <v>4</v>
      </c>
      <c r="M465">
        <v>100</v>
      </c>
      <c r="N465" t="s">
        <v>2539</v>
      </c>
      <c r="O465" s="31" t="str">
        <f>HYPERLINK("https://b2b.kobi.pl/pl/product/9931,plafon-led-defender-24w-4000k-ip66-kobi-pro?currency=PLN")</f>
        <v>https://b2b.kobi.pl/pl/product/9931,plafon-led-defender-24w-4000k-ip66-kobi-pro?currency=PLN</v>
      </c>
      <c r="P465" s="31" t="str">
        <f>HYPERLINK("https://eprel.ec.europa.eu/qr/1789311")</f>
        <v>https://eprel.ec.europa.eu/qr/1789311</v>
      </c>
      <c r="Q465"/>
    </row>
    <row r="466" spans="1:17" ht="15" x14ac:dyDescent="0.25">
      <c r="A466" t="s">
        <v>4</v>
      </c>
      <c r="B466" t="s">
        <v>26</v>
      </c>
      <c r="C466" t="s">
        <v>792</v>
      </c>
      <c r="D466" t="s">
        <v>1295</v>
      </c>
      <c r="E466" t="s">
        <v>1296</v>
      </c>
      <c r="F466" t="s">
        <v>810</v>
      </c>
      <c r="G466" s="30">
        <v>216</v>
      </c>
      <c r="H466" s="29">
        <f>G466*(1-IFERROR(VLOOKUP(F466,Rabat!$D$10:$E$41,2,FALSE),0))</f>
        <v>216</v>
      </c>
      <c r="I466" t="s">
        <v>2549</v>
      </c>
      <c r="J466" t="s">
        <v>328</v>
      </c>
      <c r="K466" t="s">
        <v>2538</v>
      </c>
      <c r="L466">
        <v>4</v>
      </c>
      <c r="M466">
        <v>120</v>
      </c>
      <c r="N466" t="s">
        <v>2539</v>
      </c>
      <c r="O466" s="31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66" s="31" t="str">
        <f>HYPERLINK("https://eprel.ec.europa.eu/qr/1789259")</f>
        <v>https://eprel.ec.europa.eu/qr/1789259</v>
      </c>
      <c r="Q466"/>
    </row>
    <row r="467" spans="1:17" ht="15" x14ac:dyDescent="0.25">
      <c r="A467" t="s">
        <v>4</v>
      </c>
      <c r="B467" t="s">
        <v>26</v>
      </c>
      <c r="C467" t="s">
        <v>792</v>
      </c>
      <c r="D467" t="s">
        <v>1299</v>
      </c>
      <c r="E467" t="s">
        <v>1300</v>
      </c>
      <c r="F467" t="s">
        <v>810</v>
      </c>
      <c r="G467" s="30">
        <v>224</v>
      </c>
      <c r="H467" s="29">
        <f>G467*(1-IFERROR(VLOOKUP(F467,Rabat!$D$10:$E$41,2,FALSE),0))</f>
        <v>224</v>
      </c>
      <c r="I467" t="s">
        <v>2549</v>
      </c>
      <c r="J467" t="s">
        <v>329</v>
      </c>
      <c r="K467" t="s">
        <v>2538</v>
      </c>
      <c r="L467">
        <v>4</v>
      </c>
      <c r="M467">
        <v>100</v>
      </c>
      <c r="N467" t="s">
        <v>2539</v>
      </c>
      <c r="O467" s="31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67" s="31" t="str">
        <f>HYPERLINK("https://eprel.ec.europa.eu/qr/1789311")</f>
        <v>https://eprel.ec.europa.eu/qr/1789311</v>
      </c>
      <c r="Q467"/>
    </row>
    <row r="468" spans="1:17" ht="15" x14ac:dyDescent="0.25">
      <c r="A468" t="s">
        <v>4</v>
      </c>
      <c r="B468" t="s">
        <v>26</v>
      </c>
      <c r="C468" t="s">
        <v>840</v>
      </c>
      <c r="D468" t="s">
        <v>1560</v>
      </c>
      <c r="E468" t="s">
        <v>1561</v>
      </c>
      <c r="F468" t="s">
        <v>810</v>
      </c>
      <c r="G468" s="30">
        <v>70</v>
      </c>
      <c r="H468" s="29">
        <f>G468*(1-IFERROR(VLOOKUP(F468,Rabat!$D$10:$E$41,2,FALSE),0))</f>
        <v>70</v>
      </c>
      <c r="I468" t="s">
        <v>2542</v>
      </c>
      <c r="J468" t="s">
        <v>367</v>
      </c>
      <c r="K468" t="s">
        <v>2538</v>
      </c>
      <c r="L468">
        <v>20</v>
      </c>
      <c r="M468"/>
      <c r="N468" t="s">
        <v>2545</v>
      </c>
      <c r="O468" s="31" t="str">
        <f>HYPERLINK("https://b2b.kobi.pl/pl/product/10131,plafon-led-nairos-12w-cct-ip65-bialy-kobi-premium?currency=PLN")</f>
        <v>https://b2b.kobi.pl/pl/product/10131,plafon-led-nairos-12w-cct-ip65-bialy-kobi-premium?currency=PLN</v>
      </c>
      <c r="P468" s="31" t="str">
        <f>HYPERLINK("https://eprel.ec.europa.eu/qr/1787573")</f>
        <v>https://eprel.ec.europa.eu/qr/1787573</v>
      </c>
      <c r="Q468" t="s">
        <v>2700</v>
      </c>
    </row>
    <row r="469" spans="1:17" ht="15" x14ac:dyDescent="0.25">
      <c r="A469" t="s">
        <v>4</v>
      </c>
      <c r="B469" t="s">
        <v>26</v>
      </c>
      <c r="C469" t="s">
        <v>840</v>
      </c>
      <c r="D469" t="s">
        <v>1564</v>
      </c>
      <c r="E469" t="s">
        <v>1565</v>
      </c>
      <c r="F469" t="s">
        <v>810</v>
      </c>
      <c r="G469" s="30">
        <v>134</v>
      </c>
      <c r="H469" s="29">
        <f>G469*(1-IFERROR(VLOOKUP(F469,Rabat!$D$10:$E$41,2,FALSE),0))</f>
        <v>134</v>
      </c>
      <c r="I469" t="s">
        <v>2542</v>
      </c>
      <c r="J469" t="s">
        <v>368</v>
      </c>
      <c r="K469" t="s">
        <v>2538</v>
      </c>
      <c r="L469">
        <v>10</v>
      </c>
      <c r="M469"/>
      <c r="N469" t="s">
        <v>2545</v>
      </c>
      <c r="O469" s="31" t="str">
        <f>HYPERLINK("https://b2b.kobi.pl/pl/product/10135,plafon-led-nairos-24w-cct-ip65-bialy-kobi-premium?currency=PLN")</f>
        <v>https://b2b.kobi.pl/pl/product/10135,plafon-led-nairos-24w-cct-ip65-bialy-kobi-premium?currency=PLN</v>
      </c>
      <c r="P469" s="31" t="str">
        <f>HYPERLINK("https://eprel.ec.europa.eu/qr/1787703")</f>
        <v>https://eprel.ec.europa.eu/qr/1787703</v>
      </c>
      <c r="Q469" t="s">
        <v>2700</v>
      </c>
    </row>
    <row r="470" spans="1:17" ht="15" x14ac:dyDescent="0.25">
      <c r="A470" t="s">
        <v>4</v>
      </c>
      <c r="B470" t="s">
        <v>26</v>
      </c>
      <c r="C470" t="s">
        <v>840</v>
      </c>
      <c r="D470" t="s">
        <v>1570</v>
      </c>
      <c r="E470" t="s">
        <v>1571</v>
      </c>
      <c r="F470" t="s">
        <v>810</v>
      </c>
      <c r="G470" s="30">
        <v>148</v>
      </c>
      <c r="H470" s="29">
        <f>G470*(1-IFERROR(VLOOKUP(F470,Rabat!$D$10:$E$41,2,FALSE),0))</f>
        <v>148</v>
      </c>
      <c r="I470" t="s">
        <v>2542</v>
      </c>
      <c r="J470" t="s">
        <v>369</v>
      </c>
      <c r="K470" t="s">
        <v>2538</v>
      </c>
      <c r="L470">
        <v>20</v>
      </c>
      <c r="M470"/>
      <c r="N470" t="s">
        <v>2545</v>
      </c>
      <c r="O470" s="31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70" s="31" t="str">
        <f>HYPERLINK("https://eprel.ec.europa.eu/qr/1787673")</f>
        <v>https://eprel.ec.europa.eu/qr/1787673</v>
      </c>
      <c r="Q470" t="s">
        <v>2700</v>
      </c>
    </row>
    <row r="471" spans="1:17" ht="15" x14ac:dyDescent="0.25">
      <c r="A471" t="s">
        <v>4</v>
      </c>
      <c r="B471" t="s">
        <v>26</v>
      </c>
      <c r="C471" t="s">
        <v>840</v>
      </c>
      <c r="D471" t="s">
        <v>1572</v>
      </c>
      <c r="E471" t="s">
        <v>1573</v>
      </c>
      <c r="F471" t="s">
        <v>810</v>
      </c>
      <c r="G471" s="30">
        <v>220</v>
      </c>
      <c r="H471" s="29">
        <f>G471*(1-IFERROR(VLOOKUP(F471,Rabat!$D$10:$E$41,2,FALSE),0))</f>
        <v>220</v>
      </c>
      <c r="I471" t="s">
        <v>2542</v>
      </c>
      <c r="J471" t="s">
        <v>2591</v>
      </c>
      <c r="K471" t="s">
        <v>2538</v>
      </c>
      <c r="L471">
        <v>10</v>
      </c>
      <c r="M471"/>
      <c r="N471" t="s">
        <v>2545</v>
      </c>
      <c r="O471" s="31" t="str">
        <f>HYPERLINK("https://b2b.kobi.pl/pl/product/10171,plafon-z-czujnikiem-ruchu-led-nairos-24w-cct-lx-ip65-bialy-kobi-premium?currency=PLN")</f>
        <v>https://b2b.kobi.pl/pl/product/10171,plafon-z-czujnikiem-ruchu-led-nairos-24w-cct-lx-ip65-bialy-kobi-premium?currency=PLN</v>
      </c>
      <c r="P471" s="31" t="str">
        <f>HYPERLINK("https://eprel.ec.europa.eu/qr/1787703")</f>
        <v>https://eprel.ec.europa.eu/qr/1787703</v>
      </c>
      <c r="Q471" t="s">
        <v>2700</v>
      </c>
    </row>
    <row r="472" spans="1:17" ht="15" x14ac:dyDescent="0.25">
      <c r="A472" t="s">
        <v>4</v>
      </c>
      <c r="B472" t="s">
        <v>26</v>
      </c>
      <c r="C472" t="s">
        <v>840</v>
      </c>
      <c r="D472" t="s">
        <v>2484</v>
      </c>
      <c r="E472" t="s">
        <v>2485</v>
      </c>
      <c r="F472" t="s">
        <v>810</v>
      </c>
      <c r="G472" s="30">
        <v>220</v>
      </c>
      <c r="H472" s="29">
        <f>G472*(1-IFERROR(VLOOKUP(F472,Rabat!$D$10:$E$41,2,FALSE),0))</f>
        <v>220</v>
      </c>
      <c r="I472" t="s">
        <v>2542</v>
      </c>
      <c r="J472" t="s">
        <v>2669</v>
      </c>
      <c r="K472" t="s">
        <v>2538</v>
      </c>
      <c r="L472">
        <v>10</v>
      </c>
      <c r="M472"/>
      <c r="N472" t="s">
        <v>2545</v>
      </c>
      <c r="O472" s="31" t="str">
        <f>HYPERLINK("https://b2b.kobi.pl/pl/product/10172,plafon-led-nairos-24w-cct-lx-ip65-czarny-kobi-premium?currency=PLN")</f>
        <v>https://b2b.kobi.pl/pl/product/10172,plafon-led-nairos-24w-cct-lx-ip65-czarny-kobi-premium?currency=PLN</v>
      </c>
      <c r="P472" s="31" t="str">
        <f>HYPERLINK("https://eprel.ec.europa.eu/qr/1787723")</f>
        <v>https://eprel.ec.europa.eu/qr/1787723</v>
      </c>
      <c r="Q472" t="s">
        <v>2700</v>
      </c>
    </row>
    <row r="473" spans="1:17" ht="15" x14ac:dyDescent="0.25">
      <c r="A473" t="s">
        <v>4</v>
      </c>
      <c r="B473" t="s">
        <v>26</v>
      </c>
      <c r="C473" t="s">
        <v>840</v>
      </c>
      <c r="D473" t="s">
        <v>1467</v>
      </c>
      <c r="E473" t="s">
        <v>1468</v>
      </c>
      <c r="F473" t="s">
        <v>810</v>
      </c>
      <c r="G473" s="30">
        <v>80</v>
      </c>
      <c r="H473" s="29">
        <f>G473*(1-IFERROR(VLOOKUP(F473,Rabat!$D$10:$E$41,2,FALSE),0))</f>
        <v>80</v>
      </c>
      <c r="I473" t="s">
        <v>2549</v>
      </c>
      <c r="J473" t="s">
        <v>684</v>
      </c>
      <c r="K473" t="s">
        <v>2538</v>
      </c>
      <c r="L473">
        <v>20</v>
      </c>
      <c r="M473"/>
      <c r="N473" t="s">
        <v>2545</v>
      </c>
      <c r="O473" s="31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73" s="31" t="str">
        <f>HYPERLINK("https://eprel.ec.europa.eu/qr/2056899")</f>
        <v>https://eprel.ec.europa.eu/qr/2056899</v>
      </c>
      <c r="Q473"/>
    </row>
    <row r="474" spans="1:17" ht="15" x14ac:dyDescent="0.25">
      <c r="A474" t="s">
        <v>4</v>
      </c>
      <c r="B474" t="s">
        <v>26</v>
      </c>
      <c r="C474" t="s">
        <v>840</v>
      </c>
      <c r="D474" t="s">
        <v>1469</v>
      </c>
      <c r="E474" t="s">
        <v>1470</v>
      </c>
      <c r="F474" t="s">
        <v>810</v>
      </c>
      <c r="G474" s="30">
        <v>80</v>
      </c>
      <c r="H474" s="29">
        <f>G474*(1-IFERROR(VLOOKUP(F474,Rabat!$D$10:$E$41,2,FALSE),0))</f>
        <v>80</v>
      </c>
      <c r="I474" t="s">
        <v>2549</v>
      </c>
      <c r="J474" t="s">
        <v>685</v>
      </c>
      <c r="K474" t="s">
        <v>2538</v>
      </c>
      <c r="L474">
        <v>20</v>
      </c>
      <c r="M474"/>
      <c r="N474" t="s">
        <v>2545</v>
      </c>
      <c r="O474" s="31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74" s="31" t="str">
        <f>HYPERLINK("https://eprel.ec.europa.eu/qr/2056899")</f>
        <v>https://eprel.ec.europa.eu/qr/2056899</v>
      </c>
      <c r="Q474"/>
    </row>
    <row r="475" spans="1:17" ht="15" x14ac:dyDescent="0.25">
      <c r="A475" t="s">
        <v>4</v>
      </c>
      <c r="B475" t="s">
        <v>26</v>
      </c>
      <c r="C475" t="s">
        <v>840</v>
      </c>
      <c r="D475" t="s">
        <v>1471</v>
      </c>
      <c r="E475" t="s">
        <v>1472</v>
      </c>
      <c r="F475" t="s">
        <v>810</v>
      </c>
      <c r="G475" s="30">
        <v>125</v>
      </c>
      <c r="H475" s="29">
        <f>G475*(1-IFERROR(VLOOKUP(F475,Rabat!$D$10:$E$41,2,FALSE),0))</f>
        <v>125</v>
      </c>
      <c r="I475" t="s">
        <v>2549</v>
      </c>
      <c r="J475" t="s">
        <v>686</v>
      </c>
      <c r="K475" t="s">
        <v>2538</v>
      </c>
      <c r="L475">
        <v>10</v>
      </c>
      <c r="M475"/>
      <c r="N475" t="s">
        <v>2545</v>
      </c>
      <c r="O475" s="31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475" s="31" t="str">
        <f>HYPERLINK("https://eprel.ec.europa.eu/qr/2058716")</f>
        <v>https://eprel.ec.europa.eu/qr/2058716</v>
      </c>
      <c r="Q475"/>
    </row>
    <row r="476" spans="1:17" ht="15" x14ac:dyDescent="0.25">
      <c r="A476" t="s">
        <v>4</v>
      </c>
      <c r="B476" t="s">
        <v>26</v>
      </c>
      <c r="C476" t="s">
        <v>840</v>
      </c>
      <c r="D476" t="s">
        <v>1473</v>
      </c>
      <c r="E476" t="s">
        <v>1474</v>
      </c>
      <c r="F476" t="s">
        <v>810</v>
      </c>
      <c r="G476" s="30">
        <v>125</v>
      </c>
      <c r="H476" s="29">
        <f>G476*(1-IFERROR(VLOOKUP(F476,Rabat!$D$10:$E$41,2,FALSE),0))</f>
        <v>125</v>
      </c>
      <c r="I476" t="s">
        <v>2549</v>
      </c>
      <c r="J476" t="s">
        <v>687</v>
      </c>
      <c r="K476" t="s">
        <v>2538</v>
      </c>
      <c r="L476">
        <v>10</v>
      </c>
      <c r="M476"/>
      <c r="N476" t="s">
        <v>2545</v>
      </c>
      <c r="O476" s="31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476" s="31" t="str">
        <f>HYPERLINK("https://eprel.ec.europa.eu/qr/2058716")</f>
        <v>https://eprel.ec.europa.eu/qr/2058716</v>
      </c>
      <c r="Q476"/>
    </row>
    <row r="477" spans="1:17" ht="15" x14ac:dyDescent="0.25">
      <c r="A477" t="s">
        <v>4</v>
      </c>
      <c r="B477" t="s">
        <v>26</v>
      </c>
      <c r="C477" t="s">
        <v>840</v>
      </c>
      <c r="D477" t="s">
        <v>1475</v>
      </c>
      <c r="E477" t="s">
        <v>1476</v>
      </c>
      <c r="F477" t="s">
        <v>810</v>
      </c>
      <c r="G477" s="30">
        <v>135</v>
      </c>
      <c r="H477" s="29">
        <f>G477*(1-IFERROR(VLOOKUP(F477,Rabat!$D$10:$E$41,2,FALSE),0))</f>
        <v>135</v>
      </c>
      <c r="I477" t="s">
        <v>2549</v>
      </c>
      <c r="J477" t="s">
        <v>688</v>
      </c>
      <c r="K477" t="s">
        <v>2538</v>
      </c>
      <c r="L477">
        <v>10</v>
      </c>
      <c r="M477"/>
      <c r="N477" t="s">
        <v>2545</v>
      </c>
      <c r="O477" s="31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477" s="31" t="str">
        <f>HYPERLINK("https://eprel.ec.europa.eu/qr/2058756")</f>
        <v>https://eprel.ec.europa.eu/qr/2058756</v>
      </c>
      <c r="Q477"/>
    </row>
    <row r="478" spans="1:17" ht="15" x14ac:dyDescent="0.25">
      <c r="A478" t="s">
        <v>4</v>
      </c>
      <c r="B478" t="s">
        <v>26</v>
      </c>
      <c r="C478" t="s">
        <v>840</v>
      </c>
      <c r="D478" t="s">
        <v>1477</v>
      </c>
      <c r="E478" t="s">
        <v>1478</v>
      </c>
      <c r="F478" t="s">
        <v>810</v>
      </c>
      <c r="G478" s="30">
        <v>135</v>
      </c>
      <c r="H478" s="29">
        <f>G478*(1-IFERROR(VLOOKUP(F478,Rabat!$D$10:$E$41,2,FALSE),0))</f>
        <v>135</v>
      </c>
      <c r="I478" t="s">
        <v>2549</v>
      </c>
      <c r="J478" t="s">
        <v>689</v>
      </c>
      <c r="K478" t="s">
        <v>2538</v>
      </c>
      <c r="L478">
        <v>10</v>
      </c>
      <c r="M478"/>
      <c r="N478" t="s">
        <v>2545</v>
      </c>
      <c r="O478" s="31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478" s="31" t="str">
        <f>HYPERLINK("https://eprel.ec.europa.eu/qr/2058756")</f>
        <v>https://eprel.ec.europa.eu/qr/2058756</v>
      </c>
      <c r="Q478"/>
    </row>
    <row r="479" spans="1:17" ht="15" x14ac:dyDescent="0.25">
      <c r="A479" t="s">
        <v>4</v>
      </c>
      <c r="B479" t="s">
        <v>26</v>
      </c>
      <c r="C479" t="s">
        <v>840</v>
      </c>
      <c r="D479" t="s">
        <v>1479</v>
      </c>
      <c r="E479" t="s">
        <v>1480</v>
      </c>
      <c r="F479" t="s">
        <v>810</v>
      </c>
      <c r="G479" s="30">
        <v>224</v>
      </c>
      <c r="H479" s="29">
        <f>G479*(1-IFERROR(VLOOKUP(F479,Rabat!$D$10:$E$41,2,FALSE),0))</f>
        <v>224</v>
      </c>
      <c r="I479" t="s">
        <v>2549</v>
      </c>
      <c r="J479" t="s">
        <v>690</v>
      </c>
      <c r="K479" t="s">
        <v>2538</v>
      </c>
      <c r="L479">
        <v>10</v>
      </c>
      <c r="M479"/>
      <c r="N479" t="s">
        <v>2545</v>
      </c>
      <c r="O479" s="31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479" s="31" t="str">
        <f>HYPERLINK("https://eprel.ec.europa.eu/qr/2058805")</f>
        <v>https://eprel.ec.europa.eu/qr/2058805</v>
      </c>
      <c r="Q479"/>
    </row>
    <row r="480" spans="1:17" ht="15" x14ac:dyDescent="0.25">
      <c r="A480" t="s">
        <v>4</v>
      </c>
      <c r="B480" t="s">
        <v>26</v>
      </c>
      <c r="C480" t="s">
        <v>840</v>
      </c>
      <c r="D480" t="s">
        <v>1483</v>
      </c>
      <c r="E480" t="s">
        <v>1484</v>
      </c>
      <c r="F480" t="s">
        <v>810</v>
      </c>
      <c r="G480" s="30">
        <v>160</v>
      </c>
      <c r="H480" s="29">
        <f>G480*(1-IFERROR(VLOOKUP(F480,Rabat!$D$10:$E$41,2,FALSE),0))</f>
        <v>160</v>
      </c>
      <c r="I480" t="s">
        <v>2549</v>
      </c>
      <c r="J480" t="s">
        <v>691</v>
      </c>
      <c r="K480" t="s">
        <v>2538</v>
      </c>
      <c r="L480">
        <v>20</v>
      </c>
      <c r="M480"/>
      <c r="N480" t="s">
        <v>2545</v>
      </c>
      <c r="O480" s="31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480" s="31" t="str">
        <f>HYPERLINK("https://eprel.ec.europa.eu/qr/2056899")</f>
        <v>https://eprel.ec.europa.eu/qr/2056899</v>
      </c>
      <c r="Q480"/>
    </row>
    <row r="481" spans="1:17" ht="15" x14ac:dyDescent="0.25">
      <c r="A481" t="s">
        <v>4</v>
      </c>
      <c r="B481" t="s">
        <v>26</v>
      </c>
      <c r="C481" t="s">
        <v>840</v>
      </c>
      <c r="D481" t="s">
        <v>1485</v>
      </c>
      <c r="E481" t="s">
        <v>1486</v>
      </c>
      <c r="F481" t="s">
        <v>810</v>
      </c>
      <c r="G481" s="30">
        <v>160</v>
      </c>
      <c r="H481" s="29">
        <f>G481*(1-IFERROR(VLOOKUP(F481,Rabat!$D$10:$E$41,2,FALSE),0))</f>
        <v>160</v>
      </c>
      <c r="I481" t="s">
        <v>2549</v>
      </c>
      <c r="J481" t="s">
        <v>692</v>
      </c>
      <c r="K481" t="s">
        <v>2538</v>
      </c>
      <c r="L481">
        <v>20</v>
      </c>
      <c r="M481"/>
      <c r="N481" t="s">
        <v>2545</v>
      </c>
      <c r="O481" s="31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481" s="31" t="str">
        <f>HYPERLINK("https://eprel.ec.europa.eu/qr/2056899")</f>
        <v>https://eprel.ec.europa.eu/qr/2056899</v>
      </c>
      <c r="Q481"/>
    </row>
    <row r="482" spans="1:17" ht="15" x14ac:dyDescent="0.25">
      <c r="A482" t="s">
        <v>4</v>
      </c>
      <c r="B482" t="s">
        <v>26</v>
      </c>
      <c r="C482" t="s">
        <v>840</v>
      </c>
      <c r="D482" t="s">
        <v>1489</v>
      </c>
      <c r="E482" t="s">
        <v>1490</v>
      </c>
      <c r="F482" t="s">
        <v>810</v>
      </c>
      <c r="G482" s="30">
        <v>209</v>
      </c>
      <c r="H482" s="29">
        <f>G482*(1-IFERROR(VLOOKUP(F482,Rabat!$D$10:$E$41,2,FALSE),0))</f>
        <v>209</v>
      </c>
      <c r="I482" t="s">
        <v>2549</v>
      </c>
      <c r="J482" t="s">
        <v>693</v>
      </c>
      <c r="K482" t="s">
        <v>2538</v>
      </c>
      <c r="L482">
        <v>10</v>
      </c>
      <c r="M482"/>
      <c r="N482" t="s">
        <v>2545</v>
      </c>
      <c r="O482" s="31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482" s="31" t="str">
        <f>HYPERLINK("https://eprel.ec.europa.eu/qr/2058716")</f>
        <v>https://eprel.ec.europa.eu/qr/2058716</v>
      </c>
      <c r="Q482"/>
    </row>
    <row r="483" spans="1:17" ht="15" x14ac:dyDescent="0.25">
      <c r="A483" t="s">
        <v>4</v>
      </c>
      <c r="B483" t="s">
        <v>26</v>
      </c>
      <c r="C483" t="s">
        <v>840</v>
      </c>
      <c r="D483" t="s">
        <v>1491</v>
      </c>
      <c r="E483" t="s">
        <v>1492</v>
      </c>
      <c r="F483" t="s">
        <v>810</v>
      </c>
      <c r="G483" s="30">
        <v>209</v>
      </c>
      <c r="H483" s="29">
        <f>G483*(1-IFERROR(VLOOKUP(F483,Rabat!$D$10:$E$41,2,FALSE),0))</f>
        <v>209</v>
      </c>
      <c r="I483" t="s">
        <v>2549</v>
      </c>
      <c r="J483" t="s">
        <v>694</v>
      </c>
      <c r="K483" t="s">
        <v>2538</v>
      </c>
      <c r="L483">
        <v>10</v>
      </c>
      <c r="M483"/>
      <c r="N483" t="s">
        <v>2545</v>
      </c>
      <c r="O483" s="31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483" s="31" t="str">
        <f>HYPERLINK("https://eprel.ec.europa.eu/qr/2058716")</f>
        <v>https://eprel.ec.europa.eu/qr/2058716</v>
      </c>
      <c r="Q483"/>
    </row>
    <row r="484" spans="1:17" ht="15" x14ac:dyDescent="0.25">
      <c r="A484" t="s">
        <v>4</v>
      </c>
      <c r="B484" t="s">
        <v>26</v>
      </c>
      <c r="C484" t="s">
        <v>840</v>
      </c>
      <c r="D484" t="s">
        <v>1493</v>
      </c>
      <c r="E484" t="s">
        <v>1494</v>
      </c>
      <c r="F484" t="s">
        <v>810</v>
      </c>
      <c r="G484" s="30">
        <v>230</v>
      </c>
      <c r="H484" s="29">
        <f>G484*(1-IFERROR(VLOOKUP(F484,Rabat!$D$10:$E$41,2,FALSE),0))</f>
        <v>230</v>
      </c>
      <c r="I484" t="s">
        <v>2549</v>
      </c>
      <c r="J484" t="s">
        <v>695</v>
      </c>
      <c r="K484" t="s">
        <v>2538</v>
      </c>
      <c r="L484">
        <v>10</v>
      </c>
      <c r="M484"/>
      <c r="N484" t="s">
        <v>2545</v>
      </c>
      <c r="O484" s="31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484" s="31" t="str">
        <f>HYPERLINK("https://eprel.ec.europa.eu/qr/2058756")</f>
        <v>https://eprel.ec.europa.eu/qr/2058756</v>
      </c>
      <c r="Q484"/>
    </row>
    <row r="485" spans="1:17" ht="15" x14ac:dyDescent="0.25">
      <c r="A485" t="s">
        <v>4</v>
      </c>
      <c r="B485" t="s">
        <v>26</v>
      </c>
      <c r="C485" t="s">
        <v>840</v>
      </c>
      <c r="D485" t="s">
        <v>1495</v>
      </c>
      <c r="E485" t="s">
        <v>1496</v>
      </c>
      <c r="F485" t="s">
        <v>810</v>
      </c>
      <c r="G485" s="30">
        <v>230</v>
      </c>
      <c r="H485" s="29">
        <f>G485*(1-IFERROR(VLOOKUP(F485,Rabat!$D$10:$E$41,2,FALSE),0))</f>
        <v>230</v>
      </c>
      <c r="I485" t="s">
        <v>2549</v>
      </c>
      <c r="J485" t="s">
        <v>696</v>
      </c>
      <c r="K485" t="s">
        <v>2538</v>
      </c>
      <c r="L485">
        <v>10</v>
      </c>
      <c r="M485"/>
      <c r="N485" t="s">
        <v>2545</v>
      </c>
      <c r="O485" s="31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485" s="31" t="str">
        <f>HYPERLINK("https://eprel.ec.europa.eu/qr/2058756")</f>
        <v>https://eprel.ec.europa.eu/qr/2058756</v>
      </c>
      <c r="Q485"/>
    </row>
    <row r="486" spans="1:17" ht="15" x14ac:dyDescent="0.25">
      <c r="A486" t="s">
        <v>4</v>
      </c>
      <c r="B486" t="s">
        <v>26</v>
      </c>
      <c r="C486" t="s">
        <v>840</v>
      </c>
      <c r="D486" t="s">
        <v>1497</v>
      </c>
      <c r="E486" t="s">
        <v>1498</v>
      </c>
      <c r="F486" t="s">
        <v>810</v>
      </c>
      <c r="G486" s="30">
        <v>295</v>
      </c>
      <c r="H486" s="29">
        <f>G486*(1-IFERROR(VLOOKUP(F486,Rabat!$D$10:$E$41,2,FALSE),0))</f>
        <v>295</v>
      </c>
      <c r="I486" t="s">
        <v>2549</v>
      </c>
      <c r="J486" t="s">
        <v>697</v>
      </c>
      <c r="K486" t="s">
        <v>2538</v>
      </c>
      <c r="L486">
        <v>10</v>
      </c>
      <c r="M486"/>
      <c r="N486" t="s">
        <v>2545</v>
      </c>
      <c r="O486" s="31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486" s="31" t="str">
        <f>HYPERLINK("https://eprel.ec.europa.eu/qr/2058805")</f>
        <v>https://eprel.ec.europa.eu/qr/2058805</v>
      </c>
      <c r="Q486"/>
    </row>
    <row r="487" spans="1:17" ht="15" x14ac:dyDescent="0.25">
      <c r="A487" t="s">
        <v>4</v>
      </c>
      <c r="B487" t="s">
        <v>26</v>
      </c>
      <c r="C487" t="s">
        <v>840</v>
      </c>
      <c r="D487" t="s">
        <v>1602</v>
      </c>
      <c r="E487" t="s">
        <v>1603</v>
      </c>
      <c r="F487" t="s">
        <v>810</v>
      </c>
      <c r="G487" s="30">
        <v>105.37</v>
      </c>
      <c r="H487" s="29">
        <f>G487*(1-IFERROR(VLOOKUP(F487,Rabat!$D$10:$E$41,2,FALSE),0))</f>
        <v>105.37</v>
      </c>
      <c r="I487" t="s">
        <v>2546</v>
      </c>
      <c r="J487" t="s">
        <v>376</v>
      </c>
      <c r="K487" t="s">
        <v>2538</v>
      </c>
      <c r="L487">
        <v>5</v>
      </c>
      <c r="M487">
        <v>120</v>
      </c>
      <c r="N487" t="s">
        <v>2545</v>
      </c>
      <c r="O487" s="31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487" s="31" t="str">
        <f>HYPERLINK("https://eprel.ec.europa.eu/qr/1998293")</f>
        <v>https://eprel.ec.europa.eu/qr/1998293</v>
      </c>
      <c r="Q487"/>
    </row>
    <row r="488" spans="1:17" ht="15" x14ac:dyDescent="0.25">
      <c r="A488" t="s">
        <v>4</v>
      </c>
      <c r="B488" t="s">
        <v>26</v>
      </c>
      <c r="C488" t="s">
        <v>858</v>
      </c>
      <c r="D488" t="s">
        <v>1687</v>
      </c>
      <c r="E488" t="s">
        <v>1688</v>
      </c>
      <c r="F488" t="s">
        <v>810</v>
      </c>
      <c r="G488" s="30">
        <v>88</v>
      </c>
      <c r="H488" s="29">
        <f>G488*(1-IFERROR(VLOOKUP(F488,Rabat!$D$10:$E$41,2,FALSE),0))</f>
        <v>88</v>
      </c>
      <c r="I488" t="s">
        <v>2540</v>
      </c>
      <c r="J488" t="s">
        <v>250</v>
      </c>
      <c r="K488" t="s">
        <v>2538</v>
      </c>
      <c r="L488">
        <v>10</v>
      </c>
      <c r="M488">
        <v>80</v>
      </c>
      <c r="N488" t="s">
        <v>2544</v>
      </c>
      <c r="O488" s="31" t="str">
        <f>HYPERLINK("https://b2b.kobi.pl/pl/product/10279,plafon-romero-2xe27-chrom-kobi?currency=PLN")</f>
        <v>https://b2b.kobi.pl/pl/product/10279,plafon-romero-2xe27-chrom-kobi?currency=PLN</v>
      </c>
      <c r="P488" t="s">
        <v>16</v>
      </c>
      <c r="Q488"/>
    </row>
    <row r="489" spans="1:17" ht="15" x14ac:dyDescent="0.25">
      <c r="A489" t="s">
        <v>4</v>
      </c>
      <c r="B489" t="s">
        <v>26</v>
      </c>
      <c r="C489" t="s">
        <v>858</v>
      </c>
      <c r="D489" t="s">
        <v>1693</v>
      </c>
      <c r="E489" t="s">
        <v>1694</v>
      </c>
      <c r="F489" t="s">
        <v>810</v>
      </c>
      <c r="G489" s="30">
        <v>97</v>
      </c>
      <c r="H489" s="29">
        <f>G489*(1-IFERROR(VLOOKUP(F489,Rabat!$D$10:$E$41,2,FALSE),0))</f>
        <v>97</v>
      </c>
      <c r="I489" t="s">
        <v>2540</v>
      </c>
      <c r="J489" t="s">
        <v>251</v>
      </c>
      <c r="K489" t="s">
        <v>2538</v>
      </c>
      <c r="L489">
        <v>10</v>
      </c>
      <c r="M489">
        <v>80</v>
      </c>
      <c r="N489" t="s">
        <v>2544</v>
      </c>
      <c r="O489" s="31" t="str">
        <f>HYPERLINK("https://b2b.kobi.pl/pl/product/10281,plafon-romero-2xe27-czarna-kobi?currency=PLN")</f>
        <v>https://b2b.kobi.pl/pl/product/10281,plafon-romero-2xe27-czarna-kobi?currency=PLN</v>
      </c>
      <c r="P489" t="s">
        <v>16</v>
      </c>
      <c r="Q489"/>
    </row>
    <row r="490" spans="1:17" ht="15" x14ac:dyDescent="0.25">
      <c r="A490" t="s">
        <v>4</v>
      </c>
      <c r="B490" t="s">
        <v>26</v>
      </c>
      <c r="C490" t="s">
        <v>858</v>
      </c>
      <c r="D490" t="s">
        <v>1697</v>
      </c>
      <c r="E490" t="s">
        <v>1698</v>
      </c>
      <c r="F490" t="s">
        <v>810</v>
      </c>
      <c r="G490" s="30">
        <v>115.25</v>
      </c>
      <c r="H490" s="29">
        <f>G490*(1-IFERROR(VLOOKUP(F490,Rabat!$D$10:$E$41,2,FALSE),0))</f>
        <v>115.25</v>
      </c>
      <c r="I490" t="s">
        <v>2540</v>
      </c>
      <c r="J490" t="s">
        <v>253</v>
      </c>
      <c r="K490" t="s">
        <v>2538</v>
      </c>
      <c r="L490">
        <v>10</v>
      </c>
      <c r="M490">
        <v>80</v>
      </c>
      <c r="N490" t="s">
        <v>2544</v>
      </c>
      <c r="O490" s="31" t="str">
        <f>HYPERLINK("https://b2b.kobi.pl/pl/product/10288,plafon-samira-s-2xe27-chrom-kobi?currency=PLN")</f>
        <v>https://b2b.kobi.pl/pl/product/10288,plafon-samira-s-2xe27-chrom-kobi?currency=PLN</v>
      </c>
      <c r="P490" t="s">
        <v>16</v>
      </c>
      <c r="Q490"/>
    </row>
    <row r="491" spans="1:17" ht="15" x14ac:dyDescent="0.25">
      <c r="A491" t="s">
        <v>4</v>
      </c>
      <c r="B491" t="s">
        <v>26</v>
      </c>
      <c r="C491" t="s">
        <v>858</v>
      </c>
      <c r="D491" t="s">
        <v>1699</v>
      </c>
      <c r="E491" t="s">
        <v>1700</v>
      </c>
      <c r="F491" t="s">
        <v>810</v>
      </c>
      <c r="G491" s="30">
        <v>115.25</v>
      </c>
      <c r="H491" s="29">
        <f>G491*(1-IFERROR(VLOOKUP(F491,Rabat!$D$10:$E$41,2,FALSE),0))</f>
        <v>115.25</v>
      </c>
      <c r="I491" t="s">
        <v>2540</v>
      </c>
      <c r="J491" t="s">
        <v>254</v>
      </c>
      <c r="K491" t="s">
        <v>2538</v>
      </c>
      <c r="L491">
        <v>10</v>
      </c>
      <c r="M491">
        <v>80</v>
      </c>
      <c r="N491" t="s">
        <v>2544</v>
      </c>
      <c r="O491" s="31" t="str">
        <f>HYPERLINK("https://b2b.kobi.pl/pl/product/10289,plafon-samira-s-2xe27-czarny-kobi?currency=PLN")</f>
        <v>https://b2b.kobi.pl/pl/product/10289,plafon-samira-s-2xe27-czarny-kobi?currency=PLN</v>
      </c>
      <c r="P491" t="s">
        <v>16</v>
      </c>
      <c r="Q491"/>
    </row>
    <row r="492" spans="1:17" ht="15" x14ac:dyDescent="0.25">
      <c r="A492" t="s">
        <v>4</v>
      </c>
      <c r="B492" t="s">
        <v>26</v>
      </c>
      <c r="C492" t="s">
        <v>858</v>
      </c>
      <c r="D492" t="s">
        <v>1695</v>
      </c>
      <c r="E492" t="s">
        <v>1696</v>
      </c>
      <c r="F492" t="s">
        <v>810</v>
      </c>
      <c r="G492" s="30">
        <v>142.52000000000001</v>
      </c>
      <c r="H492" s="29">
        <f>G492*(1-IFERROR(VLOOKUP(F492,Rabat!$D$10:$E$41,2,FALSE),0))</f>
        <v>142.52000000000001</v>
      </c>
      <c r="I492" t="s">
        <v>2540</v>
      </c>
      <c r="J492" t="s">
        <v>252</v>
      </c>
      <c r="K492" t="s">
        <v>2538</v>
      </c>
      <c r="L492">
        <v>5</v>
      </c>
      <c r="M492">
        <v>80</v>
      </c>
      <c r="N492" t="s">
        <v>2544</v>
      </c>
      <c r="O492" s="31" t="str">
        <f>HYPERLINK("https://b2b.kobi.pl/pl/product/10286,plafon-samira-b-2xe27-chrom-kobi?currency=PLN")</f>
        <v>https://b2b.kobi.pl/pl/product/10286,plafon-samira-b-2xe27-chrom-kobi?currency=PLN</v>
      </c>
      <c r="P492" t="s">
        <v>16</v>
      </c>
      <c r="Q492"/>
    </row>
    <row r="493" spans="1:17" ht="15" x14ac:dyDescent="0.25">
      <c r="A493" t="s">
        <v>4</v>
      </c>
      <c r="B493" t="s">
        <v>43</v>
      </c>
      <c r="C493" t="s">
        <v>858</v>
      </c>
      <c r="D493" t="s">
        <v>801</v>
      </c>
      <c r="E493" t="s">
        <v>802</v>
      </c>
      <c r="F493" t="s">
        <v>803</v>
      </c>
      <c r="G493" s="30">
        <v>30.04</v>
      </c>
      <c r="H493" s="29">
        <f>G493*(1-IFERROR(VLOOKUP(F493,Rabat!$D$10:$E$41,2,FALSE),0))</f>
        <v>30.04</v>
      </c>
      <c r="I493" t="s">
        <v>2540</v>
      </c>
      <c r="J493" t="s">
        <v>571</v>
      </c>
      <c r="K493" t="s">
        <v>2538</v>
      </c>
      <c r="L493">
        <v>1</v>
      </c>
      <c r="M493"/>
      <c r="N493" t="s">
        <v>2541</v>
      </c>
      <c r="O493" s="31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493" t="s">
        <v>16</v>
      </c>
      <c r="Q493" t="s">
        <v>2700</v>
      </c>
    </row>
    <row r="494" spans="1:17" ht="15" x14ac:dyDescent="0.25">
      <c r="A494" t="s">
        <v>4</v>
      </c>
      <c r="B494" t="s">
        <v>43</v>
      </c>
      <c r="C494" t="s">
        <v>858</v>
      </c>
      <c r="D494" t="s">
        <v>804</v>
      </c>
      <c r="E494" t="s">
        <v>805</v>
      </c>
      <c r="F494" t="s">
        <v>803</v>
      </c>
      <c r="G494" s="30">
        <v>74.63</v>
      </c>
      <c r="H494" s="29">
        <f>G494*(1-IFERROR(VLOOKUP(F494,Rabat!$D$10:$E$41,2,FALSE),0))</f>
        <v>74.63</v>
      </c>
      <c r="I494" t="s">
        <v>2540</v>
      </c>
      <c r="J494" t="s">
        <v>572</v>
      </c>
      <c r="K494" t="s">
        <v>2538</v>
      </c>
      <c r="L494">
        <v>1</v>
      </c>
      <c r="M494"/>
      <c r="N494" t="s">
        <v>2541</v>
      </c>
      <c r="O494" s="31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494" t="s">
        <v>16</v>
      </c>
      <c r="Q494" t="s">
        <v>2700</v>
      </c>
    </row>
    <row r="495" spans="1:17" ht="15" x14ac:dyDescent="0.25">
      <c r="A495" t="s">
        <v>4</v>
      </c>
      <c r="B495" t="s">
        <v>43</v>
      </c>
      <c r="C495" t="s">
        <v>858</v>
      </c>
      <c r="D495" t="s">
        <v>806</v>
      </c>
      <c r="E495" t="s">
        <v>807</v>
      </c>
      <c r="F495" t="s">
        <v>803</v>
      </c>
      <c r="G495" s="30">
        <v>111.93</v>
      </c>
      <c r="H495" s="29">
        <f>G495*(1-IFERROR(VLOOKUP(F495,Rabat!$D$10:$E$41,2,FALSE),0))</f>
        <v>111.93</v>
      </c>
      <c r="I495" t="s">
        <v>2540</v>
      </c>
      <c r="J495" t="s">
        <v>573</v>
      </c>
      <c r="K495" t="s">
        <v>2538</v>
      </c>
      <c r="L495">
        <v>1</v>
      </c>
      <c r="M495"/>
      <c r="N495" t="s">
        <v>2541</v>
      </c>
      <c r="O495" s="31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495" t="s">
        <v>16</v>
      </c>
      <c r="Q495" t="s">
        <v>2700</v>
      </c>
    </row>
    <row r="496" spans="1:17" ht="15" x14ac:dyDescent="0.25">
      <c r="A496" t="s">
        <v>4</v>
      </c>
      <c r="B496" t="s">
        <v>43</v>
      </c>
      <c r="C496" t="s">
        <v>840</v>
      </c>
      <c r="D496" t="s">
        <v>1511</v>
      </c>
      <c r="E496" t="s">
        <v>1512</v>
      </c>
      <c r="F496" t="s">
        <v>803</v>
      </c>
      <c r="G496" s="30">
        <v>280</v>
      </c>
      <c r="H496" s="29">
        <f>G496*(1-IFERROR(VLOOKUP(F496,Rabat!$D$10:$E$41,2,FALSE),0))</f>
        <v>280</v>
      </c>
      <c r="I496" t="s">
        <v>2540</v>
      </c>
      <c r="J496" t="s">
        <v>314</v>
      </c>
      <c r="K496" t="s">
        <v>2538</v>
      </c>
      <c r="L496">
        <v>12</v>
      </c>
      <c r="M496">
        <v>432</v>
      </c>
      <c r="N496" t="s">
        <v>2544</v>
      </c>
      <c r="O496" s="31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496" t="s">
        <v>16</v>
      </c>
      <c r="Q496" t="s">
        <v>2700</v>
      </c>
    </row>
    <row r="497" spans="1:17" ht="15" x14ac:dyDescent="0.25">
      <c r="A497" t="s">
        <v>4</v>
      </c>
      <c r="B497" t="s">
        <v>43</v>
      </c>
      <c r="C497" t="s">
        <v>44</v>
      </c>
      <c r="D497" t="s">
        <v>1380</v>
      </c>
      <c r="E497" t="s">
        <v>1381</v>
      </c>
      <c r="F497" t="s">
        <v>803</v>
      </c>
      <c r="G497" s="30">
        <v>240.57</v>
      </c>
      <c r="H497" s="29">
        <f>G497*(1-IFERROR(VLOOKUP(F497,Rabat!$D$10:$E$41,2,FALSE),0))</f>
        <v>240.57</v>
      </c>
      <c r="I497" t="s">
        <v>2540</v>
      </c>
      <c r="J497" t="s">
        <v>315</v>
      </c>
      <c r="K497" t="s">
        <v>2538</v>
      </c>
      <c r="L497">
        <v>12</v>
      </c>
      <c r="M497">
        <v>288</v>
      </c>
      <c r="N497" t="s">
        <v>2544</v>
      </c>
      <c r="O497" s="31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497" t="s">
        <v>16</v>
      </c>
      <c r="Q497" t="s">
        <v>2700</v>
      </c>
    </row>
    <row r="498" spans="1:17" ht="15" x14ac:dyDescent="0.25">
      <c r="A498" t="s">
        <v>4</v>
      </c>
      <c r="B498" t="s">
        <v>43</v>
      </c>
      <c r="C498" t="s">
        <v>44</v>
      </c>
      <c r="D498" t="s">
        <v>1384</v>
      </c>
      <c r="E498" t="s">
        <v>1385</v>
      </c>
      <c r="F498" t="s">
        <v>803</v>
      </c>
      <c r="G498" s="30">
        <v>309.58</v>
      </c>
      <c r="H498" s="29">
        <f>G498*(1-IFERROR(VLOOKUP(F498,Rabat!$D$10:$E$41,2,FALSE),0))</f>
        <v>309.58</v>
      </c>
      <c r="I498" t="s">
        <v>2540</v>
      </c>
      <c r="J498" t="s">
        <v>316</v>
      </c>
      <c r="K498" t="s">
        <v>2538</v>
      </c>
      <c r="L498">
        <v>10</v>
      </c>
      <c r="M498">
        <v>180</v>
      </c>
      <c r="N498" t="s">
        <v>2544</v>
      </c>
      <c r="O498" s="31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498" t="s">
        <v>16</v>
      </c>
      <c r="Q498" t="s">
        <v>2700</v>
      </c>
    </row>
    <row r="499" spans="1:17" ht="15" x14ac:dyDescent="0.25">
      <c r="A499" t="s">
        <v>4</v>
      </c>
      <c r="B499" t="s">
        <v>43</v>
      </c>
      <c r="C499" t="s">
        <v>44</v>
      </c>
      <c r="D499" t="s">
        <v>1388</v>
      </c>
      <c r="E499" t="s">
        <v>1389</v>
      </c>
      <c r="F499" t="s">
        <v>803</v>
      </c>
      <c r="G499" s="30">
        <v>379.8</v>
      </c>
      <c r="H499" s="29">
        <f>G499*(1-IFERROR(VLOOKUP(F499,Rabat!$D$10:$E$41,2,FALSE),0))</f>
        <v>379.8</v>
      </c>
      <c r="I499" t="s">
        <v>2540</v>
      </c>
      <c r="J499" t="s">
        <v>317</v>
      </c>
      <c r="K499" t="s">
        <v>2538</v>
      </c>
      <c r="L499">
        <v>8</v>
      </c>
      <c r="M499">
        <v>104</v>
      </c>
      <c r="N499" t="s">
        <v>2544</v>
      </c>
      <c r="O499" s="31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499" t="s">
        <v>16</v>
      </c>
      <c r="Q499" t="s">
        <v>2700</v>
      </c>
    </row>
    <row r="500" spans="1:17" ht="15" x14ac:dyDescent="0.25">
      <c r="A500" t="s">
        <v>4</v>
      </c>
      <c r="B500" t="s">
        <v>43</v>
      </c>
      <c r="C500" t="s">
        <v>858</v>
      </c>
      <c r="D500" t="s">
        <v>1530</v>
      </c>
      <c r="E500" t="s">
        <v>1531</v>
      </c>
      <c r="F500" t="s">
        <v>803</v>
      </c>
      <c r="G500" s="30">
        <v>193.84</v>
      </c>
      <c r="H500" s="29">
        <f>G500*(1-IFERROR(VLOOKUP(F500,Rabat!$D$10:$E$41,2,FALSE),0))</f>
        <v>193.84</v>
      </c>
      <c r="I500" t="s">
        <v>2540</v>
      </c>
      <c r="J500" t="s">
        <v>312</v>
      </c>
      <c r="K500" t="s">
        <v>2538</v>
      </c>
      <c r="L500">
        <v>18</v>
      </c>
      <c r="M500">
        <v>576</v>
      </c>
      <c r="N500" t="s">
        <v>2544</v>
      </c>
      <c r="O500" s="31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00" t="s">
        <v>16</v>
      </c>
      <c r="Q500"/>
    </row>
    <row r="501" spans="1:17" ht="15" x14ac:dyDescent="0.25">
      <c r="A501" t="s">
        <v>4</v>
      </c>
      <c r="B501" t="s">
        <v>43</v>
      </c>
      <c r="C501" t="s">
        <v>858</v>
      </c>
      <c r="D501" t="s">
        <v>1534</v>
      </c>
      <c r="E501" t="s">
        <v>1535</v>
      </c>
      <c r="F501" t="s">
        <v>803</v>
      </c>
      <c r="G501" s="30">
        <v>388.15</v>
      </c>
      <c r="H501" s="29">
        <f>G501*(1-IFERROR(VLOOKUP(F501,Rabat!$D$10:$E$41,2,FALSE),0))</f>
        <v>388.15</v>
      </c>
      <c r="I501" t="s">
        <v>2540</v>
      </c>
      <c r="J501" t="s">
        <v>313</v>
      </c>
      <c r="K501" t="s">
        <v>2538</v>
      </c>
      <c r="L501">
        <v>8</v>
      </c>
      <c r="M501">
        <v>240</v>
      </c>
      <c r="N501" t="s">
        <v>2544</v>
      </c>
      <c r="O501" s="31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01" t="s">
        <v>16</v>
      </c>
      <c r="Q501"/>
    </row>
    <row r="502" spans="1:17" ht="15" x14ac:dyDescent="0.25">
      <c r="A502" t="s">
        <v>4</v>
      </c>
      <c r="B502" t="s">
        <v>43</v>
      </c>
      <c r="C502" t="s">
        <v>858</v>
      </c>
      <c r="D502" t="s">
        <v>1526</v>
      </c>
      <c r="E502" t="s">
        <v>1527</v>
      </c>
      <c r="F502" t="s">
        <v>803</v>
      </c>
      <c r="G502" s="30">
        <v>219.12</v>
      </c>
      <c r="H502" s="29">
        <f>G502*(1-IFERROR(VLOOKUP(F502,Rabat!$D$10:$E$41,2,FALSE),0))</f>
        <v>219.12</v>
      </c>
      <c r="I502" t="s">
        <v>2540</v>
      </c>
      <c r="J502" t="s">
        <v>666</v>
      </c>
      <c r="K502" t="s">
        <v>2538</v>
      </c>
      <c r="L502">
        <v>8</v>
      </c>
      <c r="M502">
        <v>288</v>
      </c>
      <c r="N502" t="s">
        <v>2544</v>
      </c>
      <c r="O502" s="31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02" t="s">
        <v>16</v>
      </c>
      <c r="Q502"/>
    </row>
    <row r="503" spans="1:17" ht="15" x14ac:dyDescent="0.25">
      <c r="A503" t="s">
        <v>5</v>
      </c>
      <c r="B503" t="s">
        <v>888</v>
      </c>
      <c r="C503" t="s">
        <v>889</v>
      </c>
      <c r="D503" t="s">
        <v>899</v>
      </c>
      <c r="E503" t="s">
        <v>900</v>
      </c>
      <c r="F503" t="s">
        <v>892</v>
      </c>
      <c r="G503" s="30">
        <v>130.19</v>
      </c>
      <c r="H503" s="29">
        <f>G503*(1-IFERROR(VLOOKUP(F503,Rabat!$D$10:$E$41,2,FALSE),0))</f>
        <v>130.19</v>
      </c>
      <c r="I503" t="s">
        <v>2540</v>
      </c>
      <c r="J503" t="s">
        <v>622</v>
      </c>
      <c r="K503" t="s">
        <v>2538</v>
      </c>
      <c r="L503">
        <v>4</v>
      </c>
      <c r="M503"/>
      <c r="N503" t="s">
        <v>2544</v>
      </c>
      <c r="O503" s="31" t="str">
        <f>HYPERLINK("https://b2b.kobi.pl/pl/product/9777,girlanda-crete-5xe27-5m-kobi-design?currency=PLN")</f>
        <v>https://b2b.kobi.pl/pl/product/9777,girlanda-crete-5xe27-5m-kobi-design?currency=PLN</v>
      </c>
      <c r="P503" t="s">
        <v>16</v>
      </c>
      <c r="Q503" t="s">
        <v>2700</v>
      </c>
    </row>
    <row r="504" spans="1:17" ht="15" x14ac:dyDescent="0.25">
      <c r="A504" t="s">
        <v>5</v>
      </c>
      <c r="B504" t="s">
        <v>888</v>
      </c>
      <c r="C504" t="s">
        <v>889</v>
      </c>
      <c r="D504" t="s">
        <v>1014</v>
      </c>
      <c r="E504" t="s">
        <v>1015</v>
      </c>
      <c r="F504" t="s">
        <v>892</v>
      </c>
      <c r="G504" s="30">
        <v>104.87</v>
      </c>
      <c r="H504" s="29">
        <f>G504*(1-IFERROR(VLOOKUP(F504,Rabat!$D$10:$E$41,2,FALSE),0))</f>
        <v>104.87</v>
      </c>
      <c r="I504" t="s">
        <v>2540</v>
      </c>
      <c r="J504" t="s">
        <v>623</v>
      </c>
      <c r="K504" t="s">
        <v>2561</v>
      </c>
      <c r="L504">
        <v>20</v>
      </c>
      <c r="M504"/>
      <c r="N504" t="s">
        <v>2544</v>
      </c>
      <c r="O504" s="31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04" t="s">
        <v>16</v>
      </c>
      <c r="Q504" t="s">
        <v>2700</v>
      </c>
    </row>
    <row r="505" spans="1:17" ht="15" x14ac:dyDescent="0.25">
      <c r="A505" t="s">
        <v>5</v>
      </c>
      <c r="B505" t="s">
        <v>888</v>
      </c>
      <c r="C505" t="s">
        <v>889</v>
      </c>
      <c r="D505" t="s">
        <v>1016</v>
      </c>
      <c r="E505" t="s">
        <v>1017</v>
      </c>
      <c r="F505" t="s">
        <v>892</v>
      </c>
      <c r="G505" s="30">
        <v>97.32</v>
      </c>
      <c r="H505" s="29">
        <f>G505*(1-IFERROR(VLOOKUP(F505,Rabat!$D$10:$E$41,2,FALSE),0))</f>
        <v>97.32</v>
      </c>
      <c r="I505" t="s">
        <v>2540</v>
      </c>
      <c r="J505" t="s">
        <v>626</v>
      </c>
      <c r="K505" t="s">
        <v>2561</v>
      </c>
      <c r="L505">
        <v>20</v>
      </c>
      <c r="M505"/>
      <c r="N505" t="s">
        <v>2544</v>
      </c>
      <c r="O505" s="31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05" t="s">
        <v>16</v>
      </c>
      <c r="Q505" t="s">
        <v>2700</v>
      </c>
    </row>
    <row r="506" spans="1:17" ht="15" x14ac:dyDescent="0.25">
      <c r="A506" t="s">
        <v>5</v>
      </c>
      <c r="B506" t="s">
        <v>888</v>
      </c>
      <c r="C506" t="s">
        <v>889</v>
      </c>
      <c r="D506" t="s">
        <v>1018</v>
      </c>
      <c r="E506" t="s">
        <v>1019</v>
      </c>
      <c r="F506" t="s">
        <v>892</v>
      </c>
      <c r="G506" s="30">
        <v>89.1</v>
      </c>
      <c r="H506" s="29">
        <f>G506*(1-IFERROR(VLOOKUP(F506,Rabat!$D$10:$E$41,2,FALSE),0))</f>
        <v>89.1</v>
      </c>
      <c r="I506" t="s">
        <v>2540</v>
      </c>
      <c r="J506" t="s">
        <v>627</v>
      </c>
      <c r="K506" t="s">
        <v>2561</v>
      </c>
      <c r="L506">
        <v>20</v>
      </c>
      <c r="M506"/>
      <c r="N506" t="s">
        <v>2544</v>
      </c>
      <c r="O506" s="31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06" t="s">
        <v>16</v>
      </c>
      <c r="Q506" t="s">
        <v>2700</v>
      </c>
    </row>
    <row r="507" spans="1:17" ht="15" x14ac:dyDescent="0.25">
      <c r="A507" t="s">
        <v>5</v>
      </c>
      <c r="B507" t="s">
        <v>888</v>
      </c>
      <c r="C507" t="s">
        <v>889</v>
      </c>
      <c r="D507" t="s">
        <v>1020</v>
      </c>
      <c r="E507" t="s">
        <v>1021</v>
      </c>
      <c r="F507" t="s">
        <v>892</v>
      </c>
      <c r="G507" s="30">
        <v>300.79000000000002</v>
      </c>
      <c r="H507" s="29">
        <f>G507*(1-IFERROR(VLOOKUP(F507,Rabat!$D$10:$E$41,2,FALSE),0))</f>
        <v>300.79000000000002</v>
      </c>
      <c r="I507" t="s">
        <v>2540</v>
      </c>
      <c r="J507" t="s">
        <v>624</v>
      </c>
      <c r="K507" t="s">
        <v>2561</v>
      </c>
      <c r="L507">
        <v>4</v>
      </c>
      <c r="M507"/>
      <c r="N507" t="s">
        <v>2544</v>
      </c>
      <c r="O507"/>
      <c r="P507" t="s">
        <v>16</v>
      </c>
      <c r="Q507" t="s">
        <v>2700</v>
      </c>
    </row>
    <row r="508" spans="1:17" ht="15" x14ac:dyDescent="0.25">
      <c r="A508" t="s">
        <v>5</v>
      </c>
      <c r="B508" t="s">
        <v>888</v>
      </c>
      <c r="C508" t="s">
        <v>889</v>
      </c>
      <c r="D508" t="s">
        <v>1022</v>
      </c>
      <c r="E508" t="s">
        <v>1023</v>
      </c>
      <c r="F508" t="s">
        <v>892</v>
      </c>
      <c r="G508" s="30">
        <v>300.79000000000002</v>
      </c>
      <c r="H508" s="29">
        <f>G508*(1-IFERROR(VLOOKUP(F508,Rabat!$D$10:$E$41,2,FALSE),0))</f>
        <v>300.79000000000002</v>
      </c>
      <c r="I508" t="s">
        <v>2540</v>
      </c>
      <c r="J508" t="s">
        <v>625</v>
      </c>
      <c r="K508" t="s">
        <v>2561</v>
      </c>
      <c r="L508">
        <v>4</v>
      </c>
      <c r="M508"/>
      <c r="N508" t="s">
        <v>2544</v>
      </c>
      <c r="O508" s="31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08" t="s">
        <v>16</v>
      </c>
      <c r="Q508" t="s">
        <v>2700</v>
      </c>
    </row>
    <row r="509" spans="1:17" ht="15" x14ac:dyDescent="0.25">
      <c r="A509" t="s">
        <v>5</v>
      </c>
      <c r="B509" t="s">
        <v>888</v>
      </c>
      <c r="C509" t="s">
        <v>889</v>
      </c>
      <c r="D509" t="s">
        <v>1117</v>
      </c>
      <c r="E509" t="s">
        <v>1118</v>
      </c>
      <c r="F509" t="s">
        <v>892</v>
      </c>
      <c r="G509" s="30">
        <v>98.82</v>
      </c>
      <c r="H509" s="29">
        <f>G509*(1-IFERROR(VLOOKUP(F509,Rabat!$D$10:$E$41,2,FALSE),0))</f>
        <v>98.82</v>
      </c>
      <c r="I509" t="s">
        <v>2540</v>
      </c>
      <c r="J509" t="s">
        <v>628</v>
      </c>
      <c r="K509" t="s">
        <v>2538</v>
      </c>
      <c r="L509">
        <v>20</v>
      </c>
      <c r="M509"/>
      <c r="N509" t="s">
        <v>2544</v>
      </c>
      <c r="O509" s="31" t="str">
        <f>HYPERLINK("https://b2b.kobi.pl/pl/product/9776,przewod-zasilajacy-crete-pc-10m-kobi-design?currency=PLN")</f>
        <v>https://b2b.kobi.pl/pl/product/9776,przewod-zasilajacy-crete-pc-10m-kobi-design?currency=PLN</v>
      </c>
      <c r="P509" t="s">
        <v>16</v>
      </c>
      <c r="Q509" t="s">
        <v>2700</v>
      </c>
    </row>
    <row r="510" spans="1:17" ht="15" x14ac:dyDescent="0.25">
      <c r="A510" t="s">
        <v>5</v>
      </c>
      <c r="B510" t="s">
        <v>888</v>
      </c>
      <c r="C510" t="s">
        <v>889</v>
      </c>
      <c r="D510" t="s">
        <v>1113</v>
      </c>
      <c r="E510" t="s">
        <v>1114</v>
      </c>
      <c r="F510" t="s">
        <v>892</v>
      </c>
      <c r="G510" s="30">
        <v>54.75</v>
      </c>
      <c r="H510" s="29">
        <f>G510*(1-IFERROR(VLOOKUP(F510,Rabat!$D$10:$E$41,2,FALSE),0))</f>
        <v>54.75</v>
      </c>
      <c r="I510" t="s">
        <v>2540</v>
      </c>
      <c r="J510" t="s">
        <v>629</v>
      </c>
      <c r="K510" t="s">
        <v>2538</v>
      </c>
      <c r="L510">
        <v>40</v>
      </c>
      <c r="M510"/>
      <c r="N510" t="s">
        <v>2544</v>
      </c>
      <c r="O510" s="31" t="str">
        <f>HYPERLINK("https://b2b.kobi.pl/pl/product/9775,przewod-zasilajacy-crete-pc-5m-kobi-design?currency=PLN")</f>
        <v>https://b2b.kobi.pl/pl/product/9775,przewod-zasilajacy-crete-pc-5m-kobi-design?currency=PLN</v>
      </c>
      <c r="P510" t="s">
        <v>16</v>
      </c>
      <c r="Q510" t="s">
        <v>2700</v>
      </c>
    </row>
    <row r="511" spans="1:17" ht="15" x14ac:dyDescent="0.25">
      <c r="A511" t="s">
        <v>5</v>
      </c>
      <c r="B511" t="s">
        <v>888</v>
      </c>
      <c r="C511" t="s">
        <v>889</v>
      </c>
      <c r="D511" t="s">
        <v>901</v>
      </c>
      <c r="E511" t="s">
        <v>902</v>
      </c>
      <c r="F511" t="s">
        <v>892</v>
      </c>
      <c r="G511" s="30">
        <v>416</v>
      </c>
      <c r="H511" s="29">
        <f>G511*(1-IFERROR(VLOOKUP(F511,Rabat!$D$10:$E$41,2,FALSE),0))</f>
        <v>416</v>
      </c>
      <c r="I511" t="s">
        <v>2546</v>
      </c>
      <c r="J511" t="s">
        <v>437</v>
      </c>
      <c r="K511" t="s">
        <v>2538</v>
      </c>
      <c r="L511">
        <v>8</v>
      </c>
      <c r="M511">
        <v>48</v>
      </c>
      <c r="N511" t="s">
        <v>2544</v>
      </c>
      <c r="O511" s="31" t="str">
        <f>HYPERLINK("https://b2b.kobi.pl/pl/product/9772,girlanda-led-venezia-10w-kobi-design?currency=PLN")</f>
        <v>https://b2b.kobi.pl/pl/product/9772,girlanda-led-venezia-10w-kobi-design?currency=PLN</v>
      </c>
      <c r="P511" s="31" t="str">
        <f>HYPERLINK("https://eprel.ec.europa.eu/qr/2032423")</f>
        <v>https://eprel.ec.europa.eu/qr/2032423</v>
      </c>
      <c r="Q511" t="s">
        <v>2700</v>
      </c>
    </row>
    <row r="512" spans="1:17" ht="15" x14ac:dyDescent="0.25">
      <c r="A512" t="s">
        <v>5</v>
      </c>
      <c r="B512" t="s">
        <v>888</v>
      </c>
      <c r="C512" t="s">
        <v>889</v>
      </c>
      <c r="D512" t="s">
        <v>1029</v>
      </c>
      <c r="E512" t="s">
        <v>1030</v>
      </c>
      <c r="F512" t="s">
        <v>892</v>
      </c>
      <c r="G512" s="30">
        <v>242.1</v>
      </c>
      <c r="H512" s="29">
        <f>G512*(1-IFERROR(VLOOKUP(F512,Rabat!$D$10:$E$41,2,FALSE),0))</f>
        <v>242.1</v>
      </c>
      <c r="I512" t="s">
        <v>2540</v>
      </c>
      <c r="J512" t="s">
        <v>438</v>
      </c>
      <c r="K512" t="s">
        <v>2538</v>
      </c>
      <c r="L512">
        <v>4</v>
      </c>
      <c r="M512"/>
      <c r="N512" t="s">
        <v>2544</v>
      </c>
      <c r="O512" s="31" t="str">
        <f>HYPERLINK("https://b2b.kobi.pl/pl/product/9773,lampa-biurkowa-led-venezia-s-2w-2700k-kobi-design?currency=PLN")</f>
        <v>https://b2b.kobi.pl/pl/product/9773,lampa-biurkowa-led-venezia-s-2w-2700k-kobi-design?currency=PLN</v>
      </c>
      <c r="P512" t="s">
        <v>16</v>
      </c>
      <c r="Q512" t="s">
        <v>2700</v>
      </c>
    </row>
    <row r="513" spans="1:17" ht="15" x14ac:dyDescent="0.25">
      <c r="A513" t="s">
        <v>5</v>
      </c>
      <c r="B513" t="s">
        <v>888</v>
      </c>
      <c r="C513" t="s">
        <v>889</v>
      </c>
      <c r="D513" t="s">
        <v>890</v>
      </c>
      <c r="E513" t="s">
        <v>891</v>
      </c>
      <c r="F513" t="s">
        <v>892</v>
      </c>
      <c r="G513" s="30">
        <v>201.42</v>
      </c>
      <c r="H513" s="29">
        <f>G513*(1-IFERROR(VLOOKUP(F513,Rabat!$D$10:$E$41,2,FALSE),0))</f>
        <v>201.42</v>
      </c>
      <c r="I513" t="s">
        <v>2540</v>
      </c>
      <c r="J513" t="s">
        <v>439</v>
      </c>
      <c r="K513" t="s">
        <v>2538</v>
      </c>
      <c r="L513">
        <v>4</v>
      </c>
      <c r="M513"/>
      <c r="N513" t="s">
        <v>2544</v>
      </c>
      <c r="O513" s="31" t="str">
        <f>HYPERLINK("https://b2b.kobi.pl/pl/product/10555,girlanda-baja-led-set-10x1w-10m-e27-kobi-design?currency=PLN")</f>
        <v>https://b2b.kobi.pl/pl/product/10555,girlanda-baja-led-set-10x1w-10m-e27-kobi-design?currency=PLN</v>
      </c>
      <c r="P513" t="s">
        <v>16</v>
      </c>
      <c r="Q513"/>
    </row>
    <row r="514" spans="1:17" ht="15" x14ac:dyDescent="0.25">
      <c r="A514" t="s">
        <v>5</v>
      </c>
      <c r="B514" t="s">
        <v>888</v>
      </c>
      <c r="C514" t="s">
        <v>889</v>
      </c>
      <c r="D514" t="s">
        <v>897</v>
      </c>
      <c r="E514" t="s">
        <v>898</v>
      </c>
      <c r="F514" t="s">
        <v>892</v>
      </c>
      <c r="G514" s="30">
        <v>306.29000000000002</v>
      </c>
      <c r="H514" s="29">
        <f>G514*(1-IFERROR(VLOOKUP(F514,Rabat!$D$10:$E$41,2,FALSE),0))</f>
        <v>306.29000000000002</v>
      </c>
      <c r="I514" t="s">
        <v>2540</v>
      </c>
      <c r="J514" t="s">
        <v>440</v>
      </c>
      <c r="K514" t="s">
        <v>2538</v>
      </c>
      <c r="L514">
        <v>4</v>
      </c>
      <c r="M514"/>
      <c r="N514" t="s">
        <v>2544</v>
      </c>
      <c r="O514" s="31" t="str">
        <f>HYPERLINK("https://b2b.kobi.pl/pl/product/10556,girlanda-baja-led-set-20x1w-e27-10m-kobi-design?currency=PLN")</f>
        <v>https://b2b.kobi.pl/pl/product/10556,girlanda-baja-led-set-20x1w-e27-10m-kobi-design?currency=PLN</v>
      </c>
      <c r="P514" t="s">
        <v>16</v>
      </c>
      <c r="Q514"/>
    </row>
    <row r="515" spans="1:17" ht="15" x14ac:dyDescent="0.25">
      <c r="A515" t="s">
        <v>5</v>
      </c>
      <c r="B515" t="s">
        <v>888</v>
      </c>
      <c r="C515" t="s">
        <v>889</v>
      </c>
      <c r="D515" t="s">
        <v>893</v>
      </c>
      <c r="E515" t="s">
        <v>894</v>
      </c>
      <c r="F515" t="s">
        <v>892</v>
      </c>
      <c r="G515" s="30">
        <v>256.38</v>
      </c>
      <c r="H515" s="29">
        <f>G515*(1-IFERROR(VLOOKUP(F515,Rabat!$D$10:$E$41,2,FALSE),0))</f>
        <v>256.38</v>
      </c>
      <c r="I515" t="s">
        <v>2540</v>
      </c>
      <c r="J515" t="s">
        <v>441</v>
      </c>
      <c r="K515" t="s">
        <v>2538</v>
      </c>
      <c r="L515">
        <v>4</v>
      </c>
      <c r="M515"/>
      <c r="N515" t="s">
        <v>2544</v>
      </c>
      <c r="O515" s="31" t="str">
        <f>HYPERLINK("https://b2b.kobi.pl/pl/product/10557,girlanda-baja-led-set-15x1w-15m-e27-kobi-design?currency=PLN")</f>
        <v>https://b2b.kobi.pl/pl/product/10557,girlanda-baja-led-set-15x1w-15m-e27-kobi-design?currency=PLN</v>
      </c>
      <c r="P515" t="s">
        <v>16</v>
      </c>
      <c r="Q515"/>
    </row>
    <row r="516" spans="1:17" ht="15" x14ac:dyDescent="0.25">
      <c r="A516" t="s">
        <v>5</v>
      </c>
      <c r="B516" t="s">
        <v>888</v>
      </c>
      <c r="C516" t="s">
        <v>889</v>
      </c>
      <c r="D516" t="s">
        <v>895</v>
      </c>
      <c r="E516" t="s">
        <v>896</v>
      </c>
      <c r="F516" t="s">
        <v>892</v>
      </c>
      <c r="G516" s="30">
        <v>353.72</v>
      </c>
      <c r="H516" s="29">
        <f>G516*(1-IFERROR(VLOOKUP(F516,Rabat!$D$10:$E$41,2,FALSE),0))</f>
        <v>353.72</v>
      </c>
      <c r="I516" t="s">
        <v>2540</v>
      </c>
      <c r="J516" t="s">
        <v>442</v>
      </c>
      <c r="K516" t="s">
        <v>2538</v>
      </c>
      <c r="L516">
        <v>4</v>
      </c>
      <c r="M516"/>
      <c r="N516" t="s">
        <v>2544</v>
      </c>
      <c r="O516" s="31" t="str">
        <f>HYPERLINK("https://b2b.kobi.pl/pl/product/10558,girlanda-baja-led-set-20x1w-20m-e27-kobi-design?currency=PLN")</f>
        <v>https://b2b.kobi.pl/pl/product/10558,girlanda-baja-led-set-20x1w-20m-e27-kobi-design?currency=PLN</v>
      </c>
      <c r="P516" t="s">
        <v>16</v>
      </c>
      <c r="Q516"/>
    </row>
    <row r="517" spans="1:17" ht="15" x14ac:dyDescent="0.25">
      <c r="A517" t="s">
        <v>5</v>
      </c>
      <c r="B517" t="s">
        <v>888</v>
      </c>
      <c r="C517" t="s">
        <v>858</v>
      </c>
      <c r="D517" t="s">
        <v>909</v>
      </c>
      <c r="E517" t="s">
        <v>910</v>
      </c>
      <c r="F517" t="s">
        <v>892</v>
      </c>
      <c r="G517" s="30">
        <v>201.42</v>
      </c>
      <c r="H517" s="29">
        <f>G517*(1-IFERROR(VLOOKUP(F517,Rabat!$D$10:$E$41,2,FALSE),0))</f>
        <v>201.42</v>
      </c>
      <c r="I517" t="s">
        <v>2540</v>
      </c>
      <c r="J517" t="s">
        <v>434</v>
      </c>
      <c r="K517" t="s">
        <v>2538</v>
      </c>
      <c r="L517">
        <v>4</v>
      </c>
      <c r="M517"/>
      <c r="N517" t="s">
        <v>2544</v>
      </c>
      <c r="O517" s="31" t="str">
        <f>HYPERLINK("https://b2b.kobi.pl/pl/product/10658,girlanda-mimosa-led-set-10m-10x1w-e27-kobi?currency=PLN")</f>
        <v>https://b2b.kobi.pl/pl/product/10658,girlanda-mimosa-led-set-10m-10x1w-e27-kobi?currency=PLN</v>
      </c>
      <c r="P517" t="s">
        <v>16</v>
      </c>
      <c r="Q517"/>
    </row>
    <row r="518" spans="1:17" ht="15" x14ac:dyDescent="0.25">
      <c r="A518" t="s">
        <v>5</v>
      </c>
      <c r="B518" t="s">
        <v>888</v>
      </c>
      <c r="C518" t="s">
        <v>858</v>
      </c>
      <c r="D518" t="s">
        <v>905</v>
      </c>
      <c r="E518" t="s">
        <v>906</v>
      </c>
      <c r="F518" t="s">
        <v>892</v>
      </c>
      <c r="G518" s="30">
        <v>211</v>
      </c>
      <c r="H518" s="29">
        <f>G518*(1-IFERROR(VLOOKUP(F518,Rabat!$D$10:$E$41,2,FALSE),0))</f>
        <v>211</v>
      </c>
      <c r="I518" t="s">
        <v>2540</v>
      </c>
      <c r="J518" t="s">
        <v>432</v>
      </c>
      <c r="K518" t="s">
        <v>2538</v>
      </c>
      <c r="L518">
        <v>8</v>
      </c>
      <c r="M518">
        <v>128</v>
      </c>
      <c r="N518" t="s">
        <v>2544</v>
      </c>
      <c r="O518" s="31" t="str">
        <f>HYPERLINK("https://b2b.kobi.pl/pl/product/10659,girlanda-mimosa-10m-20xe27-kobi?currency=PLN")</f>
        <v>https://b2b.kobi.pl/pl/product/10659,girlanda-mimosa-10m-20xe27-kobi?currency=PLN</v>
      </c>
      <c r="P518" t="s">
        <v>16</v>
      </c>
      <c r="Q518"/>
    </row>
    <row r="519" spans="1:17" ht="15" x14ac:dyDescent="0.25">
      <c r="A519" t="s">
        <v>5</v>
      </c>
      <c r="B519" t="s">
        <v>888</v>
      </c>
      <c r="C519" t="s">
        <v>858</v>
      </c>
      <c r="D519" t="s">
        <v>907</v>
      </c>
      <c r="E519" t="s">
        <v>908</v>
      </c>
      <c r="F519" t="s">
        <v>892</v>
      </c>
      <c r="G519" s="30">
        <v>290</v>
      </c>
      <c r="H519" s="29">
        <f>G519*(1-IFERROR(VLOOKUP(F519,Rabat!$D$10:$E$41,2,FALSE),0))</f>
        <v>290</v>
      </c>
      <c r="I519" t="s">
        <v>2540</v>
      </c>
      <c r="J519" t="s">
        <v>433</v>
      </c>
      <c r="K519" t="s">
        <v>2538</v>
      </c>
      <c r="L519">
        <v>8</v>
      </c>
      <c r="M519">
        <v>96</v>
      </c>
      <c r="N519" t="s">
        <v>2544</v>
      </c>
      <c r="O519" s="31" t="str">
        <f>HYPERLINK("https://b2b.kobi.pl/pl/product/10661,girlanda-mimosa-20m-20xe27-kobi?currency=PLN")</f>
        <v>https://b2b.kobi.pl/pl/product/10661,girlanda-mimosa-20m-20xe27-kobi?currency=PLN</v>
      </c>
      <c r="P519" t="s">
        <v>16</v>
      </c>
      <c r="Q519"/>
    </row>
    <row r="520" spans="1:17" ht="15" x14ac:dyDescent="0.25">
      <c r="A520" t="s">
        <v>5</v>
      </c>
      <c r="B520" t="s">
        <v>888</v>
      </c>
      <c r="C520" t="s">
        <v>858</v>
      </c>
      <c r="D520" t="s">
        <v>911</v>
      </c>
      <c r="E520" t="s">
        <v>912</v>
      </c>
      <c r="F520" t="s">
        <v>892</v>
      </c>
      <c r="G520" s="30">
        <v>353.72</v>
      </c>
      <c r="H520" s="29">
        <f>G520*(1-IFERROR(VLOOKUP(F520,Rabat!$D$10:$E$41,2,FALSE),0))</f>
        <v>353.72</v>
      </c>
      <c r="I520" t="s">
        <v>2540</v>
      </c>
      <c r="J520" t="s">
        <v>435</v>
      </c>
      <c r="K520" t="s">
        <v>2538</v>
      </c>
      <c r="L520">
        <v>4</v>
      </c>
      <c r="M520">
        <v>60</v>
      </c>
      <c r="N520" t="s">
        <v>2544</v>
      </c>
      <c r="O520" s="31" t="str">
        <f>HYPERLINK("https://b2b.kobi.pl/pl/product/10662,girlanda-mimosa-led-set-20m-20x1w-e27-kobi?currency=PLN")</f>
        <v>https://b2b.kobi.pl/pl/product/10662,girlanda-mimosa-led-set-20m-20x1w-e27-kobi?currency=PLN</v>
      </c>
      <c r="P520" t="s">
        <v>16</v>
      </c>
      <c r="Q520"/>
    </row>
    <row r="521" spans="1:17" ht="15" x14ac:dyDescent="0.25">
      <c r="A521" t="s">
        <v>5</v>
      </c>
      <c r="B521" t="s">
        <v>888</v>
      </c>
      <c r="C521" t="s">
        <v>858</v>
      </c>
      <c r="D521" t="s">
        <v>903</v>
      </c>
      <c r="E521" t="s">
        <v>904</v>
      </c>
      <c r="F521" t="s">
        <v>892</v>
      </c>
      <c r="G521" s="30">
        <v>181.48</v>
      </c>
      <c r="H521" s="29">
        <f>G521*(1-IFERROR(VLOOKUP(F521,Rabat!$D$10:$E$41,2,FALSE),0))</f>
        <v>181.48</v>
      </c>
      <c r="I521" t="s">
        <v>2540</v>
      </c>
      <c r="J521" t="s">
        <v>436</v>
      </c>
      <c r="K521" t="s">
        <v>2538</v>
      </c>
      <c r="L521">
        <v>8</v>
      </c>
      <c r="M521">
        <v>160</v>
      </c>
      <c r="N521" t="s">
        <v>2544</v>
      </c>
      <c r="O521" s="31" t="str">
        <f>HYPERLINK("https://b2b.kobi.pl/pl/product/10663,girlanda-mimosa-2-10m-10xe27-kobi?currency=PLN")</f>
        <v>https://b2b.kobi.pl/pl/product/10663,girlanda-mimosa-2-10m-10xe27-kobi?currency=PLN</v>
      </c>
      <c r="P521" t="s">
        <v>16</v>
      </c>
      <c r="Q521"/>
    </row>
    <row r="522" spans="1:17" ht="15" x14ac:dyDescent="0.25">
      <c r="A522" t="s">
        <v>4</v>
      </c>
      <c r="B522" t="s">
        <v>841</v>
      </c>
      <c r="C522" t="s">
        <v>792</v>
      </c>
      <c r="D522" t="s">
        <v>842</v>
      </c>
      <c r="E522" t="s">
        <v>843</v>
      </c>
      <c r="F522" t="s">
        <v>844</v>
      </c>
      <c r="G522" s="30">
        <v>164</v>
      </c>
      <c r="H522" s="29">
        <f>G522*(1-IFERROR(VLOOKUP(F522,Rabat!$D$10:$E$41,2,FALSE),0))</f>
        <v>164</v>
      </c>
      <c r="I522" t="s">
        <v>2537</v>
      </c>
      <c r="J522" t="s">
        <v>231</v>
      </c>
      <c r="K522" t="s">
        <v>2538</v>
      </c>
      <c r="L522">
        <v>24</v>
      </c>
      <c r="M522">
        <v>384</v>
      </c>
      <c r="N522" t="s">
        <v>2539</v>
      </c>
      <c r="O522" s="31" t="str">
        <f>HYPERLINK("https://b2b.kobi.pl/pl/product/8398,downlight-led-nexeye-ne1-15w-4000k-ip44-kobi-pro?currency=PLN")</f>
        <v>https://b2b.kobi.pl/pl/product/8398,downlight-led-nexeye-ne1-15w-4000k-ip44-kobi-pro?currency=PLN</v>
      </c>
      <c r="P522" s="31" t="str">
        <f>HYPERLINK("https://eprel.ec.europa.eu/qr/669368")</f>
        <v>https://eprel.ec.europa.eu/qr/669368</v>
      </c>
      <c r="Q522"/>
    </row>
    <row r="523" spans="1:17" ht="15" x14ac:dyDescent="0.25">
      <c r="A523" t="s">
        <v>4</v>
      </c>
      <c r="B523" t="s">
        <v>841</v>
      </c>
      <c r="C523" t="s">
        <v>792</v>
      </c>
      <c r="D523" t="s">
        <v>845</v>
      </c>
      <c r="E523" t="s">
        <v>846</v>
      </c>
      <c r="F523" t="s">
        <v>844</v>
      </c>
      <c r="G523" s="30">
        <v>222</v>
      </c>
      <c r="H523" s="29">
        <f>G523*(1-IFERROR(VLOOKUP(F523,Rabat!$D$10:$E$41,2,FALSE),0))</f>
        <v>222</v>
      </c>
      <c r="I523" t="s">
        <v>2537</v>
      </c>
      <c r="J523" t="s">
        <v>232</v>
      </c>
      <c r="K523" t="s">
        <v>2538</v>
      </c>
      <c r="L523">
        <v>16</v>
      </c>
      <c r="M523">
        <v>240</v>
      </c>
      <c r="N523" t="s">
        <v>2539</v>
      </c>
      <c r="O523" s="31" t="str">
        <f>HYPERLINK("https://b2b.kobi.pl/pl/product/8400,downlight-led-nexeye-ne1-20w-4000k-ip44-kobi-pro?currency=PLN")</f>
        <v>https://b2b.kobi.pl/pl/product/8400,downlight-led-nexeye-ne1-20w-4000k-ip44-kobi-pro?currency=PLN</v>
      </c>
      <c r="P523" s="31" t="str">
        <f>HYPERLINK("https://eprel.ec.europa.eu/qr/669370")</f>
        <v>https://eprel.ec.europa.eu/qr/669370</v>
      </c>
      <c r="Q523"/>
    </row>
    <row r="524" spans="1:17" ht="15" x14ac:dyDescent="0.25">
      <c r="A524" t="s">
        <v>4</v>
      </c>
      <c r="B524" t="s">
        <v>841</v>
      </c>
      <c r="C524" t="s">
        <v>792</v>
      </c>
      <c r="D524" t="s">
        <v>847</v>
      </c>
      <c r="E524" t="s">
        <v>848</v>
      </c>
      <c r="F524" t="s">
        <v>844</v>
      </c>
      <c r="G524" s="30">
        <v>292</v>
      </c>
      <c r="H524" s="29">
        <f>G524*(1-IFERROR(VLOOKUP(F524,Rabat!$D$10:$E$41,2,FALSE),0))</f>
        <v>292</v>
      </c>
      <c r="I524" t="s">
        <v>2537</v>
      </c>
      <c r="J524" t="s">
        <v>233</v>
      </c>
      <c r="K524" t="s">
        <v>2538</v>
      </c>
      <c r="L524">
        <v>10</v>
      </c>
      <c r="M524">
        <v>190</v>
      </c>
      <c r="N524" t="s">
        <v>2539</v>
      </c>
      <c r="O524" s="31" t="str">
        <f>HYPERLINK("https://b2b.kobi.pl/pl/product/8402,downlight-led-nexeye-ne1-30w-4000k-ip44-kobi-pro?currency=PLN")</f>
        <v>https://b2b.kobi.pl/pl/product/8402,downlight-led-nexeye-ne1-30w-4000k-ip44-kobi-pro?currency=PLN</v>
      </c>
      <c r="P524" s="31" t="str">
        <f>HYPERLINK("https://eprel.ec.europa.eu/qr/669371")</f>
        <v>https://eprel.ec.europa.eu/qr/669371</v>
      </c>
      <c r="Q524"/>
    </row>
    <row r="525" spans="1:17" ht="15" x14ac:dyDescent="0.25">
      <c r="A525" t="s">
        <v>4</v>
      </c>
      <c r="B525" t="s">
        <v>841</v>
      </c>
      <c r="C525" t="s">
        <v>840</v>
      </c>
      <c r="D525" t="s">
        <v>1578</v>
      </c>
      <c r="E525" t="s">
        <v>1579</v>
      </c>
      <c r="F525" t="s">
        <v>844</v>
      </c>
      <c r="G525" s="30">
        <v>62.94</v>
      </c>
      <c r="H525" s="29">
        <f>G525*(1-IFERROR(VLOOKUP(F525,Rabat!$D$10:$E$41,2,FALSE),0))</f>
        <v>62.94</v>
      </c>
      <c r="I525" t="s">
        <v>2542</v>
      </c>
      <c r="J525" t="s">
        <v>363</v>
      </c>
      <c r="K525" t="s">
        <v>2538</v>
      </c>
      <c r="L525">
        <v>20</v>
      </c>
      <c r="M525">
        <v>400</v>
      </c>
      <c r="N525" t="s">
        <v>2545</v>
      </c>
      <c r="O525" s="31" t="str">
        <f>HYPERLINK("https://b2b.kobi.pl/pl/product/10184,plafon-led-sigaro-circle-18w-4000k-kobi-premium?currency=PLN")</f>
        <v>https://b2b.kobi.pl/pl/product/10184,plafon-led-sigaro-circle-18w-4000k-kobi-premium?currency=PLN</v>
      </c>
      <c r="P525" s="31" t="str">
        <f>HYPERLINK("https://eprel.ec.europa.eu/qr/850585")</f>
        <v>https://eprel.ec.europa.eu/qr/850585</v>
      </c>
      <c r="Q525"/>
    </row>
    <row r="526" spans="1:17" ht="15" x14ac:dyDescent="0.25">
      <c r="A526" t="s">
        <v>4</v>
      </c>
      <c r="B526" t="s">
        <v>841</v>
      </c>
      <c r="C526" t="s">
        <v>840</v>
      </c>
      <c r="D526" t="s">
        <v>1582</v>
      </c>
      <c r="E526" t="s">
        <v>1583</v>
      </c>
      <c r="F526" t="s">
        <v>844</v>
      </c>
      <c r="G526" s="30">
        <v>76.25</v>
      </c>
      <c r="H526" s="29">
        <f>G526*(1-IFERROR(VLOOKUP(F526,Rabat!$D$10:$E$41,2,FALSE),0))</f>
        <v>76.25</v>
      </c>
      <c r="I526" t="s">
        <v>2542</v>
      </c>
      <c r="J526" t="s">
        <v>364</v>
      </c>
      <c r="K526" t="s">
        <v>2538</v>
      </c>
      <c r="L526">
        <v>20</v>
      </c>
      <c r="M526">
        <v>400</v>
      </c>
      <c r="N526" t="s">
        <v>2545</v>
      </c>
      <c r="O526" s="31" t="str">
        <f>HYPERLINK("https://b2b.kobi.pl/pl/product/10185,plafon-led-sigaro-circle-24w-4000k-kobi-premium?currency=PLN")</f>
        <v>https://b2b.kobi.pl/pl/product/10185,plafon-led-sigaro-circle-24w-4000k-kobi-premium?currency=PLN</v>
      </c>
      <c r="P526" s="31" t="str">
        <f>HYPERLINK("https://eprel.ec.europa.eu/qr/850598")</f>
        <v>https://eprel.ec.europa.eu/qr/850598</v>
      </c>
      <c r="Q526"/>
    </row>
    <row r="527" spans="1:17" ht="15" x14ac:dyDescent="0.25">
      <c r="A527" t="s">
        <v>4</v>
      </c>
      <c r="B527" t="s">
        <v>841</v>
      </c>
      <c r="C527" t="s">
        <v>840</v>
      </c>
      <c r="D527" t="s">
        <v>849</v>
      </c>
      <c r="E527" t="s">
        <v>850</v>
      </c>
      <c r="F527" t="s">
        <v>844</v>
      </c>
      <c r="G527" s="30">
        <v>23.96</v>
      </c>
      <c r="H527" s="29">
        <f>G527*(1-IFERROR(VLOOKUP(F527,Rabat!$D$10:$E$41,2,FALSE),0))</f>
        <v>23.96</v>
      </c>
      <c r="I527" t="s">
        <v>2542</v>
      </c>
      <c r="J527" t="s">
        <v>370</v>
      </c>
      <c r="K527" t="s">
        <v>2538</v>
      </c>
      <c r="L527">
        <v>40</v>
      </c>
      <c r="M527">
        <v>1000</v>
      </c>
      <c r="N527" t="s">
        <v>2545</v>
      </c>
      <c r="O527" s="31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27" s="31" t="str">
        <f>HYPERLINK("https://eprel.ec.europa.eu/qr/850354")</f>
        <v>https://eprel.ec.europa.eu/qr/850354</v>
      </c>
      <c r="Q527"/>
    </row>
    <row r="528" spans="1:17" ht="15" x14ac:dyDescent="0.25">
      <c r="A528" t="s">
        <v>4</v>
      </c>
      <c r="B528" t="s">
        <v>841</v>
      </c>
      <c r="C528" t="s">
        <v>840</v>
      </c>
      <c r="D528" t="s">
        <v>851</v>
      </c>
      <c r="E528" t="s">
        <v>852</v>
      </c>
      <c r="F528" t="s">
        <v>844</v>
      </c>
      <c r="G528" s="30">
        <v>39.799999999999997</v>
      </c>
      <c r="H528" s="29">
        <f>G528*(1-IFERROR(VLOOKUP(F528,Rabat!$D$10:$E$41,2,FALSE),0))</f>
        <v>39.799999999999997</v>
      </c>
      <c r="I528" t="s">
        <v>2542</v>
      </c>
      <c r="J528" t="s">
        <v>371</v>
      </c>
      <c r="K528" t="s">
        <v>2538</v>
      </c>
      <c r="L528">
        <v>20</v>
      </c>
      <c r="M528">
        <v>960</v>
      </c>
      <c r="N528" t="s">
        <v>2545</v>
      </c>
      <c r="O528" s="31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28" s="31" t="str">
        <f>HYPERLINK("https://eprel.ec.europa.eu/qr/850485")</f>
        <v>https://eprel.ec.europa.eu/qr/850485</v>
      </c>
      <c r="Q528"/>
    </row>
    <row r="529" spans="1:17" ht="15" x14ac:dyDescent="0.25">
      <c r="A529" t="s">
        <v>4</v>
      </c>
      <c r="B529" t="s">
        <v>841</v>
      </c>
      <c r="C529" t="s">
        <v>840</v>
      </c>
      <c r="D529" t="s">
        <v>853</v>
      </c>
      <c r="E529" t="s">
        <v>854</v>
      </c>
      <c r="F529" t="s">
        <v>844</v>
      </c>
      <c r="G529" s="30">
        <v>54.33</v>
      </c>
      <c r="H529" s="29">
        <f>G529*(1-IFERROR(VLOOKUP(F529,Rabat!$D$10:$E$41,2,FALSE),0))</f>
        <v>54.33</v>
      </c>
      <c r="I529" t="s">
        <v>2542</v>
      </c>
      <c r="J529" t="s">
        <v>372</v>
      </c>
      <c r="K529" t="s">
        <v>2538</v>
      </c>
      <c r="L529">
        <v>20</v>
      </c>
      <c r="M529">
        <v>520</v>
      </c>
      <c r="N529" t="s">
        <v>2545</v>
      </c>
      <c r="O529" s="31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29" s="31" t="str">
        <f>HYPERLINK("https://eprel.ec.europa.eu/qr/850526")</f>
        <v>https://eprel.ec.europa.eu/qr/850526</v>
      </c>
      <c r="Q529"/>
    </row>
    <row r="530" spans="1:17" ht="15" x14ac:dyDescent="0.25">
      <c r="A530" t="s">
        <v>4</v>
      </c>
      <c r="B530" t="s">
        <v>841</v>
      </c>
      <c r="C530" t="s">
        <v>840</v>
      </c>
      <c r="D530" t="s">
        <v>855</v>
      </c>
      <c r="E530" t="s">
        <v>856</v>
      </c>
      <c r="F530" t="s">
        <v>844</v>
      </c>
      <c r="G530" s="30">
        <v>67.540000000000006</v>
      </c>
      <c r="H530" s="29">
        <f>G530*(1-IFERROR(VLOOKUP(F530,Rabat!$D$10:$E$41,2,FALSE),0))</f>
        <v>67.540000000000006</v>
      </c>
      <c r="I530" t="s">
        <v>2542</v>
      </c>
      <c r="J530" t="s">
        <v>373</v>
      </c>
      <c r="K530" t="s">
        <v>2538</v>
      </c>
      <c r="L530">
        <v>20</v>
      </c>
      <c r="M530">
        <v>520</v>
      </c>
      <c r="N530" t="s">
        <v>2545</v>
      </c>
      <c r="O530" s="31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30" s="31" t="str">
        <f>HYPERLINK("https://eprel.ec.europa.eu/qr/850541")</f>
        <v>https://eprel.ec.europa.eu/qr/850541</v>
      </c>
      <c r="Q530"/>
    </row>
    <row r="531" spans="1:17" ht="15" x14ac:dyDescent="0.25">
      <c r="A531" t="s">
        <v>4</v>
      </c>
      <c r="B531" t="s">
        <v>841</v>
      </c>
      <c r="C531" t="s">
        <v>840</v>
      </c>
      <c r="D531" t="s">
        <v>1596</v>
      </c>
      <c r="E531" t="s">
        <v>1597</v>
      </c>
      <c r="F531" t="s">
        <v>844</v>
      </c>
      <c r="G531" s="30">
        <v>67.75</v>
      </c>
      <c r="H531" s="29">
        <f>G531*(1-IFERROR(VLOOKUP(F531,Rabat!$D$10:$E$41,2,FALSE),0))</f>
        <v>67.75</v>
      </c>
      <c r="I531" t="s">
        <v>2542</v>
      </c>
      <c r="J531" t="s">
        <v>365</v>
      </c>
      <c r="K531" t="s">
        <v>2538</v>
      </c>
      <c r="L531">
        <v>20</v>
      </c>
      <c r="M531">
        <v>520</v>
      </c>
      <c r="N531" t="s">
        <v>2545</v>
      </c>
      <c r="O531" s="31" t="str">
        <f>HYPERLINK("https://b2b.kobi.pl/pl/product/10199,plafon-led-sigaro-square-18w-4000k-kobi-premium?currency=PLN")</f>
        <v>https://b2b.kobi.pl/pl/product/10199,plafon-led-sigaro-square-18w-4000k-kobi-premium?currency=PLN</v>
      </c>
      <c r="P531" s="31" t="str">
        <f>HYPERLINK("https://eprel.ec.europa.eu/qr/850607")</f>
        <v>https://eprel.ec.europa.eu/qr/850607</v>
      </c>
      <c r="Q531"/>
    </row>
    <row r="532" spans="1:17" ht="15" x14ac:dyDescent="0.25">
      <c r="A532" t="s">
        <v>4</v>
      </c>
      <c r="B532" t="s">
        <v>841</v>
      </c>
      <c r="C532" t="s">
        <v>840</v>
      </c>
      <c r="D532" t="s">
        <v>1598</v>
      </c>
      <c r="E532" t="s">
        <v>1599</v>
      </c>
      <c r="F532" t="s">
        <v>844</v>
      </c>
      <c r="G532" s="30">
        <v>83.11</v>
      </c>
      <c r="H532" s="29">
        <f>G532*(1-IFERROR(VLOOKUP(F532,Rabat!$D$10:$E$41,2,FALSE),0))</f>
        <v>83.11</v>
      </c>
      <c r="I532" t="s">
        <v>2542</v>
      </c>
      <c r="J532" t="s">
        <v>366</v>
      </c>
      <c r="K532" t="s">
        <v>2538</v>
      </c>
      <c r="L532">
        <v>20</v>
      </c>
      <c r="M532">
        <v>400</v>
      </c>
      <c r="N532" t="s">
        <v>2545</v>
      </c>
      <c r="O532" s="31" t="str">
        <f>HYPERLINK("https://b2b.kobi.pl/pl/product/10200,plafon-led-sigaro-square-24w-4000k-kobi-premium?currency=PLN")</f>
        <v>https://b2b.kobi.pl/pl/product/10200,plafon-led-sigaro-square-24w-4000k-kobi-premium?currency=PLN</v>
      </c>
      <c r="P532" s="31" t="str">
        <f>HYPERLINK("https://eprel.ec.europa.eu/qr/850609")</f>
        <v>https://eprel.ec.europa.eu/qr/850609</v>
      </c>
      <c r="Q532"/>
    </row>
    <row r="533" spans="1:17" ht="15" x14ac:dyDescent="0.25">
      <c r="A533" t="s">
        <v>5</v>
      </c>
      <c r="B533" t="s">
        <v>32</v>
      </c>
      <c r="C533" t="s">
        <v>858</v>
      </c>
      <c r="D533" t="s">
        <v>1715</v>
      </c>
      <c r="E533" t="s">
        <v>1716</v>
      </c>
      <c r="F533" t="s">
        <v>1717</v>
      </c>
      <c r="G533" s="30">
        <v>44.8</v>
      </c>
      <c r="H533" s="29">
        <f>G533*(1-IFERROR(VLOOKUP(F533,Rabat!$D$10:$E$41,2,FALSE),0))</f>
        <v>44.8</v>
      </c>
      <c r="I533" t="s">
        <v>2540</v>
      </c>
      <c r="J533" t="s">
        <v>407</v>
      </c>
      <c r="K533" t="s">
        <v>2538</v>
      </c>
      <c r="L533">
        <v>20</v>
      </c>
      <c r="M533"/>
      <c r="N533" t="s">
        <v>2544</v>
      </c>
      <c r="O533" s="31" t="str">
        <f>HYPERLINK("https://b2b.kobi.pl/pl/product/10321,oprawa-meblowa-led-correa-3-4w-3000k-lx-kobi?currency=PLN")</f>
        <v>https://b2b.kobi.pl/pl/product/10321,oprawa-meblowa-led-correa-3-4w-3000k-lx-kobi?currency=PLN</v>
      </c>
      <c r="P533" t="s">
        <v>16</v>
      </c>
      <c r="Q533"/>
    </row>
    <row r="534" spans="1:17" ht="15" x14ac:dyDescent="0.25">
      <c r="A534" t="s">
        <v>5</v>
      </c>
      <c r="B534" t="s">
        <v>32</v>
      </c>
      <c r="C534" t="s">
        <v>840</v>
      </c>
      <c r="D534" t="s">
        <v>1718</v>
      </c>
      <c r="E534" t="s">
        <v>1719</v>
      </c>
      <c r="F534" t="s">
        <v>1717</v>
      </c>
      <c r="G534" s="30">
        <v>58.08</v>
      </c>
      <c r="H534" s="29">
        <f>G534*(1-IFERROR(VLOOKUP(F534,Rabat!$D$10:$E$41,2,FALSE),0))</f>
        <v>58.08</v>
      </c>
      <c r="I534" t="s">
        <v>2540</v>
      </c>
      <c r="J534" t="s">
        <v>408</v>
      </c>
      <c r="K534" t="s">
        <v>2538</v>
      </c>
      <c r="L534">
        <v>50</v>
      </c>
      <c r="M534">
        <v>1200</v>
      </c>
      <c r="N534" t="s">
        <v>2545</v>
      </c>
      <c r="O534" s="31" t="str">
        <f>HYPERLINK("https://b2b.kobi.pl/pl/product/10323,oprawa-meblowa-led-click-1-5w-cct-kobi-premium?currency=PLN")</f>
        <v>https://b2b.kobi.pl/pl/product/10323,oprawa-meblowa-led-click-1-5w-cct-kobi-premium?currency=PLN</v>
      </c>
      <c r="P534" t="s">
        <v>16</v>
      </c>
      <c r="Q534"/>
    </row>
    <row r="535" spans="1:17" ht="15" x14ac:dyDescent="0.25">
      <c r="A535" t="s">
        <v>5</v>
      </c>
      <c r="B535" t="s">
        <v>32</v>
      </c>
      <c r="C535" t="s">
        <v>858</v>
      </c>
      <c r="D535" t="s">
        <v>1720</v>
      </c>
      <c r="E535" t="s">
        <v>1721</v>
      </c>
      <c r="F535" t="s">
        <v>1717</v>
      </c>
      <c r="G535" s="30">
        <v>62.2</v>
      </c>
      <c r="H535" s="29">
        <f>G535*(1-IFERROR(VLOOKUP(F535,Rabat!$D$10:$E$41,2,FALSE),0))</f>
        <v>62.2</v>
      </c>
      <c r="I535" t="s">
        <v>2537</v>
      </c>
      <c r="J535" t="s">
        <v>409</v>
      </c>
      <c r="K535" t="s">
        <v>2538</v>
      </c>
      <c r="L535">
        <v>30</v>
      </c>
      <c r="M535">
        <v>510</v>
      </c>
      <c r="N535" t="s">
        <v>2544</v>
      </c>
      <c r="O535" s="31" t="str">
        <f>HYPERLINK("https://b2b.kobi.pl/pl/product/10331,oprawa-meblowa-led-wl-10w-4000k-kobi?currency=PLN")</f>
        <v>https://b2b.kobi.pl/pl/product/10331,oprawa-meblowa-led-wl-10w-4000k-kobi?currency=PLN</v>
      </c>
      <c r="P535" s="31" t="str">
        <f>HYPERLINK("https://eprel.ec.europa.eu/qr/862614")</f>
        <v>https://eprel.ec.europa.eu/qr/862614</v>
      </c>
      <c r="Q535" t="s">
        <v>2700</v>
      </c>
    </row>
    <row r="536" spans="1:17" ht="15" x14ac:dyDescent="0.25">
      <c r="A536" t="s">
        <v>5</v>
      </c>
      <c r="B536" t="s">
        <v>32</v>
      </c>
      <c r="C536" t="s">
        <v>858</v>
      </c>
      <c r="D536" t="s">
        <v>1726</v>
      </c>
      <c r="E536" t="s">
        <v>1727</v>
      </c>
      <c r="F536" t="s">
        <v>1717</v>
      </c>
      <c r="G536" s="30">
        <v>66.760000000000005</v>
      </c>
      <c r="H536" s="29">
        <f>G536*(1-IFERROR(VLOOKUP(F536,Rabat!$D$10:$E$41,2,FALSE),0))</f>
        <v>66.760000000000005</v>
      </c>
      <c r="I536" t="s">
        <v>2537</v>
      </c>
      <c r="J536" t="s">
        <v>411</v>
      </c>
      <c r="K536" t="s">
        <v>2538</v>
      </c>
      <c r="L536">
        <v>30</v>
      </c>
      <c r="M536">
        <v>450</v>
      </c>
      <c r="N536" t="s">
        <v>2544</v>
      </c>
      <c r="O536" s="31" t="str">
        <f>HYPERLINK("https://b2b.kobi.pl/pl/product/10334,oprawa-meblowa-led-wl-14w-3000k-kobi?currency=PLN")</f>
        <v>https://b2b.kobi.pl/pl/product/10334,oprawa-meblowa-led-wl-14w-3000k-kobi?currency=PLN</v>
      </c>
      <c r="P536" s="31" t="str">
        <f>HYPERLINK("https://eprel.ec.europa.eu/qr/1482407")</f>
        <v>https://eprel.ec.europa.eu/qr/1482407</v>
      </c>
      <c r="Q536" t="s">
        <v>2700</v>
      </c>
    </row>
    <row r="537" spans="1:17" ht="15" x14ac:dyDescent="0.25">
      <c r="A537" t="s">
        <v>5</v>
      </c>
      <c r="B537" t="s">
        <v>32</v>
      </c>
      <c r="C537" t="s">
        <v>858</v>
      </c>
      <c r="D537" t="s">
        <v>1722</v>
      </c>
      <c r="E537" t="s">
        <v>1723</v>
      </c>
      <c r="F537" t="s">
        <v>1717</v>
      </c>
      <c r="G537" s="30">
        <v>66.760000000000005</v>
      </c>
      <c r="H537" s="29">
        <f>G537*(1-IFERROR(VLOOKUP(F537,Rabat!$D$10:$E$41,2,FALSE),0))</f>
        <v>66.760000000000005</v>
      </c>
      <c r="I537" t="s">
        <v>2537</v>
      </c>
      <c r="J537" t="s">
        <v>410</v>
      </c>
      <c r="K537" t="s">
        <v>2538</v>
      </c>
      <c r="L537">
        <v>30</v>
      </c>
      <c r="M537">
        <v>450</v>
      </c>
      <c r="N537" t="s">
        <v>2544</v>
      </c>
      <c r="O537" s="31" t="str">
        <f>HYPERLINK("https://b2b.kobi.pl/pl/product/10333,oprawa-meblowa-led-wl-14w-4000k-kobi?currency=PLN")</f>
        <v>https://b2b.kobi.pl/pl/product/10333,oprawa-meblowa-led-wl-14w-4000k-kobi?currency=PLN</v>
      </c>
      <c r="P537" s="31" t="str">
        <f>HYPERLINK("https://eprel.ec.europa.eu/qr/862617")</f>
        <v>https://eprel.ec.europa.eu/qr/862617</v>
      </c>
      <c r="Q537" t="s">
        <v>2700</v>
      </c>
    </row>
    <row r="538" spans="1:17" ht="15" x14ac:dyDescent="0.25">
      <c r="A538" t="s">
        <v>5</v>
      </c>
      <c r="B538" t="s">
        <v>1051</v>
      </c>
      <c r="C538" t="s">
        <v>858</v>
      </c>
      <c r="D538" t="s">
        <v>1052</v>
      </c>
      <c r="E538" t="s">
        <v>1053</v>
      </c>
      <c r="F538" t="s">
        <v>962</v>
      </c>
      <c r="G538" s="30">
        <v>48.63</v>
      </c>
      <c r="H538" s="29">
        <f>G538*(1-IFERROR(VLOOKUP(F538,Rabat!$D$10:$E$41,2,FALSE),0))</f>
        <v>48.63</v>
      </c>
      <c r="I538" t="s">
        <v>2540</v>
      </c>
      <c r="J538" t="s">
        <v>427</v>
      </c>
      <c r="K538" t="s">
        <v>2538</v>
      </c>
      <c r="L538">
        <v>24</v>
      </c>
      <c r="M538">
        <v>600</v>
      </c>
      <c r="N538" t="s">
        <v>2544</v>
      </c>
      <c r="O538" s="31" t="str">
        <f>HYPERLINK("https://b2b.kobi.pl/pl/product/10600,lampa-ogrodowa-blake-2-1xgu10-ip65-czarna-kobi?currency=PLN")</f>
        <v>https://b2b.kobi.pl/pl/product/10600,lampa-ogrodowa-blake-2-1xgu10-ip65-czarna-kobi?currency=PLN</v>
      </c>
      <c r="P538" t="s">
        <v>16</v>
      </c>
      <c r="Q538"/>
    </row>
    <row r="539" spans="1:17" ht="15" x14ac:dyDescent="0.25">
      <c r="A539" t="s">
        <v>5</v>
      </c>
      <c r="B539" t="s">
        <v>1051</v>
      </c>
      <c r="C539" t="s">
        <v>858</v>
      </c>
      <c r="D539" t="s">
        <v>1728</v>
      </c>
      <c r="E539" t="s">
        <v>1729</v>
      </c>
      <c r="F539" t="s">
        <v>962</v>
      </c>
      <c r="G539" s="30">
        <v>94.26</v>
      </c>
      <c r="H539" s="29">
        <f>G539*(1-IFERROR(VLOOKUP(F539,Rabat!$D$10:$E$41,2,FALSE),0))</f>
        <v>94.26</v>
      </c>
      <c r="I539" t="s">
        <v>2540</v>
      </c>
      <c r="J539" t="s">
        <v>428</v>
      </c>
      <c r="K539" t="s">
        <v>2538</v>
      </c>
      <c r="L539">
        <v>18</v>
      </c>
      <c r="M539">
        <v>540</v>
      </c>
      <c r="N539" t="s">
        <v>2544</v>
      </c>
      <c r="O539" s="31" t="str">
        <f>HYPERLINK("https://b2b.kobi.pl/pl/product/10669,oprawa-najazdowa-entrada-1-1xgu10-kwadrat-kobi?currency=PLN")</f>
        <v>https://b2b.kobi.pl/pl/product/10669,oprawa-najazdowa-entrada-1-1xgu10-kwadrat-kobi?currency=PLN</v>
      </c>
      <c r="P539" t="s">
        <v>16</v>
      </c>
      <c r="Q539"/>
    </row>
    <row r="540" spans="1:17" ht="15" x14ac:dyDescent="0.25">
      <c r="A540" t="s">
        <v>5</v>
      </c>
      <c r="B540" t="s">
        <v>1051</v>
      </c>
      <c r="C540" t="s">
        <v>858</v>
      </c>
      <c r="D540" t="s">
        <v>1730</v>
      </c>
      <c r="E540" t="s">
        <v>1731</v>
      </c>
      <c r="F540" t="s">
        <v>962</v>
      </c>
      <c r="G540" s="30">
        <v>86.84</v>
      </c>
      <c r="H540" s="29">
        <f>G540*(1-IFERROR(VLOOKUP(F540,Rabat!$D$10:$E$41,2,FALSE),0))</f>
        <v>86.84</v>
      </c>
      <c r="I540" t="s">
        <v>2540</v>
      </c>
      <c r="J540" t="s">
        <v>429</v>
      </c>
      <c r="K540" t="s">
        <v>2538</v>
      </c>
      <c r="L540">
        <v>18</v>
      </c>
      <c r="M540">
        <v>540</v>
      </c>
      <c r="N540" t="s">
        <v>2544</v>
      </c>
      <c r="O540" s="31" t="str">
        <f>HYPERLINK("https://b2b.kobi.pl/pl/product/10670,oprawa-najazdowa-entrada-2-1xgu10-okragla-kobi?currency=PLN")</f>
        <v>https://b2b.kobi.pl/pl/product/10670,oprawa-najazdowa-entrada-2-1xgu10-okragla-kobi?currency=PLN</v>
      </c>
      <c r="P540" t="s">
        <v>16</v>
      </c>
      <c r="Q540"/>
    </row>
    <row r="541" spans="1:17" ht="15" x14ac:dyDescent="0.25">
      <c r="A541" t="s">
        <v>5</v>
      </c>
      <c r="B541" t="s">
        <v>1870</v>
      </c>
      <c r="C541" t="s">
        <v>858</v>
      </c>
      <c r="D541" t="s">
        <v>2014</v>
      </c>
      <c r="E541" t="s">
        <v>2015</v>
      </c>
      <c r="F541" t="s">
        <v>860</v>
      </c>
      <c r="G541" s="30">
        <v>162.5</v>
      </c>
      <c r="H541" s="29">
        <f>G541*(1-IFERROR(VLOOKUP(F541,Rabat!$D$10:$E$41,2,FALSE),0))</f>
        <v>162.5</v>
      </c>
      <c r="I541" t="s">
        <v>2540</v>
      </c>
      <c r="J541" t="s">
        <v>2635</v>
      </c>
      <c r="K541" t="s">
        <v>2538</v>
      </c>
      <c r="L541">
        <v>11</v>
      </c>
      <c r="M541"/>
      <c r="N541" t="s">
        <v>2544</v>
      </c>
      <c r="O541" s="31" t="str">
        <f>HYPERLINK("https://b2b.kobi.pl/pl/product/12135,uchwyt-montazowy-base-tp-360mm-fi-60mm-kobi?currency=PLN")</f>
        <v>https://b2b.kobi.pl/pl/product/12135,uchwyt-montazowy-base-tp-360mm-fi-60mm-kobi?currency=PLN</v>
      </c>
      <c r="P541" t="s">
        <v>16</v>
      </c>
      <c r="Q541"/>
    </row>
    <row r="542" spans="1:17" ht="15" x14ac:dyDescent="0.25">
      <c r="A542" t="s">
        <v>5</v>
      </c>
      <c r="B542" t="s">
        <v>1051</v>
      </c>
      <c r="C542" t="s">
        <v>44</v>
      </c>
      <c r="D542" t="s">
        <v>1738</v>
      </c>
      <c r="E542" t="s">
        <v>1739</v>
      </c>
      <c r="F542" t="s">
        <v>962</v>
      </c>
      <c r="G542" s="30">
        <v>57.4</v>
      </c>
      <c r="H542" s="29">
        <f>G542*(1-IFERROR(VLOOKUP(F542,Rabat!$D$10:$E$41,2,FALSE),0))</f>
        <v>57.4</v>
      </c>
      <c r="I542" t="s">
        <v>2540</v>
      </c>
      <c r="J542" t="s">
        <v>430</v>
      </c>
      <c r="K542" t="s">
        <v>2538</v>
      </c>
      <c r="L542">
        <v>20</v>
      </c>
      <c r="M542"/>
      <c r="N542" t="s">
        <v>2544</v>
      </c>
      <c r="O542" s="31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42" t="s">
        <v>16</v>
      </c>
      <c r="Q542"/>
    </row>
    <row r="543" spans="1:17" ht="15" x14ac:dyDescent="0.25">
      <c r="A543" t="s">
        <v>5</v>
      </c>
      <c r="B543" t="s">
        <v>1051</v>
      </c>
      <c r="C543" t="s">
        <v>44</v>
      </c>
      <c r="D543" t="s">
        <v>1734</v>
      </c>
      <c r="E543" t="s">
        <v>1735</v>
      </c>
      <c r="F543" t="s">
        <v>962</v>
      </c>
      <c r="G543" s="30">
        <v>59.8</v>
      </c>
      <c r="H543" s="29">
        <f>G543*(1-IFERROR(VLOOKUP(F543,Rabat!$D$10:$E$41,2,FALSE),0))</f>
        <v>59.8</v>
      </c>
      <c r="I543" t="s">
        <v>2540</v>
      </c>
      <c r="J543" t="s">
        <v>431</v>
      </c>
      <c r="K543" t="s">
        <v>2538</v>
      </c>
      <c r="L543">
        <v>20</v>
      </c>
      <c r="M543"/>
      <c r="N543" t="s">
        <v>2544</v>
      </c>
      <c r="O543" s="31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43" t="s">
        <v>16</v>
      </c>
      <c r="Q543"/>
    </row>
    <row r="544" spans="1:17" ht="15" x14ac:dyDescent="0.25">
      <c r="A544" t="s">
        <v>5</v>
      </c>
      <c r="B544" t="s">
        <v>1870</v>
      </c>
      <c r="C544" t="s">
        <v>44</v>
      </c>
      <c r="D544" t="s">
        <v>2016</v>
      </c>
      <c r="E544" t="s">
        <v>2017</v>
      </c>
      <c r="F544" t="s">
        <v>860</v>
      </c>
      <c r="G544" s="30">
        <v>47.5</v>
      </c>
      <c r="H544" s="29">
        <f>G544*(1-IFERROR(VLOOKUP(F544,Rabat!$D$10:$E$41,2,FALSE),0))</f>
        <v>47.5</v>
      </c>
      <c r="I544" t="s">
        <v>2540</v>
      </c>
      <c r="J544" t="s">
        <v>2636</v>
      </c>
      <c r="K544" t="s">
        <v>2538</v>
      </c>
      <c r="L544">
        <v>10</v>
      </c>
      <c r="M544"/>
      <c r="N544" t="s">
        <v>2544</v>
      </c>
      <c r="O544" s="31" t="str">
        <f>HYPERLINK("https://b2b.kobi.pl/pl/product/12126,uchwyt-scienny-base-se-500mm-fi-48mm-led2b?currency=PLN")</f>
        <v>https://b2b.kobi.pl/pl/product/12126,uchwyt-scienny-base-se-500mm-fi-48mm-led2b?currency=PLN</v>
      </c>
      <c r="P544" t="s">
        <v>16</v>
      </c>
      <c r="Q544"/>
    </row>
    <row r="545" spans="1:17" ht="15" x14ac:dyDescent="0.25">
      <c r="A545" t="s">
        <v>5</v>
      </c>
      <c r="B545" t="s">
        <v>1870</v>
      </c>
      <c r="C545" t="s">
        <v>858</v>
      </c>
      <c r="D545" t="s">
        <v>1871</v>
      </c>
      <c r="E545" t="s">
        <v>1872</v>
      </c>
      <c r="F545" t="s">
        <v>860</v>
      </c>
      <c r="G545" s="30">
        <v>426.67</v>
      </c>
      <c r="H545" s="29">
        <f>G545*(1-IFERROR(VLOOKUP(F545,Rabat!$D$10:$E$41,2,FALSE),0))</f>
        <v>426.67</v>
      </c>
      <c r="I545" t="s">
        <v>2540</v>
      </c>
      <c r="J545" t="s">
        <v>2622</v>
      </c>
      <c r="K545" t="s">
        <v>2538</v>
      </c>
      <c r="L545">
        <v>1</v>
      </c>
      <c r="M545">
        <v>32</v>
      </c>
      <c r="N545" t="s">
        <v>2544</v>
      </c>
      <c r="O545" s="31" t="str">
        <f>HYPERLINK("https://b2b.kobi.pl/pl/product/12128,slup-base-sg-3m-fi-60mm-kobi?currency=PLN")</f>
        <v>https://b2b.kobi.pl/pl/product/12128,slup-base-sg-3m-fi-60mm-kobi?currency=PLN</v>
      </c>
      <c r="P545" t="s">
        <v>16</v>
      </c>
      <c r="Q545"/>
    </row>
    <row r="546" spans="1:17" ht="15" x14ac:dyDescent="0.25">
      <c r="A546" t="s">
        <v>5</v>
      </c>
      <c r="B546" t="s">
        <v>1870</v>
      </c>
      <c r="C546" t="s">
        <v>858</v>
      </c>
      <c r="D546" t="s">
        <v>1873</v>
      </c>
      <c r="E546" t="s">
        <v>1874</v>
      </c>
      <c r="F546" t="s">
        <v>860</v>
      </c>
      <c r="G546" s="30">
        <v>572.5</v>
      </c>
      <c r="H546" s="29">
        <f>G546*(1-IFERROR(VLOOKUP(F546,Rabat!$D$10:$E$41,2,FALSE),0))</f>
        <v>572.5</v>
      </c>
      <c r="I546" t="s">
        <v>2540</v>
      </c>
      <c r="J546" t="s">
        <v>2623</v>
      </c>
      <c r="K546" t="s">
        <v>2538</v>
      </c>
      <c r="L546">
        <v>1</v>
      </c>
      <c r="M546">
        <v>32</v>
      </c>
      <c r="N546" t="s">
        <v>2544</v>
      </c>
      <c r="O546" s="31" t="str">
        <f>HYPERLINK("https://b2b.kobi.pl/pl/product/12129,slup-base-sg-4m-fi-60mm-kobi?currency=PLN")</f>
        <v>https://b2b.kobi.pl/pl/product/12129,slup-base-sg-4m-fi-60mm-kobi?currency=PLN</v>
      </c>
      <c r="P546" t="s">
        <v>16</v>
      </c>
      <c r="Q546"/>
    </row>
    <row r="547" spans="1:17" ht="15" x14ac:dyDescent="0.25">
      <c r="A547" t="s">
        <v>5</v>
      </c>
      <c r="B547" t="s">
        <v>24</v>
      </c>
      <c r="C547" t="s">
        <v>858</v>
      </c>
      <c r="D547" t="s">
        <v>1289</v>
      </c>
      <c r="E547" t="s">
        <v>1290</v>
      </c>
      <c r="F547" t="s">
        <v>1082</v>
      </c>
      <c r="G547" s="30">
        <v>59.35</v>
      </c>
      <c r="H547" s="29">
        <f>G547*(1-IFERROR(VLOOKUP(F547,Rabat!$D$10:$E$41,2,FALSE),0))</f>
        <v>59.35</v>
      </c>
      <c r="I547" t="s">
        <v>2540</v>
      </c>
      <c r="J547" t="s">
        <v>381</v>
      </c>
      <c r="K547" t="s">
        <v>2538</v>
      </c>
      <c r="L547">
        <v>12</v>
      </c>
      <c r="M547">
        <v>240</v>
      </c>
      <c r="N547" t="s">
        <v>2544</v>
      </c>
      <c r="O547" s="31" t="str">
        <f>HYPERLINK("https://b2b.kobi.pl/pl/product/10295,lampka-biurkowa-smieszek-1xe27-biala-kobi?currency=PLN")</f>
        <v>https://b2b.kobi.pl/pl/product/10295,lampka-biurkowa-smieszek-1xe27-biala-kobi?currency=PLN</v>
      </c>
      <c r="P547" t="s">
        <v>16</v>
      </c>
      <c r="Q547"/>
    </row>
    <row r="548" spans="1:17" ht="15" x14ac:dyDescent="0.25">
      <c r="A548" t="s">
        <v>5</v>
      </c>
      <c r="B548" t="s">
        <v>24</v>
      </c>
      <c r="C548" t="s">
        <v>858</v>
      </c>
      <c r="D548" t="s">
        <v>1293</v>
      </c>
      <c r="E548" t="s">
        <v>1294</v>
      </c>
      <c r="F548" t="s">
        <v>1082</v>
      </c>
      <c r="G548" s="30">
        <v>59.35</v>
      </c>
      <c r="H548" s="29">
        <f>G548*(1-IFERROR(VLOOKUP(F548,Rabat!$D$10:$E$41,2,FALSE),0))</f>
        <v>59.35</v>
      </c>
      <c r="I548" t="s">
        <v>2540</v>
      </c>
      <c r="J548" t="s">
        <v>382</v>
      </c>
      <c r="K548" t="s">
        <v>2538</v>
      </c>
      <c r="L548">
        <v>12</v>
      </c>
      <c r="M548">
        <v>240</v>
      </c>
      <c r="N548" t="s">
        <v>2544</v>
      </c>
      <c r="O548" s="31" t="str">
        <f>HYPERLINK("https://b2b.kobi.pl/pl/product/10296,lampka-biurkowa-smieszek-1xe27-czarna-kobi?currency=PLN")</f>
        <v>https://b2b.kobi.pl/pl/product/10296,lampka-biurkowa-smieszek-1xe27-czarna-kobi?currency=PLN</v>
      </c>
      <c r="P548" t="s">
        <v>16</v>
      </c>
      <c r="Q548"/>
    </row>
    <row r="549" spans="1:17" ht="15" x14ac:dyDescent="0.25">
      <c r="A549" t="s">
        <v>5</v>
      </c>
      <c r="B549" t="s">
        <v>24</v>
      </c>
      <c r="C549" t="s">
        <v>858</v>
      </c>
      <c r="D549" t="s">
        <v>1297</v>
      </c>
      <c r="E549" t="s">
        <v>1298</v>
      </c>
      <c r="F549" t="s">
        <v>1082</v>
      </c>
      <c r="G549" s="30">
        <v>59.35</v>
      </c>
      <c r="H549" s="29">
        <f>G549*(1-IFERROR(VLOOKUP(F549,Rabat!$D$10:$E$41,2,FALSE),0))</f>
        <v>59.35</v>
      </c>
      <c r="I549" t="s">
        <v>2540</v>
      </c>
      <c r="J549" t="s">
        <v>383</v>
      </c>
      <c r="K549" t="s">
        <v>2538</v>
      </c>
      <c r="L549">
        <v>12</v>
      </c>
      <c r="M549">
        <v>240</v>
      </c>
      <c r="N549" t="s">
        <v>2544</v>
      </c>
      <c r="O549" s="31" t="str">
        <f>HYPERLINK("https://b2b.kobi.pl/pl/product/10297,lampka-biurkowa-smieszek-1xe27-czerwona-kobi?currency=PLN")</f>
        <v>https://b2b.kobi.pl/pl/product/10297,lampka-biurkowa-smieszek-1xe27-czerwona-kobi?currency=PLN</v>
      </c>
      <c r="P549" t="s">
        <v>16</v>
      </c>
      <c r="Q549"/>
    </row>
    <row r="550" spans="1:17" ht="15" x14ac:dyDescent="0.25">
      <c r="A550" t="s">
        <v>5</v>
      </c>
      <c r="B550" t="s">
        <v>24</v>
      </c>
      <c r="C550" t="s">
        <v>858</v>
      </c>
      <c r="D550" t="s">
        <v>1301</v>
      </c>
      <c r="E550" t="s">
        <v>1302</v>
      </c>
      <c r="F550" t="s">
        <v>1082</v>
      </c>
      <c r="G550" s="30">
        <v>59.35</v>
      </c>
      <c r="H550" s="29">
        <f>G550*(1-IFERROR(VLOOKUP(F550,Rabat!$D$10:$E$41,2,FALSE),0))</f>
        <v>59.35</v>
      </c>
      <c r="I550" t="s">
        <v>2540</v>
      </c>
      <c r="J550" t="s">
        <v>384</v>
      </c>
      <c r="K550" t="s">
        <v>2538</v>
      </c>
      <c r="L550">
        <v>12</v>
      </c>
      <c r="M550">
        <v>240</v>
      </c>
      <c r="N550" t="s">
        <v>2544</v>
      </c>
      <c r="O550" s="31" t="str">
        <f>HYPERLINK("https://b2b.kobi.pl/pl/product/10298,lampka-biurkowa-smieszek-1xe27-niebieska-kobi?currency=PLN")</f>
        <v>https://b2b.kobi.pl/pl/product/10298,lampka-biurkowa-smieszek-1xe27-niebieska-kobi?currency=PLN</v>
      </c>
      <c r="P550" t="s">
        <v>16</v>
      </c>
      <c r="Q550"/>
    </row>
    <row r="551" spans="1:17" ht="15" x14ac:dyDescent="0.25">
      <c r="A551" t="s">
        <v>5</v>
      </c>
      <c r="B551" t="s">
        <v>24</v>
      </c>
      <c r="C551" t="s">
        <v>858</v>
      </c>
      <c r="D551" t="s">
        <v>1303</v>
      </c>
      <c r="E551" t="s">
        <v>1304</v>
      </c>
      <c r="F551" t="s">
        <v>1082</v>
      </c>
      <c r="G551" s="30">
        <v>59.35</v>
      </c>
      <c r="H551" s="29">
        <f>G551*(1-IFERROR(VLOOKUP(F551,Rabat!$D$10:$E$41,2,FALSE),0))</f>
        <v>59.35</v>
      </c>
      <c r="I551" t="s">
        <v>2540</v>
      </c>
      <c r="J551" t="s">
        <v>385</v>
      </c>
      <c r="K551" t="s">
        <v>2538</v>
      </c>
      <c r="L551">
        <v>12</v>
      </c>
      <c r="M551">
        <v>240</v>
      </c>
      <c r="N551" t="s">
        <v>2544</v>
      </c>
      <c r="O551" s="31" t="str">
        <f>HYPERLINK("https://b2b.kobi.pl/pl/product/10299,lampka-biurkowa-smieszek-1xe27-rozowa-kobi?currency=PLN")</f>
        <v>https://b2b.kobi.pl/pl/product/10299,lampka-biurkowa-smieszek-1xe27-rozowa-kobi?currency=PLN</v>
      </c>
      <c r="P551" t="s">
        <v>16</v>
      </c>
      <c r="Q551"/>
    </row>
    <row r="552" spans="1:17" ht="15" x14ac:dyDescent="0.25">
      <c r="A552" t="s">
        <v>5</v>
      </c>
      <c r="B552" t="s">
        <v>24</v>
      </c>
      <c r="C552" t="s">
        <v>858</v>
      </c>
      <c r="D552" t="s">
        <v>1305</v>
      </c>
      <c r="E552" t="s">
        <v>1306</v>
      </c>
      <c r="F552" t="s">
        <v>1082</v>
      </c>
      <c r="G552" s="30">
        <v>59.35</v>
      </c>
      <c r="H552" s="29">
        <f>G552*(1-IFERROR(VLOOKUP(F552,Rabat!$D$10:$E$41,2,FALSE),0))</f>
        <v>59.35</v>
      </c>
      <c r="I552" t="s">
        <v>2540</v>
      </c>
      <c r="J552" t="s">
        <v>386</v>
      </c>
      <c r="K552" t="s">
        <v>2538</v>
      </c>
      <c r="L552">
        <v>12</v>
      </c>
      <c r="M552">
        <v>240</v>
      </c>
      <c r="N552" t="s">
        <v>2544</v>
      </c>
      <c r="O552" s="31" t="str">
        <f>HYPERLINK("https://b2b.kobi.pl/pl/product/10300,lampka-biurkowa-smieszek-1xe27-zielona-kobi?currency=PLN")</f>
        <v>https://b2b.kobi.pl/pl/product/10300,lampka-biurkowa-smieszek-1xe27-zielona-kobi?currency=PLN</v>
      </c>
      <c r="P552" t="s">
        <v>16</v>
      </c>
      <c r="Q552"/>
    </row>
    <row r="553" spans="1:17" ht="15" x14ac:dyDescent="0.25">
      <c r="A553" t="s">
        <v>5</v>
      </c>
      <c r="B553" t="s">
        <v>24</v>
      </c>
      <c r="C553" t="s">
        <v>858</v>
      </c>
      <c r="D553" t="s">
        <v>1307</v>
      </c>
      <c r="E553" t="s">
        <v>1308</v>
      </c>
      <c r="F553" t="s">
        <v>1082</v>
      </c>
      <c r="G553" s="30">
        <v>59.35</v>
      </c>
      <c r="H553" s="29">
        <f>G553*(1-IFERROR(VLOOKUP(F553,Rabat!$D$10:$E$41,2,FALSE),0))</f>
        <v>59.35</v>
      </c>
      <c r="I553" t="s">
        <v>2540</v>
      </c>
      <c r="J553" t="s">
        <v>387</v>
      </c>
      <c r="K553" t="s">
        <v>2538</v>
      </c>
      <c r="L553">
        <v>12</v>
      </c>
      <c r="M553">
        <v>240</v>
      </c>
      <c r="N553" t="s">
        <v>2544</v>
      </c>
      <c r="O553" s="31" t="str">
        <f>HYPERLINK("https://b2b.kobi.pl/pl/product/10301,lampka-biurkowa-smieszek-1xe27-zolta-kobi?currency=PLN")</f>
        <v>https://b2b.kobi.pl/pl/product/10301,lampka-biurkowa-smieszek-1xe27-zolta-kobi?currency=PLN</v>
      </c>
      <c r="P553" t="s">
        <v>16</v>
      </c>
      <c r="Q553"/>
    </row>
    <row r="554" spans="1:17" ht="15" x14ac:dyDescent="0.25">
      <c r="A554" t="s">
        <v>5</v>
      </c>
      <c r="B554" t="s">
        <v>24</v>
      </c>
      <c r="C554" t="s">
        <v>840</v>
      </c>
      <c r="D554" t="s">
        <v>1233</v>
      </c>
      <c r="E554" t="s">
        <v>1234</v>
      </c>
      <c r="F554" t="s">
        <v>1082</v>
      </c>
      <c r="G554" s="30">
        <v>168</v>
      </c>
      <c r="H554" s="29">
        <f>G554*(1-IFERROR(VLOOKUP(F554,Rabat!$D$10:$E$41,2,FALSE),0))</f>
        <v>168</v>
      </c>
      <c r="I554" t="s">
        <v>2540</v>
      </c>
      <c r="J554" t="s">
        <v>388</v>
      </c>
      <c r="K554" t="s">
        <v>2538</v>
      </c>
      <c r="L554">
        <v>12</v>
      </c>
      <c r="M554"/>
      <c r="N554" t="s">
        <v>2545</v>
      </c>
      <c r="O554" s="31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554" t="s">
        <v>16</v>
      </c>
      <c r="Q554"/>
    </row>
    <row r="555" spans="1:17" ht="15" x14ac:dyDescent="0.25">
      <c r="A555" t="s">
        <v>5</v>
      </c>
      <c r="B555" t="s">
        <v>24</v>
      </c>
      <c r="C555" t="s">
        <v>840</v>
      </c>
      <c r="D555" t="s">
        <v>1235</v>
      </c>
      <c r="E555" t="s">
        <v>1236</v>
      </c>
      <c r="F555" t="s">
        <v>1082</v>
      </c>
      <c r="G555" s="30">
        <v>168</v>
      </c>
      <c r="H555" s="29">
        <f>G555*(1-IFERROR(VLOOKUP(F555,Rabat!$D$10:$E$41,2,FALSE),0))</f>
        <v>168</v>
      </c>
      <c r="I555" t="s">
        <v>2540</v>
      </c>
      <c r="J555" t="s">
        <v>389</v>
      </c>
      <c r="K555" t="s">
        <v>2538</v>
      </c>
      <c r="L555">
        <v>12</v>
      </c>
      <c r="M555"/>
      <c r="N555" t="s">
        <v>2545</v>
      </c>
      <c r="O555" s="31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555" t="s">
        <v>16</v>
      </c>
      <c r="Q555"/>
    </row>
    <row r="556" spans="1:17" ht="15" x14ac:dyDescent="0.25">
      <c r="A556" t="s">
        <v>5</v>
      </c>
      <c r="B556" t="s">
        <v>24</v>
      </c>
      <c r="C556" t="s">
        <v>44</v>
      </c>
      <c r="D556" t="s">
        <v>1227</v>
      </c>
      <c r="E556" t="s">
        <v>1228</v>
      </c>
      <c r="F556" t="s">
        <v>1082</v>
      </c>
      <c r="G556" s="30">
        <v>63.13</v>
      </c>
      <c r="H556" s="29">
        <f>G556*(1-IFERROR(VLOOKUP(F556,Rabat!$D$10:$E$41,2,FALSE),0))</f>
        <v>63.13</v>
      </c>
      <c r="I556" t="s">
        <v>2540</v>
      </c>
      <c r="J556" t="s">
        <v>648</v>
      </c>
      <c r="K556" t="s">
        <v>2538</v>
      </c>
      <c r="L556">
        <v>12</v>
      </c>
      <c r="M556"/>
      <c r="N556" t="s">
        <v>2544</v>
      </c>
      <c r="O556" s="31" t="str">
        <f>HYPERLINK("https://b2b.kobi.pl/pl/product/10304,lampka-biurkowa-auriq-1xe27-biala-led2b?currency=PLN")</f>
        <v>https://b2b.kobi.pl/pl/product/10304,lampka-biurkowa-auriq-1xe27-biala-led2b?currency=PLN</v>
      </c>
      <c r="P556" t="s">
        <v>16</v>
      </c>
      <c r="Q556"/>
    </row>
    <row r="557" spans="1:17" ht="15" x14ac:dyDescent="0.25">
      <c r="A557" t="s">
        <v>5</v>
      </c>
      <c r="B557" t="s">
        <v>24</v>
      </c>
      <c r="C557" t="s">
        <v>44</v>
      </c>
      <c r="D557" t="s">
        <v>1229</v>
      </c>
      <c r="E557" t="s">
        <v>1230</v>
      </c>
      <c r="F557" t="s">
        <v>1082</v>
      </c>
      <c r="G557" s="30">
        <v>63.13</v>
      </c>
      <c r="H557" s="29">
        <f>G557*(1-IFERROR(VLOOKUP(F557,Rabat!$D$10:$E$41,2,FALSE),0))</f>
        <v>63.13</v>
      </c>
      <c r="I557" t="s">
        <v>2540</v>
      </c>
      <c r="J557" t="s">
        <v>647</v>
      </c>
      <c r="K557" t="s">
        <v>2538</v>
      </c>
      <c r="L557">
        <v>12</v>
      </c>
      <c r="M557"/>
      <c r="N557" t="s">
        <v>2544</v>
      </c>
      <c r="O557" s="31" t="str">
        <f>HYPERLINK("https://b2b.kobi.pl/pl/product/10305,lampka-biurkowa-auriq-1xe27-czarna-led2b?currency=PLN")</f>
        <v>https://b2b.kobi.pl/pl/product/10305,lampka-biurkowa-auriq-1xe27-czarna-led2b?currency=PLN</v>
      </c>
      <c r="P557" t="s">
        <v>16</v>
      </c>
      <c r="Q557"/>
    </row>
    <row r="558" spans="1:17" ht="15" x14ac:dyDescent="0.25">
      <c r="A558" t="s">
        <v>5</v>
      </c>
      <c r="B558" t="s">
        <v>24</v>
      </c>
      <c r="C558" t="s">
        <v>44</v>
      </c>
      <c r="D558" t="s">
        <v>1080</v>
      </c>
      <c r="E558" t="s">
        <v>1081</v>
      </c>
      <c r="F558" t="s">
        <v>1082</v>
      </c>
      <c r="G558" s="30">
        <v>117.5</v>
      </c>
      <c r="H558" s="29">
        <f>G558*(1-IFERROR(VLOOKUP(F558,Rabat!$D$10:$E$41,2,FALSE),0))</f>
        <v>117.5</v>
      </c>
      <c r="I558" t="s">
        <v>2540</v>
      </c>
      <c r="J558" t="s">
        <v>649</v>
      </c>
      <c r="K558" t="s">
        <v>2538</v>
      </c>
      <c r="L558">
        <v>5</v>
      </c>
      <c r="M558"/>
      <c r="N558" t="s">
        <v>2544</v>
      </c>
      <c r="O558" s="31" t="str">
        <f>HYPERLINK("https://b2b.kobi.pl/pl/product/10306,lampa-podlogowa-auriq-st-1xe27-czarna-led2b?currency=PLN")</f>
        <v>https://b2b.kobi.pl/pl/product/10306,lampa-podlogowa-auriq-st-1xe27-czarna-led2b?currency=PLN</v>
      </c>
      <c r="P558" t="s">
        <v>16</v>
      </c>
      <c r="Q558"/>
    </row>
    <row r="559" spans="1:17" ht="15" x14ac:dyDescent="0.25">
      <c r="A559" t="s">
        <v>5</v>
      </c>
      <c r="B559" t="s">
        <v>24</v>
      </c>
      <c r="C559" t="s">
        <v>44</v>
      </c>
      <c r="D559" t="s">
        <v>1237</v>
      </c>
      <c r="E559" t="s">
        <v>1238</v>
      </c>
      <c r="F559" t="s">
        <v>1082</v>
      </c>
      <c r="G559" s="30">
        <v>211.9</v>
      </c>
      <c r="H559" s="29">
        <f>G559*(1-IFERROR(VLOOKUP(F559,Rabat!$D$10:$E$41,2,FALSE),0))</f>
        <v>211.9</v>
      </c>
      <c r="I559" t="s">
        <v>2540</v>
      </c>
      <c r="J559" t="s">
        <v>650</v>
      </c>
      <c r="K559" t="s">
        <v>2538</v>
      </c>
      <c r="L559">
        <v>18</v>
      </c>
      <c r="M559"/>
      <c r="N559" t="s">
        <v>2544</v>
      </c>
      <c r="O559" s="31" t="str">
        <f>HYPERLINK("https://b2b.kobi.pl/pl/product/10308,lampka-biurkowa-led-noblite-7w-cct-czarna-led2b?currency=PLN")</f>
        <v>https://b2b.kobi.pl/pl/product/10308,lampka-biurkowa-led-noblite-7w-cct-czarna-led2b?currency=PLN</v>
      </c>
      <c r="P559" s="31" t="str">
        <f>HYPERLINK("https://eprel.ec.europa.eu/qr/2076933")</f>
        <v>https://eprel.ec.europa.eu/qr/2076933</v>
      </c>
      <c r="Q559" t="s">
        <v>2700</v>
      </c>
    </row>
    <row r="560" spans="1:17" ht="15" x14ac:dyDescent="0.25">
      <c r="A560" t="s">
        <v>5</v>
      </c>
      <c r="B560" t="s">
        <v>24</v>
      </c>
      <c r="C560" t="s">
        <v>44</v>
      </c>
      <c r="D560" t="s">
        <v>1239</v>
      </c>
      <c r="E560" t="s">
        <v>1240</v>
      </c>
      <c r="F560" t="s">
        <v>1082</v>
      </c>
      <c r="G560" s="30">
        <v>211.9</v>
      </c>
      <c r="H560" s="29">
        <f>G560*(1-IFERROR(VLOOKUP(F560,Rabat!$D$10:$E$41,2,FALSE),0))</f>
        <v>211.9</v>
      </c>
      <c r="I560" t="s">
        <v>2540</v>
      </c>
      <c r="J560" t="s">
        <v>651</v>
      </c>
      <c r="K560" t="s">
        <v>2538</v>
      </c>
      <c r="L560">
        <v>18</v>
      </c>
      <c r="M560"/>
      <c r="N560" t="s">
        <v>2544</v>
      </c>
      <c r="O560" s="31" t="str">
        <f>HYPERLINK("https://b2b.kobi.pl/pl/product/10307,lampka-biurkowa-led-noblite-7w-cct-biala-led2b?currency=PLN")</f>
        <v>https://b2b.kobi.pl/pl/product/10307,lampka-biurkowa-led-noblite-7w-cct-biala-led2b?currency=PLN</v>
      </c>
      <c r="P560" s="31" t="str">
        <f>HYPERLINK("https://eprel.ec.europa.eu/qr/2076933")</f>
        <v>https://eprel.ec.europa.eu/qr/2076933</v>
      </c>
      <c r="Q560" t="s">
        <v>2700</v>
      </c>
    </row>
    <row r="561" spans="1:17" ht="15" x14ac:dyDescent="0.25">
      <c r="A561" t="s">
        <v>5</v>
      </c>
      <c r="B561" t="s">
        <v>24</v>
      </c>
      <c r="C561" t="s">
        <v>44</v>
      </c>
      <c r="D561" t="s">
        <v>1249</v>
      </c>
      <c r="E561" t="s">
        <v>1250</v>
      </c>
      <c r="F561" t="s">
        <v>1082</v>
      </c>
      <c r="G561" s="30">
        <v>99.75</v>
      </c>
      <c r="H561" s="29">
        <f>G561*(1-IFERROR(VLOOKUP(F561,Rabat!$D$10:$E$41,2,FALSE),0))</f>
        <v>99.75</v>
      </c>
      <c r="I561" t="s">
        <v>2542</v>
      </c>
      <c r="J561" t="s">
        <v>645</v>
      </c>
      <c r="K561" t="s">
        <v>2538</v>
      </c>
      <c r="L561">
        <v>8</v>
      </c>
      <c r="M561"/>
      <c r="N561" t="s">
        <v>2544</v>
      </c>
      <c r="O561" s="31" t="str">
        <f>HYPERLINK("https://b2b.kobi.pl/pl/product/10309,lampka-biurkowa-led-tenuix-14w-cct-czarna-led2b?currency=PLN")</f>
        <v>https://b2b.kobi.pl/pl/product/10309,lampka-biurkowa-led-tenuix-14w-cct-czarna-led2b?currency=PLN</v>
      </c>
      <c r="P561" s="31" t="str">
        <f>HYPERLINK("https://eprel.ec.europa.eu/qr/2077025")</f>
        <v>https://eprel.ec.europa.eu/qr/2077025</v>
      </c>
      <c r="Q561"/>
    </row>
    <row r="562" spans="1:17" ht="15" x14ac:dyDescent="0.25">
      <c r="A562" t="s">
        <v>5</v>
      </c>
      <c r="B562" t="s">
        <v>24</v>
      </c>
      <c r="C562" t="s">
        <v>44</v>
      </c>
      <c r="D562" t="s">
        <v>1253</v>
      </c>
      <c r="E562" t="s">
        <v>1254</v>
      </c>
      <c r="F562" t="s">
        <v>1082</v>
      </c>
      <c r="G562" s="30">
        <v>149.19999999999999</v>
      </c>
      <c r="H562" s="29">
        <f>G562*(1-IFERROR(VLOOKUP(F562,Rabat!$D$10:$E$41,2,FALSE),0))</f>
        <v>149.19999999999999</v>
      </c>
      <c r="I562" t="s">
        <v>2540</v>
      </c>
      <c r="J562" t="s">
        <v>646</v>
      </c>
      <c r="K562" t="s">
        <v>2538</v>
      </c>
      <c r="L562">
        <v>16</v>
      </c>
      <c r="M562"/>
      <c r="N562" t="s">
        <v>2544</v>
      </c>
      <c r="O562" s="31" t="str">
        <f>HYPERLINK("https://b2b.kobi.pl/pl/product/10310,lampka-biurkowa-led-tenuix-duo-28w-cct-czarna-led2b?currency=PLN")</f>
        <v>https://b2b.kobi.pl/pl/product/10310,lampka-biurkowa-led-tenuix-duo-28w-cct-czarna-led2b?currency=PLN</v>
      </c>
      <c r="P562" s="31" t="str">
        <f>HYPERLINK("https://eprel.ec.europa.eu/qr/2077037")</f>
        <v>https://eprel.ec.europa.eu/qr/2077037</v>
      </c>
      <c r="Q562"/>
    </row>
    <row r="563" spans="1:17" ht="15" x14ac:dyDescent="0.25">
      <c r="A563" t="s">
        <v>5</v>
      </c>
      <c r="B563" t="s">
        <v>24</v>
      </c>
      <c r="C563" t="s">
        <v>44</v>
      </c>
      <c r="D563" t="s">
        <v>1257</v>
      </c>
      <c r="E563" t="s">
        <v>1258</v>
      </c>
      <c r="F563" t="s">
        <v>1082</v>
      </c>
      <c r="G563" s="30">
        <v>45.85</v>
      </c>
      <c r="H563" s="29">
        <f>G563*(1-IFERROR(VLOOKUP(F563,Rabat!$D$10:$E$41,2,FALSE),0))</f>
        <v>45.85</v>
      </c>
      <c r="I563" t="s">
        <v>2540</v>
      </c>
      <c r="J563" t="s">
        <v>654</v>
      </c>
      <c r="K563" t="s">
        <v>2538</v>
      </c>
      <c r="L563">
        <v>60</v>
      </c>
      <c r="M563"/>
      <c r="N563" t="s">
        <v>2544</v>
      </c>
      <c r="O563" s="31" t="str">
        <f>HYPERLINK("https://b2b.kobi.pl/pl/product/10311,lampka-biurkowa-led-visua-desk-5w-biala-led2b?currency=PLN")</f>
        <v>https://b2b.kobi.pl/pl/product/10311,lampka-biurkowa-led-visua-desk-5w-biala-led2b?currency=PLN</v>
      </c>
      <c r="P563" t="s">
        <v>16</v>
      </c>
      <c r="Q563"/>
    </row>
    <row r="564" spans="1:17" ht="15" x14ac:dyDescent="0.25">
      <c r="A564" t="s">
        <v>5</v>
      </c>
      <c r="B564" t="s">
        <v>24</v>
      </c>
      <c r="C564" t="s">
        <v>44</v>
      </c>
      <c r="D564" t="s">
        <v>1261</v>
      </c>
      <c r="E564" t="s">
        <v>1262</v>
      </c>
      <c r="F564" t="s">
        <v>1082</v>
      </c>
      <c r="G564" s="30">
        <v>45.85</v>
      </c>
      <c r="H564" s="29">
        <f>G564*(1-IFERROR(VLOOKUP(F564,Rabat!$D$10:$E$41,2,FALSE),0))</f>
        <v>45.85</v>
      </c>
      <c r="I564" t="s">
        <v>2540</v>
      </c>
      <c r="J564" t="s">
        <v>653</v>
      </c>
      <c r="K564" t="s">
        <v>2538</v>
      </c>
      <c r="L564">
        <v>60</v>
      </c>
      <c r="M564"/>
      <c r="N564" t="s">
        <v>2544</v>
      </c>
      <c r="O564" s="31" t="str">
        <f>HYPERLINK("https://b2b.kobi.pl/pl/product/10312,lampka-biurkowa-led-visua-desk-5w-czarna-led2b?currency=PLN")</f>
        <v>https://b2b.kobi.pl/pl/product/10312,lampka-biurkowa-led-visua-desk-5w-czarna-led2b?currency=PLN</v>
      </c>
      <c r="P564" t="s">
        <v>16</v>
      </c>
      <c r="Q564"/>
    </row>
    <row r="565" spans="1:17" ht="15" x14ac:dyDescent="0.25">
      <c r="A565" t="s">
        <v>5</v>
      </c>
      <c r="B565" t="s">
        <v>24</v>
      </c>
      <c r="C565" t="s">
        <v>44</v>
      </c>
      <c r="D565" t="s">
        <v>1265</v>
      </c>
      <c r="E565" t="s">
        <v>1266</v>
      </c>
      <c r="F565" t="s">
        <v>1082</v>
      </c>
      <c r="G565" s="30">
        <v>45.85</v>
      </c>
      <c r="H565" s="29">
        <f>G565*(1-IFERROR(VLOOKUP(F565,Rabat!$D$10:$E$41,2,FALSE),0))</f>
        <v>45.85</v>
      </c>
      <c r="I565" t="s">
        <v>2540</v>
      </c>
      <c r="J565" t="s">
        <v>663</v>
      </c>
      <c r="K565" t="s">
        <v>2538</v>
      </c>
      <c r="L565">
        <v>60</v>
      </c>
      <c r="M565"/>
      <c r="N565" t="s">
        <v>2544</v>
      </c>
      <c r="O565" s="31" t="str">
        <f>HYPERLINK("https://b2b.kobi.pl/pl/product/10313,lampka-biurkowa-led-visua-desk-5w-mietowa-led2b?currency=PLN")</f>
        <v>https://b2b.kobi.pl/pl/product/10313,lampka-biurkowa-led-visua-desk-5w-mietowa-led2b?currency=PLN</v>
      </c>
      <c r="P565" t="s">
        <v>16</v>
      </c>
      <c r="Q565"/>
    </row>
    <row r="566" spans="1:17" ht="15" x14ac:dyDescent="0.25">
      <c r="A566" t="s">
        <v>5</v>
      </c>
      <c r="B566" t="s">
        <v>24</v>
      </c>
      <c r="C566" t="s">
        <v>44</v>
      </c>
      <c r="D566" t="s">
        <v>1269</v>
      </c>
      <c r="E566" t="s">
        <v>1270</v>
      </c>
      <c r="F566" t="s">
        <v>1082</v>
      </c>
      <c r="G566" s="30">
        <v>45.85</v>
      </c>
      <c r="H566" s="29">
        <f>G566*(1-IFERROR(VLOOKUP(F566,Rabat!$D$10:$E$41,2,FALSE),0))</f>
        <v>45.85</v>
      </c>
      <c r="I566" t="s">
        <v>2540</v>
      </c>
      <c r="J566" t="s">
        <v>2583</v>
      </c>
      <c r="K566" t="s">
        <v>2538</v>
      </c>
      <c r="L566">
        <v>60</v>
      </c>
      <c r="M566"/>
      <c r="N566" t="s">
        <v>2544</v>
      </c>
      <c r="O566" s="31" t="str">
        <f>HYPERLINK("https://b2b.kobi.pl/pl/product/10314,lampka-biurkowa-led-visua-desk-5w-niebieska-led2b?currency=PLN")</f>
        <v>https://b2b.kobi.pl/pl/product/10314,lampka-biurkowa-led-visua-desk-5w-niebieska-led2b?currency=PLN</v>
      </c>
      <c r="P566" t="s">
        <v>16</v>
      </c>
      <c r="Q566"/>
    </row>
    <row r="567" spans="1:17" ht="15" x14ac:dyDescent="0.25">
      <c r="A567" t="s">
        <v>5</v>
      </c>
      <c r="B567" t="s">
        <v>24</v>
      </c>
      <c r="C567" t="s">
        <v>44</v>
      </c>
      <c r="D567" t="s">
        <v>1273</v>
      </c>
      <c r="E567" t="s">
        <v>1274</v>
      </c>
      <c r="F567" t="s">
        <v>1082</v>
      </c>
      <c r="G567" s="30">
        <v>45.85</v>
      </c>
      <c r="H567" s="29">
        <f>G567*(1-IFERROR(VLOOKUP(F567,Rabat!$D$10:$E$41,2,FALSE),0))</f>
        <v>45.85</v>
      </c>
      <c r="I567" t="s">
        <v>2540</v>
      </c>
      <c r="J567" t="s">
        <v>656</v>
      </c>
      <c r="K567" t="s">
        <v>2538</v>
      </c>
      <c r="L567">
        <v>60</v>
      </c>
      <c r="M567"/>
      <c r="N567" t="s">
        <v>2544</v>
      </c>
      <c r="O567" s="31" t="str">
        <f>HYPERLINK("https://b2b.kobi.pl/pl/product/10315,lampka-biurkowa-led-visua-desk-5w-rozowa-led2b?currency=PLN")</f>
        <v>https://b2b.kobi.pl/pl/product/10315,lampka-biurkowa-led-visua-desk-5w-rozowa-led2b?currency=PLN</v>
      </c>
      <c r="P567" t="s">
        <v>16</v>
      </c>
      <c r="Q567"/>
    </row>
    <row r="568" spans="1:17" ht="15" x14ac:dyDescent="0.25">
      <c r="A568" t="s">
        <v>5</v>
      </c>
      <c r="B568" t="s">
        <v>24</v>
      </c>
      <c r="C568" t="s">
        <v>44</v>
      </c>
      <c r="D568" t="s">
        <v>1275</v>
      </c>
      <c r="E568" t="s">
        <v>1276</v>
      </c>
      <c r="F568" t="s">
        <v>1082</v>
      </c>
      <c r="G568" s="30">
        <v>45.85</v>
      </c>
      <c r="H568" s="29">
        <f>G568*(1-IFERROR(VLOOKUP(F568,Rabat!$D$10:$E$41,2,FALSE),0))</f>
        <v>45.85</v>
      </c>
      <c r="I568" t="s">
        <v>2540</v>
      </c>
      <c r="J568" t="s">
        <v>655</v>
      </c>
      <c r="K568" t="s">
        <v>2538</v>
      </c>
      <c r="L568">
        <v>60</v>
      </c>
      <c r="M568"/>
      <c r="N568" t="s">
        <v>2544</v>
      </c>
      <c r="O568" s="31" t="str">
        <f>HYPERLINK("https://b2b.kobi.pl/pl/product/10316,lampka-biurkowa-led-visua-desk-5w-szara-led2b?currency=PLN")</f>
        <v>https://b2b.kobi.pl/pl/product/10316,lampka-biurkowa-led-visua-desk-5w-szara-led2b?currency=PLN</v>
      </c>
      <c r="P568" t="s">
        <v>16</v>
      </c>
      <c r="Q568"/>
    </row>
    <row r="569" spans="1:17" ht="15" x14ac:dyDescent="0.25">
      <c r="A569" t="s">
        <v>13</v>
      </c>
      <c r="B569" t="s">
        <v>36</v>
      </c>
      <c r="C569" t="s">
        <v>840</v>
      </c>
      <c r="D569" t="s">
        <v>1990</v>
      </c>
      <c r="E569" t="s">
        <v>1991</v>
      </c>
      <c r="F569" t="s">
        <v>1969</v>
      </c>
      <c r="G569" s="30">
        <v>87.48</v>
      </c>
      <c r="H569" s="29">
        <f>G569*(1-IFERROR(VLOOKUP(F569,Rabat!$D$10:$E$41,2,FALSE),0))</f>
        <v>87.48</v>
      </c>
      <c r="I569" t="s">
        <v>2546</v>
      </c>
      <c r="J569" t="s">
        <v>223</v>
      </c>
      <c r="K569" t="s">
        <v>2538</v>
      </c>
      <c r="L569">
        <v>50</v>
      </c>
      <c r="M569">
        <v>800</v>
      </c>
      <c r="N569" t="s">
        <v>2545</v>
      </c>
      <c r="O569" s="31" t="str">
        <f>HYPERLINK("https://b2b.kobi.pl/pl/product/9757,tasma-led-tramo-320-cob-5m-3000k-ip65-kobi-premium?currency=PLN")</f>
        <v>https://b2b.kobi.pl/pl/product/9757,tasma-led-tramo-320-cob-5m-3000k-ip65-kobi-premium?currency=PLN</v>
      </c>
      <c r="P569" s="31" t="str">
        <f>HYPERLINK("https://eprel.ec.europa.eu/qr/1817916")</f>
        <v>https://eprel.ec.europa.eu/qr/1817916</v>
      </c>
      <c r="Q569"/>
    </row>
    <row r="570" spans="1:17" ht="15" x14ac:dyDescent="0.25">
      <c r="A570" t="s">
        <v>13</v>
      </c>
      <c r="B570" t="s">
        <v>36</v>
      </c>
      <c r="C570" t="s">
        <v>840</v>
      </c>
      <c r="D570" t="s">
        <v>1994</v>
      </c>
      <c r="E570" t="s">
        <v>1995</v>
      </c>
      <c r="F570" t="s">
        <v>1969</v>
      </c>
      <c r="G570" s="30">
        <v>87.48</v>
      </c>
      <c r="H570" s="29">
        <f>G570*(1-IFERROR(VLOOKUP(F570,Rabat!$D$10:$E$41,2,FALSE),0))</f>
        <v>87.48</v>
      </c>
      <c r="I570" t="s">
        <v>2542</v>
      </c>
      <c r="J570" t="s">
        <v>224</v>
      </c>
      <c r="K570" t="s">
        <v>2538</v>
      </c>
      <c r="L570">
        <v>50</v>
      </c>
      <c r="M570">
        <v>800</v>
      </c>
      <c r="N570" t="s">
        <v>2545</v>
      </c>
      <c r="O570" s="31" t="str">
        <f>HYPERLINK("https://b2b.kobi.pl/pl/product/9758,tasma-led-tramo-320-cob-5m-4000k-ip65-kobi-premium?currency=PLN")</f>
        <v>https://b2b.kobi.pl/pl/product/9758,tasma-led-tramo-320-cob-5m-4000k-ip65-kobi-premium?currency=PLN</v>
      </c>
      <c r="P570" s="31" t="str">
        <f>HYPERLINK("https://eprel.ec.europa.eu/qr/1817987")</f>
        <v>https://eprel.ec.europa.eu/qr/1817987</v>
      </c>
      <c r="Q570"/>
    </row>
    <row r="571" spans="1:17" ht="15" x14ac:dyDescent="0.25">
      <c r="A571" t="s">
        <v>13</v>
      </c>
      <c r="B571" t="s">
        <v>36</v>
      </c>
      <c r="C571" t="s">
        <v>840</v>
      </c>
      <c r="D571" t="s">
        <v>1998</v>
      </c>
      <c r="E571" t="s">
        <v>1999</v>
      </c>
      <c r="F571" t="s">
        <v>1969</v>
      </c>
      <c r="G571" s="30">
        <v>87.48</v>
      </c>
      <c r="H571" s="29">
        <f>G571*(1-IFERROR(VLOOKUP(F571,Rabat!$D$10:$E$41,2,FALSE),0))</f>
        <v>87.48</v>
      </c>
      <c r="I571" t="s">
        <v>2542</v>
      </c>
      <c r="J571" t="s">
        <v>225</v>
      </c>
      <c r="K571" t="s">
        <v>2538</v>
      </c>
      <c r="L571">
        <v>50</v>
      </c>
      <c r="M571"/>
      <c r="N571" t="s">
        <v>2545</v>
      </c>
      <c r="O571" s="31" t="str">
        <f>HYPERLINK("https://b2b.kobi.pl/pl/product/9759,tasma-led-tramo-320-cob-5m-6500k-ip65-kobi-premium?currency=PLN")</f>
        <v>https://b2b.kobi.pl/pl/product/9759,tasma-led-tramo-320-cob-5m-6500k-ip65-kobi-premium?currency=PLN</v>
      </c>
      <c r="P571" s="31" t="str">
        <f>HYPERLINK("https://eprel.ec.europa.eu/qr/1818059")</f>
        <v>https://eprel.ec.europa.eu/qr/1818059</v>
      </c>
      <c r="Q571"/>
    </row>
    <row r="572" spans="1:17" ht="15" x14ac:dyDescent="0.25">
      <c r="A572" t="s">
        <v>13</v>
      </c>
      <c r="B572" t="s">
        <v>36</v>
      </c>
      <c r="C572" t="s">
        <v>840</v>
      </c>
      <c r="D572" t="s">
        <v>1988</v>
      </c>
      <c r="E572" t="s">
        <v>1989</v>
      </c>
      <c r="F572" t="s">
        <v>1969</v>
      </c>
      <c r="G572" s="30">
        <v>62</v>
      </c>
      <c r="H572" s="29">
        <f>G572*(1-IFERROR(VLOOKUP(F572,Rabat!$D$10:$E$41,2,FALSE),0))</f>
        <v>62</v>
      </c>
      <c r="I572" t="s">
        <v>2542</v>
      </c>
      <c r="J572" t="s">
        <v>220</v>
      </c>
      <c r="K572" t="s">
        <v>2538</v>
      </c>
      <c r="L572">
        <v>50</v>
      </c>
      <c r="M572"/>
      <c r="N572" t="s">
        <v>2545</v>
      </c>
      <c r="O572" s="31" t="str">
        <f>HYPERLINK("https://b2b.kobi.pl/pl/product/9760,tasma-led-tramo-320-cob-5m-3000k-ip20-kobi-premium?currency=PLN")</f>
        <v>https://b2b.kobi.pl/pl/product/9760,tasma-led-tramo-320-cob-5m-3000k-ip20-kobi-premium?currency=PLN</v>
      </c>
      <c r="P572" s="31" t="str">
        <f>HYPERLINK("https://eprel.ec.europa.eu/qr/1817900")</f>
        <v>https://eprel.ec.europa.eu/qr/1817900</v>
      </c>
      <c r="Q572"/>
    </row>
    <row r="573" spans="1:17" ht="15" x14ac:dyDescent="0.25">
      <c r="A573" t="s">
        <v>13</v>
      </c>
      <c r="B573" t="s">
        <v>36</v>
      </c>
      <c r="C573" t="s">
        <v>840</v>
      </c>
      <c r="D573" t="s">
        <v>1992</v>
      </c>
      <c r="E573" t="s">
        <v>1993</v>
      </c>
      <c r="F573" t="s">
        <v>1969</v>
      </c>
      <c r="G573" s="30">
        <v>62</v>
      </c>
      <c r="H573" s="29">
        <f>G573*(1-IFERROR(VLOOKUP(F573,Rabat!$D$10:$E$41,2,FALSE),0))</f>
        <v>62</v>
      </c>
      <c r="I573" t="s">
        <v>2542</v>
      </c>
      <c r="J573" t="s">
        <v>221</v>
      </c>
      <c r="K573" t="s">
        <v>2538</v>
      </c>
      <c r="L573">
        <v>50</v>
      </c>
      <c r="M573">
        <v>800</v>
      </c>
      <c r="N573" t="s">
        <v>2545</v>
      </c>
      <c r="O573" s="31" t="str">
        <f>HYPERLINK("https://b2b.kobi.pl/pl/product/9761,tasma-led-tramo-320-cob-5m-4000k-ip20-kobi-premium?currency=PLN")</f>
        <v>https://b2b.kobi.pl/pl/product/9761,tasma-led-tramo-320-cob-5m-4000k-ip20-kobi-premium?currency=PLN</v>
      </c>
      <c r="P573" s="31" t="str">
        <f>HYPERLINK("https://eprel.ec.europa.eu/qr/1817939")</f>
        <v>https://eprel.ec.europa.eu/qr/1817939</v>
      </c>
      <c r="Q573"/>
    </row>
    <row r="574" spans="1:17" ht="15" x14ac:dyDescent="0.25">
      <c r="A574" t="s">
        <v>13</v>
      </c>
      <c r="B574" t="s">
        <v>36</v>
      </c>
      <c r="C574" t="s">
        <v>840</v>
      </c>
      <c r="D574" t="s">
        <v>1996</v>
      </c>
      <c r="E574" t="s">
        <v>1997</v>
      </c>
      <c r="F574" t="s">
        <v>1969</v>
      </c>
      <c r="G574" s="30">
        <v>62</v>
      </c>
      <c r="H574" s="29">
        <f>G574*(1-IFERROR(VLOOKUP(F574,Rabat!$D$10:$E$41,2,FALSE),0))</f>
        <v>62</v>
      </c>
      <c r="I574" t="s">
        <v>2542</v>
      </c>
      <c r="J574" t="s">
        <v>222</v>
      </c>
      <c r="K574" t="s">
        <v>2538</v>
      </c>
      <c r="L574">
        <v>50</v>
      </c>
      <c r="M574"/>
      <c r="N574" t="s">
        <v>2545</v>
      </c>
      <c r="O574" s="31" t="str">
        <f>HYPERLINK("https://b2b.kobi.pl/pl/product/9762,tasma-led-tramo-320-cob-5m-6500k-ip20-kobi-premium?currency=PLN")</f>
        <v>https://b2b.kobi.pl/pl/product/9762,tasma-led-tramo-320-cob-5m-6500k-ip20-kobi-premium?currency=PLN</v>
      </c>
      <c r="P574" s="31" t="str">
        <f>HYPERLINK("https://eprel.ec.europa.eu/qr/1818051")</f>
        <v>https://eprel.ec.europa.eu/qr/1818051</v>
      </c>
      <c r="Q574"/>
    </row>
    <row r="575" spans="1:17" ht="15" x14ac:dyDescent="0.25">
      <c r="A575" t="s">
        <v>13</v>
      </c>
      <c r="B575" t="s">
        <v>36</v>
      </c>
      <c r="C575" t="s">
        <v>889</v>
      </c>
      <c r="D575" t="s">
        <v>1967</v>
      </c>
      <c r="E575" t="s">
        <v>1968</v>
      </c>
      <c r="F575" t="s">
        <v>1969</v>
      </c>
      <c r="G575" s="30">
        <v>97.34</v>
      </c>
      <c r="H575" s="29">
        <f>G575*(1-IFERROR(VLOOKUP(F575,Rabat!$D$10:$E$41,2,FALSE),0))</f>
        <v>97.34</v>
      </c>
      <c r="I575" t="s">
        <v>2540</v>
      </c>
      <c r="J575" t="s">
        <v>633</v>
      </c>
      <c r="K575" t="s">
        <v>2538</v>
      </c>
      <c r="L575">
        <v>20</v>
      </c>
      <c r="M575"/>
      <c r="N575" t="s">
        <v>2544</v>
      </c>
      <c r="O575" s="31" t="str">
        <f>HYPERLINK("https://b2b.kobi.pl/pl/product/9783,tasma-led-play-set-5m-rgb-cct-ip20-kobi-design?currency=PLN")</f>
        <v>https://b2b.kobi.pl/pl/product/9783,tasma-led-play-set-5m-rgb-cct-ip20-kobi-design?currency=PLN</v>
      </c>
      <c r="P575" t="s">
        <v>16</v>
      </c>
      <c r="Q575"/>
    </row>
    <row r="576" spans="1:17" ht="15" x14ac:dyDescent="0.25">
      <c r="A576" t="s">
        <v>13</v>
      </c>
      <c r="B576" t="s">
        <v>36</v>
      </c>
      <c r="C576" t="s">
        <v>889</v>
      </c>
      <c r="D576" t="s">
        <v>1970</v>
      </c>
      <c r="E576" t="s">
        <v>1971</v>
      </c>
      <c r="F576" t="s">
        <v>1969</v>
      </c>
      <c r="G576" s="30">
        <v>141.44999999999999</v>
      </c>
      <c r="H576" s="29">
        <f>G576*(1-IFERROR(VLOOKUP(F576,Rabat!$D$10:$E$41,2,FALSE),0))</f>
        <v>141.44999999999999</v>
      </c>
      <c r="I576" t="s">
        <v>2540</v>
      </c>
      <c r="J576" t="s">
        <v>630</v>
      </c>
      <c r="K576" t="s">
        <v>2538</v>
      </c>
      <c r="L576">
        <v>20</v>
      </c>
      <c r="M576"/>
      <c r="N576" t="s">
        <v>2544</v>
      </c>
      <c r="O576" s="31" t="str">
        <f>HYPERLINK("https://b2b.kobi.pl/pl/product/9784,tasma-led-play-set-10m-rgb-cct-ip20-kobi-design?currency=PLN")</f>
        <v>https://b2b.kobi.pl/pl/product/9784,tasma-led-play-set-10m-rgb-cct-ip20-kobi-design?currency=PLN</v>
      </c>
      <c r="P576" t="s">
        <v>16</v>
      </c>
      <c r="Q576"/>
    </row>
    <row r="577" spans="1:17" ht="15" x14ac:dyDescent="0.25">
      <c r="A577" t="s">
        <v>13</v>
      </c>
      <c r="B577" t="s">
        <v>36</v>
      </c>
      <c r="C577" t="s">
        <v>889</v>
      </c>
      <c r="D577" t="s">
        <v>1972</v>
      </c>
      <c r="E577" t="s">
        <v>1973</v>
      </c>
      <c r="F577" t="s">
        <v>1969</v>
      </c>
      <c r="G577" s="30">
        <v>185.52</v>
      </c>
      <c r="H577" s="29">
        <f>G577*(1-IFERROR(VLOOKUP(F577,Rabat!$D$10:$E$41,2,FALSE),0))</f>
        <v>185.52</v>
      </c>
      <c r="I577" t="s">
        <v>2540</v>
      </c>
      <c r="J577" t="s">
        <v>631</v>
      </c>
      <c r="K577" t="s">
        <v>2538</v>
      </c>
      <c r="L577">
        <v>20</v>
      </c>
      <c r="M577"/>
      <c r="N577" t="s">
        <v>2544</v>
      </c>
      <c r="O577" s="31" t="str">
        <f>HYPERLINK("https://b2b.kobi.pl/pl/product/9785,tasma-led-play-set-15m-rgb-cct-ip20-kobi-design?currency=PLN")</f>
        <v>https://b2b.kobi.pl/pl/product/9785,tasma-led-play-set-15m-rgb-cct-ip20-kobi-design?currency=PLN</v>
      </c>
      <c r="P577" t="s">
        <v>16</v>
      </c>
      <c r="Q577"/>
    </row>
    <row r="578" spans="1:17" ht="15" x14ac:dyDescent="0.25">
      <c r="A578" t="s">
        <v>13</v>
      </c>
      <c r="B578" t="s">
        <v>36</v>
      </c>
      <c r="C578" t="s">
        <v>889</v>
      </c>
      <c r="D578" t="s">
        <v>1974</v>
      </c>
      <c r="E578" t="s">
        <v>1975</v>
      </c>
      <c r="F578" t="s">
        <v>1969</v>
      </c>
      <c r="G578" s="30">
        <v>218.57</v>
      </c>
      <c r="H578" s="29">
        <f>G578*(1-IFERROR(VLOOKUP(F578,Rabat!$D$10:$E$41,2,FALSE),0))</f>
        <v>218.57</v>
      </c>
      <c r="I578" t="s">
        <v>2540</v>
      </c>
      <c r="J578" t="s">
        <v>632</v>
      </c>
      <c r="K578" t="s">
        <v>2538</v>
      </c>
      <c r="L578">
        <v>20</v>
      </c>
      <c r="M578"/>
      <c r="N578" t="s">
        <v>2544</v>
      </c>
      <c r="O578" s="31" t="str">
        <f>HYPERLINK("https://b2b.kobi.pl/pl/product/9786,tasma-led-play-set-20m-rgb-cct-ip20-kobi-design?currency=PLN")</f>
        <v>https://b2b.kobi.pl/pl/product/9786,tasma-led-play-set-20m-rgb-cct-ip20-kobi-design?currency=PLN</v>
      </c>
      <c r="P578" t="s">
        <v>16</v>
      </c>
      <c r="Q578"/>
    </row>
    <row r="579" spans="1:17" ht="15" x14ac:dyDescent="0.25">
      <c r="A579" t="s">
        <v>13</v>
      </c>
      <c r="B579" t="s">
        <v>36</v>
      </c>
      <c r="C579" t="s">
        <v>858</v>
      </c>
      <c r="D579" t="s">
        <v>2444</v>
      </c>
      <c r="E579" t="s">
        <v>2445</v>
      </c>
      <c r="F579" t="s">
        <v>1969</v>
      </c>
      <c r="G579" s="30">
        <v>75.010000000000005</v>
      </c>
      <c r="H579" s="29">
        <f>G579*(1-IFERROR(VLOOKUP(F579,Rabat!$D$10:$E$41,2,FALSE),0))</f>
        <v>75.010000000000005</v>
      </c>
      <c r="I579" t="s">
        <v>2540</v>
      </c>
      <c r="J579" t="s">
        <v>226</v>
      </c>
      <c r="K579" t="s">
        <v>2538</v>
      </c>
      <c r="L579">
        <v>100</v>
      </c>
      <c r="M579"/>
      <c r="N579" t="s">
        <v>2544</v>
      </c>
      <c r="O579" s="31" t="str">
        <f>HYPERLINK("https://b2b.kobi.pl/pl/product/9753,tasma-led-tramo-150-5050-5m-rgb-ip20-kobi?currency=PLN")</f>
        <v>https://b2b.kobi.pl/pl/product/9753,tasma-led-tramo-150-5050-5m-rgb-ip20-kobi?currency=PLN</v>
      </c>
      <c r="P579" t="s">
        <v>16</v>
      </c>
      <c r="Q579" t="s">
        <v>2700</v>
      </c>
    </row>
    <row r="580" spans="1:17" ht="15" x14ac:dyDescent="0.25">
      <c r="A580" t="s">
        <v>13</v>
      </c>
      <c r="B580" t="s">
        <v>36</v>
      </c>
      <c r="C580" t="s">
        <v>840</v>
      </c>
      <c r="D580" t="s">
        <v>1976</v>
      </c>
      <c r="E580" t="s">
        <v>1977</v>
      </c>
      <c r="F580" t="s">
        <v>1969</v>
      </c>
      <c r="G580" s="30">
        <v>217.65</v>
      </c>
      <c r="H580" s="29">
        <f>G580*(1-IFERROR(VLOOKUP(F580,Rabat!$D$10:$E$41,2,FALSE),0))</f>
        <v>217.65</v>
      </c>
      <c r="I580" t="s">
        <v>2542</v>
      </c>
      <c r="J580" t="s">
        <v>214</v>
      </c>
      <c r="K580" t="s">
        <v>2538</v>
      </c>
      <c r="L580">
        <v>50</v>
      </c>
      <c r="M580"/>
      <c r="N580" t="s">
        <v>2539</v>
      </c>
      <c r="O580" s="31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580" s="31" t="str">
        <f>HYPERLINK("https://eprel.ec.europa.eu/qr/660841")</f>
        <v>https://eprel.ec.europa.eu/qr/660841</v>
      </c>
      <c r="Q580" t="s">
        <v>2700</v>
      </c>
    </row>
    <row r="581" spans="1:17" ht="15" x14ac:dyDescent="0.25">
      <c r="A581" t="s">
        <v>13</v>
      </c>
      <c r="B581" t="s">
        <v>36</v>
      </c>
      <c r="C581" t="s">
        <v>840</v>
      </c>
      <c r="D581" t="s">
        <v>2440</v>
      </c>
      <c r="E581" t="s">
        <v>2441</v>
      </c>
      <c r="F581" t="s">
        <v>1969</v>
      </c>
      <c r="G581" s="30">
        <v>133.96</v>
      </c>
      <c r="H581" s="29">
        <f>G581*(1-IFERROR(VLOOKUP(F581,Rabat!$D$10:$E$41,2,FALSE),0))</f>
        <v>133.96</v>
      </c>
      <c r="I581" t="s">
        <v>2542</v>
      </c>
      <c r="J581" t="s">
        <v>2649</v>
      </c>
      <c r="K581" t="s">
        <v>2538</v>
      </c>
      <c r="L581">
        <v>50</v>
      </c>
      <c r="M581"/>
      <c r="N581" t="s">
        <v>2539</v>
      </c>
      <c r="O581" s="31" t="str">
        <f>HYPERLINK("https://b2b.kobi.pl/pl/product/9744,tasma-led-tramo-300-2835-5m-4000k-ip20-kobi-premium?currency=PLN")</f>
        <v>https://b2b.kobi.pl/pl/product/9744,tasma-led-tramo-300-2835-5m-4000k-ip20-kobi-premium?currency=PLN</v>
      </c>
      <c r="P581" s="31" t="str">
        <f>HYPERLINK("https://eprel.ec.europa.eu/qr/664245")</f>
        <v>https://eprel.ec.europa.eu/qr/664245</v>
      </c>
      <c r="Q581" t="s">
        <v>2700</v>
      </c>
    </row>
    <row r="582" spans="1:17" ht="15" x14ac:dyDescent="0.25">
      <c r="A582" t="s">
        <v>13</v>
      </c>
      <c r="B582" t="s">
        <v>36</v>
      </c>
      <c r="C582" t="s">
        <v>858</v>
      </c>
      <c r="D582" t="s">
        <v>2442</v>
      </c>
      <c r="E582" t="s">
        <v>2443</v>
      </c>
      <c r="F582" t="s">
        <v>1969</v>
      </c>
      <c r="G582" s="30">
        <v>54.55</v>
      </c>
      <c r="H582" s="29">
        <f>G582*(1-IFERROR(VLOOKUP(F582,Rabat!$D$10:$E$41,2,FALSE),0))</f>
        <v>54.55</v>
      </c>
      <c r="I582" t="s">
        <v>2542</v>
      </c>
      <c r="J582" t="s">
        <v>2650</v>
      </c>
      <c r="K582" t="s">
        <v>2538</v>
      </c>
      <c r="L582">
        <v>50</v>
      </c>
      <c r="M582"/>
      <c r="N582" t="s">
        <v>2544</v>
      </c>
      <c r="O582" s="31" t="str">
        <f>HYPERLINK("https://b2b.kobi.pl/pl/product/9748,tasma-led-tramo-300-2835-5m-6500k-ip20-kobi?currency=PLN")</f>
        <v>https://b2b.kobi.pl/pl/product/9748,tasma-led-tramo-300-2835-5m-6500k-ip20-kobi?currency=PLN</v>
      </c>
      <c r="P582" s="31" t="str">
        <f>HYPERLINK("https://eprel.ec.europa.eu/qr/664247")</f>
        <v>https://eprel.ec.europa.eu/qr/664247</v>
      </c>
      <c r="Q582" t="s">
        <v>2700</v>
      </c>
    </row>
    <row r="583" spans="1:17" ht="15" x14ac:dyDescent="0.25">
      <c r="A583" t="s">
        <v>13</v>
      </c>
      <c r="B583" t="s">
        <v>36</v>
      </c>
      <c r="C583" t="s">
        <v>858</v>
      </c>
      <c r="D583" t="s">
        <v>1978</v>
      </c>
      <c r="E583" t="s">
        <v>1979</v>
      </c>
      <c r="F583" t="s">
        <v>1969</v>
      </c>
      <c r="G583" s="30">
        <v>72.790000000000006</v>
      </c>
      <c r="H583" s="29">
        <f>G583*(1-IFERROR(VLOOKUP(F583,Rabat!$D$10:$E$41,2,FALSE),0))</f>
        <v>72.790000000000006</v>
      </c>
      <c r="I583" t="s">
        <v>2540</v>
      </c>
      <c r="J583" t="s">
        <v>216</v>
      </c>
      <c r="K583" t="s">
        <v>2538</v>
      </c>
      <c r="L583">
        <v>50</v>
      </c>
      <c r="M583"/>
      <c r="N583" t="s">
        <v>2544</v>
      </c>
      <c r="O583" s="31" t="str">
        <f>HYPERLINK("https://b2b.kobi.pl/pl/product/9738,tasma-led-tramo-300-2835-5m-czerwona-ip65-kobi?currency=PLN")</f>
        <v>https://b2b.kobi.pl/pl/product/9738,tasma-led-tramo-300-2835-5m-czerwona-ip65-kobi?currency=PLN</v>
      </c>
      <c r="P583" t="s">
        <v>16</v>
      </c>
      <c r="Q583" t="s">
        <v>2700</v>
      </c>
    </row>
    <row r="584" spans="1:17" ht="15" x14ac:dyDescent="0.25">
      <c r="A584" t="s">
        <v>13</v>
      </c>
      <c r="B584" t="s">
        <v>36</v>
      </c>
      <c r="C584" t="s">
        <v>858</v>
      </c>
      <c r="D584" t="s">
        <v>1980</v>
      </c>
      <c r="E584" t="s">
        <v>1981</v>
      </c>
      <c r="F584" t="s">
        <v>1969</v>
      </c>
      <c r="G584" s="30">
        <v>49.81</v>
      </c>
      <c r="H584" s="29">
        <f>G584*(1-IFERROR(VLOOKUP(F584,Rabat!$D$10:$E$41,2,FALSE),0))</f>
        <v>49.81</v>
      </c>
      <c r="I584" t="s">
        <v>2540</v>
      </c>
      <c r="J584" t="s">
        <v>218</v>
      </c>
      <c r="K584" t="s">
        <v>2538</v>
      </c>
      <c r="L584">
        <v>50</v>
      </c>
      <c r="M584"/>
      <c r="N584" t="s">
        <v>2544</v>
      </c>
      <c r="O584" s="31" t="str">
        <f>HYPERLINK("https://b2b.kobi.pl/pl/product/9745,tasma-led-tramo-300-2835-5m-zielona-ip20-kobi?currency=PLN")</f>
        <v>https://b2b.kobi.pl/pl/product/9745,tasma-led-tramo-300-2835-5m-zielona-ip20-kobi?currency=PLN</v>
      </c>
      <c r="P584" t="s">
        <v>16</v>
      </c>
      <c r="Q584" t="s">
        <v>2700</v>
      </c>
    </row>
    <row r="585" spans="1:17" ht="15" x14ac:dyDescent="0.25">
      <c r="A585" t="s">
        <v>13</v>
      </c>
      <c r="B585" t="s">
        <v>36</v>
      </c>
      <c r="C585" t="s">
        <v>858</v>
      </c>
      <c r="D585" t="s">
        <v>1982</v>
      </c>
      <c r="E585" t="s">
        <v>1983</v>
      </c>
      <c r="F585" t="s">
        <v>1969</v>
      </c>
      <c r="G585" s="30">
        <v>72.790000000000006</v>
      </c>
      <c r="H585" s="29">
        <f>G585*(1-IFERROR(VLOOKUP(F585,Rabat!$D$10:$E$41,2,FALSE),0))</f>
        <v>72.790000000000006</v>
      </c>
      <c r="I585" t="s">
        <v>2540</v>
      </c>
      <c r="J585" t="s">
        <v>215</v>
      </c>
      <c r="K585" t="s">
        <v>2538</v>
      </c>
      <c r="L585">
        <v>50</v>
      </c>
      <c r="M585"/>
      <c r="N585" t="s">
        <v>2544</v>
      </c>
      <c r="O585" s="31" t="str">
        <f>HYPERLINK("https://b2b.kobi.pl/pl/product/9735,tasma-led-tramo-300-2835-5m-zielona-ip65-kobi?currency=PLN")</f>
        <v>https://b2b.kobi.pl/pl/product/9735,tasma-led-tramo-300-2835-5m-zielona-ip65-kobi?currency=PLN</v>
      </c>
      <c r="P585" t="s">
        <v>16</v>
      </c>
      <c r="Q585" t="s">
        <v>2700</v>
      </c>
    </row>
    <row r="586" spans="1:17" ht="15" x14ac:dyDescent="0.25">
      <c r="A586" t="s">
        <v>13</v>
      </c>
      <c r="B586" t="s">
        <v>36</v>
      </c>
      <c r="C586" t="s">
        <v>858</v>
      </c>
      <c r="D586" t="s">
        <v>1984</v>
      </c>
      <c r="E586" t="s">
        <v>1985</v>
      </c>
      <c r="F586" t="s">
        <v>1969</v>
      </c>
      <c r="G586" s="30">
        <v>49.81</v>
      </c>
      <c r="H586" s="29">
        <f>G586*(1-IFERROR(VLOOKUP(F586,Rabat!$D$10:$E$41,2,FALSE),0))</f>
        <v>49.81</v>
      </c>
      <c r="I586" t="s">
        <v>2540</v>
      </c>
      <c r="J586" t="s">
        <v>219</v>
      </c>
      <c r="K586" t="s">
        <v>2538</v>
      </c>
      <c r="L586">
        <v>50</v>
      </c>
      <c r="M586"/>
      <c r="N586" t="s">
        <v>2544</v>
      </c>
      <c r="O586" s="31" t="str">
        <f>HYPERLINK("https://b2b.kobi.pl/pl/product/9747,tasma-led-tramo-300-2835-5m-zolta-ip20-kobi?currency=PLN")</f>
        <v>https://b2b.kobi.pl/pl/product/9747,tasma-led-tramo-300-2835-5m-zolta-ip20-kobi?currency=PLN</v>
      </c>
      <c r="P586" t="s">
        <v>16</v>
      </c>
      <c r="Q586" t="s">
        <v>2700</v>
      </c>
    </row>
    <row r="587" spans="1:17" ht="15" x14ac:dyDescent="0.25">
      <c r="A587" t="s">
        <v>13</v>
      </c>
      <c r="B587" t="s">
        <v>36</v>
      </c>
      <c r="C587" t="s">
        <v>858</v>
      </c>
      <c r="D587" t="s">
        <v>1986</v>
      </c>
      <c r="E587" t="s">
        <v>1987</v>
      </c>
      <c r="F587" t="s">
        <v>1969</v>
      </c>
      <c r="G587" s="30">
        <v>72.790000000000006</v>
      </c>
      <c r="H587" s="29">
        <f>G587*(1-IFERROR(VLOOKUP(F587,Rabat!$D$10:$E$41,2,FALSE),0))</f>
        <v>72.790000000000006</v>
      </c>
      <c r="I587" t="s">
        <v>2540</v>
      </c>
      <c r="J587" t="s">
        <v>217</v>
      </c>
      <c r="K587" t="s">
        <v>2538</v>
      </c>
      <c r="L587">
        <v>50</v>
      </c>
      <c r="M587"/>
      <c r="N587" t="s">
        <v>2544</v>
      </c>
      <c r="O587" s="31" t="str">
        <f>HYPERLINK("https://b2b.kobi.pl/pl/product/9739,tasma-led-tramo-300-2835-5m-zolta-ip65-kobi?currency=PLN")</f>
        <v>https://b2b.kobi.pl/pl/product/9739,tasma-led-tramo-300-2835-5m-zolta-ip65-kobi?currency=PLN</v>
      </c>
      <c r="P587" t="s">
        <v>16</v>
      </c>
      <c r="Q587" t="s">
        <v>2700</v>
      </c>
    </row>
    <row r="588" spans="1:17" ht="15" x14ac:dyDescent="0.25">
      <c r="A588" t="s">
        <v>861</v>
      </c>
      <c r="B588" t="s">
        <v>52</v>
      </c>
      <c r="C588" t="s">
        <v>889</v>
      </c>
      <c r="D588" t="s">
        <v>1129</v>
      </c>
      <c r="E588" t="s">
        <v>1130</v>
      </c>
      <c r="F588" t="s">
        <v>860</v>
      </c>
      <c r="G588" s="30">
        <v>67.25</v>
      </c>
      <c r="H588" s="29">
        <f>G588*(1-IFERROR(VLOOKUP(F588,Rabat!$D$10:$E$41,2,FALSE),0))</f>
        <v>67.25</v>
      </c>
      <c r="I588" t="s">
        <v>2540</v>
      </c>
      <c r="J588" t="s">
        <v>635</v>
      </c>
      <c r="K588" t="s">
        <v>2538</v>
      </c>
      <c r="L588">
        <v>20</v>
      </c>
      <c r="M588"/>
      <c r="N588" t="s">
        <v>2544</v>
      </c>
      <c r="O588" s="31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588" t="s">
        <v>16</v>
      </c>
      <c r="Q588"/>
    </row>
    <row r="589" spans="1:17" ht="15" x14ac:dyDescent="0.25">
      <c r="A589" t="s">
        <v>861</v>
      </c>
      <c r="B589" t="s">
        <v>52</v>
      </c>
      <c r="C589" t="s">
        <v>889</v>
      </c>
      <c r="D589" t="s">
        <v>1131</v>
      </c>
      <c r="E589" t="s">
        <v>1132</v>
      </c>
      <c r="F589" t="s">
        <v>860</v>
      </c>
      <c r="G589" s="30">
        <v>67.25</v>
      </c>
      <c r="H589" s="29">
        <f>G589*(1-IFERROR(VLOOKUP(F589,Rabat!$D$10:$E$41,2,FALSE),0))</f>
        <v>67.25</v>
      </c>
      <c r="I589" t="s">
        <v>2540</v>
      </c>
      <c r="J589" t="s">
        <v>636</v>
      </c>
      <c r="K589" t="s">
        <v>2538</v>
      </c>
      <c r="L589">
        <v>20</v>
      </c>
      <c r="M589"/>
      <c r="N589" t="s">
        <v>2544</v>
      </c>
      <c r="O589" s="31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589" t="s">
        <v>16</v>
      </c>
      <c r="Q589"/>
    </row>
    <row r="590" spans="1:17" ht="15" x14ac:dyDescent="0.25">
      <c r="A590" t="s">
        <v>861</v>
      </c>
      <c r="B590" t="s">
        <v>52</v>
      </c>
      <c r="C590" t="s">
        <v>889</v>
      </c>
      <c r="D590" t="s">
        <v>1135</v>
      </c>
      <c r="E590" t="s">
        <v>1136</v>
      </c>
      <c r="F590" t="s">
        <v>860</v>
      </c>
      <c r="G590" s="30">
        <v>87.25</v>
      </c>
      <c r="H590" s="29">
        <f>G590*(1-IFERROR(VLOOKUP(F590,Rabat!$D$10:$E$41,2,FALSE),0))</f>
        <v>87.25</v>
      </c>
      <c r="I590" t="s">
        <v>2540</v>
      </c>
      <c r="J590" t="s">
        <v>637</v>
      </c>
      <c r="K590" t="s">
        <v>2538</v>
      </c>
      <c r="L590">
        <v>20</v>
      </c>
      <c r="M590"/>
      <c r="N590" t="s">
        <v>2544</v>
      </c>
      <c r="O590" s="31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590" t="s">
        <v>16</v>
      </c>
      <c r="Q590"/>
    </row>
    <row r="591" spans="1:17" ht="15" x14ac:dyDescent="0.25">
      <c r="A591" t="s">
        <v>861</v>
      </c>
      <c r="B591" t="s">
        <v>52</v>
      </c>
      <c r="C591" t="s">
        <v>889</v>
      </c>
      <c r="D591" t="s">
        <v>1139</v>
      </c>
      <c r="E591" t="s">
        <v>1140</v>
      </c>
      <c r="F591" t="s">
        <v>860</v>
      </c>
      <c r="G591" s="30">
        <v>87.25</v>
      </c>
      <c r="H591" s="29">
        <f>G591*(1-IFERROR(VLOOKUP(F591,Rabat!$D$10:$E$41,2,FALSE),0))</f>
        <v>87.25</v>
      </c>
      <c r="I591" t="s">
        <v>2540</v>
      </c>
      <c r="J591" t="s">
        <v>638</v>
      </c>
      <c r="K591" t="s">
        <v>2538</v>
      </c>
      <c r="L591">
        <v>1</v>
      </c>
      <c r="M591"/>
      <c r="N591" t="s">
        <v>2544</v>
      </c>
      <c r="O591" s="31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591" t="s">
        <v>16</v>
      </c>
      <c r="Q591"/>
    </row>
    <row r="592" spans="1:17" ht="15" x14ac:dyDescent="0.25">
      <c r="A592" t="s">
        <v>861</v>
      </c>
      <c r="B592" t="s">
        <v>52</v>
      </c>
      <c r="C592" t="s">
        <v>889</v>
      </c>
      <c r="D592" t="s">
        <v>1143</v>
      </c>
      <c r="E592" t="s">
        <v>1144</v>
      </c>
      <c r="F592" t="s">
        <v>860</v>
      </c>
      <c r="G592" s="30">
        <v>112.25</v>
      </c>
      <c r="H592" s="29">
        <f>G592*(1-IFERROR(VLOOKUP(F592,Rabat!$D$10:$E$41,2,FALSE),0))</f>
        <v>112.25</v>
      </c>
      <c r="I592" t="s">
        <v>2540</v>
      </c>
      <c r="J592" t="s">
        <v>639</v>
      </c>
      <c r="K592" t="s">
        <v>2538</v>
      </c>
      <c r="L592">
        <v>20</v>
      </c>
      <c r="M592"/>
      <c r="N592" t="s">
        <v>2544</v>
      </c>
      <c r="O592" s="31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592" t="s">
        <v>16</v>
      </c>
      <c r="Q592"/>
    </row>
    <row r="593" spans="1:17" ht="15" x14ac:dyDescent="0.25">
      <c r="A593" t="s">
        <v>861</v>
      </c>
      <c r="B593" t="s">
        <v>52</v>
      </c>
      <c r="C593" t="s">
        <v>889</v>
      </c>
      <c r="D593" t="s">
        <v>1147</v>
      </c>
      <c r="E593" t="s">
        <v>1148</v>
      </c>
      <c r="F593" t="s">
        <v>860</v>
      </c>
      <c r="G593" s="30">
        <v>112.25</v>
      </c>
      <c r="H593" s="29">
        <f>G593*(1-IFERROR(VLOOKUP(F593,Rabat!$D$10:$E$41,2,FALSE),0))</f>
        <v>112.25</v>
      </c>
      <c r="I593" t="s">
        <v>2540</v>
      </c>
      <c r="J593" t="s">
        <v>640</v>
      </c>
      <c r="K593" t="s">
        <v>2538</v>
      </c>
      <c r="L593">
        <v>20</v>
      </c>
      <c r="M593"/>
      <c r="N593" t="s">
        <v>2544</v>
      </c>
      <c r="O593" s="31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593" t="s">
        <v>16</v>
      </c>
      <c r="Q593"/>
    </row>
    <row r="594" spans="1:17" ht="15" x14ac:dyDescent="0.25">
      <c r="A594" t="s">
        <v>861</v>
      </c>
      <c r="B594" t="s">
        <v>52</v>
      </c>
      <c r="C594" t="s">
        <v>889</v>
      </c>
      <c r="D594" t="s">
        <v>1169</v>
      </c>
      <c r="E594" t="s">
        <v>1170</v>
      </c>
      <c r="F594" t="s">
        <v>860</v>
      </c>
      <c r="G594" s="30">
        <v>117.77</v>
      </c>
      <c r="H594" s="29">
        <f>G594*(1-IFERROR(VLOOKUP(F594,Rabat!$D$10:$E$41,2,FALSE),0))</f>
        <v>117.77</v>
      </c>
      <c r="I594" t="s">
        <v>2540</v>
      </c>
      <c r="J594" t="s">
        <v>664</v>
      </c>
      <c r="K594" t="s">
        <v>2538</v>
      </c>
      <c r="L594">
        <v>18</v>
      </c>
      <c r="M594"/>
      <c r="N594" t="s">
        <v>2544</v>
      </c>
      <c r="O594" s="31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594" t="s">
        <v>16</v>
      </c>
      <c r="Q594"/>
    </row>
    <row r="595" spans="1:17" ht="15" x14ac:dyDescent="0.25">
      <c r="A595" t="s">
        <v>861</v>
      </c>
      <c r="B595" t="s">
        <v>52</v>
      </c>
      <c r="C595" t="s">
        <v>889</v>
      </c>
      <c r="D595" t="s">
        <v>1173</v>
      </c>
      <c r="E595" t="s">
        <v>1174</v>
      </c>
      <c r="F595" t="s">
        <v>860</v>
      </c>
      <c r="G595" s="30">
        <v>117.77</v>
      </c>
      <c r="H595" s="29">
        <f>G595*(1-IFERROR(VLOOKUP(F595,Rabat!$D$10:$E$41,2,FALSE),0))</f>
        <v>117.77</v>
      </c>
      <c r="I595" t="s">
        <v>2540</v>
      </c>
      <c r="J595" t="s">
        <v>665</v>
      </c>
      <c r="K595" t="s">
        <v>2538</v>
      </c>
      <c r="L595">
        <v>18</v>
      </c>
      <c r="M595"/>
      <c r="N595" t="s">
        <v>2544</v>
      </c>
      <c r="O595" s="31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595" t="s">
        <v>16</v>
      </c>
      <c r="Q595"/>
    </row>
    <row r="596" spans="1:17" ht="15" x14ac:dyDescent="0.25">
      <c r="A596" t="s">
        <v>861</v>
      </c>
      <c r="B596" t="s">
        <v>52</v>
      </c>
      <c r="C596" t="s">
        <v>858</v>
      </c>
      <c r="D596" t="s">
        <v>1618</v>
      </c>
      <c r="E596" t="s">
        <v>1619</v>
      </c>
      <c r="F596" t="s">
        <v>860</v>
      </c>
      <c r="G596" s="30">
        <v>25</v>
      </c>
      <c r="H596" s="29">
        <f>G596*(1-IFERROR(VLOOKUP(F596,Rabat!$D$10:$E$41,2,FALSE),0))</f>
        <v>25</v>
      </c>
      <c r="I596" t="s">
        <v>2540</v>
      </c>
      <c r="J596" t="s">
        <v>581</v>
      </c>
      <c r="K596" t="s">
        <v>2538</v>
      </c>
      <c r="L596">
        <v>40</v>
      </c>
      <c r="M596">
        <v>1200</v>
      </c>
      <c r="N596" t="s">
        <v>2544</v>
      </c>
      <c r="O596" s="31" t="str">
        <f>HYPERLINK("https://b2b.kobi.pl/pl/product/10240,przedluzacz-linea-3gn-1-5m-zu-kobi?currency=PLN")</f>
        <v>https://b2b.kobi.pl/pl/product/10240,przedluzacz-linea-3gn-1-5m-zu-kobi?currency=PLN</v>
      </c>
      <c r="P596" t="s">
        <v>16</v>
      </c>
      <c r="Q596"/>
    </row>
    <row r="597" spans="1:17" ht="15" x14ac:dyDescent="0.25">
      <c r="A597" t="s">
        <v>861</v>
      </c>
      <c r="B597" t="s">
        <v>52</v>
      </c>
      <c r="C597" t="s">
        <v>858</v>
      </c>
      <c r="D597" t="s">
        <v>1620</v>
      </c>
      <c r="E597" t="s">
        <v>1621</v>
      </c>
      <c r="F597" t="s">
        <v>860</v>
      </c>
      <c r="G597" s="30">
        <v>34.5</v>
      </c>
      <c r="H597" s="29">
        <f>G597*(1-IFERROR(VLOOKUP(F597,Rabat!$D$10:$E$41,2,FALSE),0))</f>
        <v>34.5</v>
      </c>
      <c r="I597" t="s">
        <v>2540</v>
      </c>
      <c r="J597" t="s">
        <v>582</v>
      </c>
      <c r="K597" t="s">
        <v>2538</v>
      </c>
      <c r="L597">
        <v>30</v>
      </c>
      <c r="M597"/>
      <c r="N597" t="s">
        <v>2544</v>
      </c>
      <c r="O597" s="31" t="str">
        <f>HYPERLINK("https://b2b.kobi.pl/pl/product/10241,przedluzacz-linea-3gn-3m-zu-kobi?currency=PLN")</f>
        <v>https://b2b.kobi.pl/pl/product/10241,przedluzacz-linea-3gn-3m-zu-kobi?currency=PLN</v>
      </c>
      <c r="P597" t="s">
        <v>16</v>
      </c>
      <c r="Q597"/>
    </row>
    <row r="598" spans="1:17" ht="15" x14ac:dyDescent="0.25">
      <c r="A598" t="s">
        <v>861</v>
      </c>
      <c r="B598" t="s">
        <v>52</v>
      </c>
      <c r="C598" t="s">
        <v>858</v>
      </c>
      <c r="D598" t="s">
        <v>1622</v>
      </c>
      <c r="E598" t="s">
        <v>1623</v>
      </c>
      <c r="F598" t="s">
        <v>860</v>
      </c>
      <c r="G598" s="30">
        <v>46.7</v>
      </c>
      <c r="H598" s="29">
        <f>G598*(1-IFERROR(VLOOKUP(F598,Rabat!$D$10:$E$41,2,FALSE),0))</f>
        <v>46.7</v>
      </c>
      <c r="I598" t="s">
        <v>2540</v>
      </c>
      <c r="J598" t="s">
        <v>584</v>
      </c>
      <c r="K598" t="s">
        <v>2538</v>
      </c>
      <c r="L598">
        <v>30</v>
      </c>
      <c r="M598">
        <v>900</v>
      </c>
      <c r="N598" t="s">
        <v>2544</v>
      </c>
      <c r="O598" s="31" t="str">
        <f>HYPERLINK("https://b2b.kobi.pl/pl/product/10242,przedluzacz-linea-3gn-5m-zu-kobi?currency=PLN")</f>
        <v>https://b2b.kobi.pl/pl/product/10242,przedluzacz-linea-3gn-5m-zu-kobi?currency=PLN</v>
      </c>
      <c r="P598" t="s">
        <v>16</v>
      </c>
      <c r="Q598"/>
    </row>
    <row r="599" spans="1:17" ht="15" x14ac:dyDescent="0.25">
      <c r="A599" t="s">
        <v>861</v>
      </c>
      <c r="B599" t="s">
        <v>52</v>
      </c>
      <c r="C599" t="s">
        <v>858</v>
      </c>
      <c r="D599" t="s">
        <v>1624</v>
      </c>
      <c r="E599" t="s">
        <v>1625</v>
      </c>
      <c r="F599" t="s">
        <v>860</v>
      </c>
      <c r="G599" s="30">
        <v>27.5</v>
      </c>
      <c r="H599" s="29">
        <f>G599*(1-IFERROR(VLOOKUP(F599,Rabat!$D$10:$E$41,2,FALSE),0))</f>
        <v>27.5</v>
      </c>
      <c r="I599" t="s">
        <v>2540</v>
      </c>
      <c r="J599" t="s">
        <v>586</v>
      </c>
      <c r="K599" t="s">
        <v>2538</v>
      </c>
      <c r="L599">
        <v>40</v>
      </c>
      <c r="M599">
        <v>1200</v>
      </c>
      <c r="N599" t="s">
        <v>2544</v>
      </c>
      <c r="O599" s="31" t="str">
        <f>HYPERLINK("https://b2b.kobi.pl/pl/product/10243,przedluzacz-linea-4gn-1-5m-zu-kobi?currency=PLN")</f>
        <v>https://b2b.kobi.pl/pl/product/10243,przedluzacz-linea-4gn-1-5m-zu-kobi?currency=PLN</v>
      </c>
      <c r="P599" t="s">
        <v>16</v>
      </c>
      <c r="Q599"/>
    </row>
    <row r="600" spans="1:17" ht="15" x14ac:dyDescent="0.25">
      <c r="A600" t="s">
        <v>861</v>
      </c>
      <c r="B600" t="s">
        <v>52</v>
      </c>
      <c r="C600" t="s">
        <v>858</v>
      </c>
      <c r="D600" t="s">
        <v>1628</v>
      </c>
      <c r="E600" t="s">
        <v>1629</v>
      </c>
      <c r="F600" t="s">
        <v>860</v>
      </c>
      <c r="G600" s="30">
        <v>35.5</v>
      </c>
      <c r="H600" s="29">
        <f>G600*(1-IFERROR(VLOOKUP(F600,Rabat!$D$10:$E$41,2,FALSE),0))</f>
        <v>35.5</v>
      </c>
      <c r="I600" t="s">
        <v>2540</v>
      </c>
      <c r="J600" t="s">
        <v>587</v>
      </c>
      <c r="K600" t="s">
        <v>2538</v>
      </c>
      <c r="L600">
        <v>30</v>
      </c>
      <c r="M600">
        <v>1080</v>
      </c>
      <c r="N600" t="s">
        <v>2544</v>
      </c>
      <c r="O600" s="31" t="str">
        <f>HYPERLINK("https://b2b.kobi.pl/pl/product/10244,przedluzacz-linea-4gn-3m-zu-kobi?currency=PLN")</f>
        <v>https://b2b.kobi.pl/pl/product/10244,przedluzacz-linea-4gn-3m-zu-kobi?currency=PLN</v>
      </c>
      <c r="P600" t="s">
        <v>16</v>
      </c>
      <c r="Q600"/>
    </row>
    <row r="601" spans="1:17" ht="15" x14ac:dyDescent="0.25">
      <c r="A601" t="s">
        <v>861</v>
      </c>
      <c r="B601" t="s">
        <v>52</v>
      </c>
      <c r="C601" t="s">
        <v>858</v>
      </c>
      <c r="D601" t="s">
        <v>1630</v>
      </c>
      <c r="E601" t="s">
        <v>1631</v>
      </c>
      <c r="F601" t="s">
        <v>860</v>
      </c>
      <c r="G601" s="30">
        <v>47.5</v>
      </c>
      <c r="H601" s="29">
        <f>G601*(1-IFERROR(VLOOKUP(F601,Rabat!$D$10:$E$41,2,FALSE),0))</f>
        <v>47.5</v>
      </c>
      <c r="I601" t="s">
        <v>2540</v>
      </c>
      <c r="J601" t="s">
        <v>588</v>
      </c>
      <c r="K601" t="s">
        <v>2538</v>
      </c>
      <c r="L601">
        <v>30</v>
      </c>
      <c r="M601">
        <v>750</v>
      </c>
      <c r="N601" t="s">
        <v>2544</v>
      </c>
      <c r="O601" s="31" t="str">
        <f>HYPERLINK("https://b2b.kobi.pl/pl/product/10245,przedluzacz-linea-4gn-5m-zu-kobi?currency=PLN")</f>
        <v>https://b2b.kobi.pl/pl/product/10245,przedluzacz-linea-4gn-5m-zu-kobi?currency=PLN</v>
      </c>
      <c r="P601" t="s">
        <v>16</v>
      </c>
      <c r="Q601"/>
    </row>
    <row r="602" spans="1:17" ht="15" x14ac:dyDescent="0.25">
      <c r="A602" t="s">
        <v>861</v>
      </c>
      <c r="B602" t="s">
        <v>52</v>
      </c>
      <c r="C602" t="s">
        <v>858</v>
      </c>
      <c r="D602" t="s">
        <v>1634</v>
      </c>
      <c r="E602" t="s">
        <v>1635</v>
      </c>
      <c r="F602" t="s">
        <v>860</v>
      </c>
      <c r="G602" s="30">
        <v>30.5</v>
      </c>
      <c r="H602" s="29">
        <f>G602*(1-IFERROR(VLOOKUP(F602,Rabat!$D$10:$E$41,2,FALSE),0))</f>
        <v>30.5</v>
      </c>
      <c r="I602" t="s">
        <v>2540</v>
      </c>
      <c r="J602" t="s">
        <v>589</v>
      </c>
      <c r="K602" t="s">
        <v>2538</v>
      </c>
      <c r="L602">
        <v>40</v>
      </c>
      <c r="M602">
        <v>1000</v>
      </c>
      <c r="N602" t="s">
        <v>2544</v>
      </c>
      <c r="O602" s="31" t="str">
        <f>HYPERLINK("https://b2b.kobi.pl/pl/product/10246,przedluzacz-linea-5gn-1-5m-zu-kobi?currency=PLN")</f>
        <v>https://b2b.kobi.pl/pl/product/10246,przedluzacz-linea-5gn-1-5m-zu-kobi?currency=PLN</v>
      </c>
      <c r="P602" t="s">
        <v>16</v>
      </c>
      <c r="Q602"/>
    </row>
    <row r="603" spans="1:17" ht="15" x14ac:dyDescent="0.25">
      <c r="A603" t="s">
        <v>861</v>
      </c>
      <c r="B603" t="s">
        <v>52</v>
      </c>
      <c r="C603" t="s">
        <v>858</v>
      </c>
      <c r="D603" t="s">
        <v>1636</v>
      </c>
      <c r="E603" t="s">
        <v>1637</v>
      </c>
      <c r="F603" t="s">
        <v>860</v>
      </c>
      <c r="G603" s="30">
        <v>39.700000000000003</v>
      </c>
      <c r="H603" s="29">
        <f>G603*(1-IFERROR(VLOOKUP(F603,Rabat!$D$10:$E$41,2,FALSE),0))</f>
        <v>39.700000000000003</v>
      </c>
      <c r="I603" t="s">
        <v>2540</v>
      </c>
      <c r="J603" t="s">
        <v>590</v>
      </c>
      <c r="K603" t="s">
        <v>2538</v>
      </c>
      <c r="L603">
        <v>30</v>
      </c>
      <c r="M603">
        <v>900</v>
      </c>
      <c r="N603" t="s">
        <v>2544</v>
      </c>
      <c r="O603" s="31" t="str">
        <f>HYPERLINK("https://b2b.kobi.pl/pl/product/10247,przedluzacz-linea-5gn-3m-zu-kobi?currency=PLN")</f>
        <v>https://b2b.kobi.pl/pl/product/10247,przedluzacz-linea-5gn-3m-zu-kobi?currency=PLN</v>
      </c>
      <c r="P603" t="s">
        <v>16</v>
      </c>
      <c r="Q603"/>
    </row>
    <row r="604" spans="1:17" ht="15" x14ac:dyDescent="0.25">
      <c r="A604" t="s">
        <v>861</v>
      </c>
      <c r="B604" t="s">
        <v>52</v>
      </c>
      <c r="C604" t="s">
        <v>858</v>
      </c>
      <c r="D604" t="s">
        <v>1640</v>
      </c>
      <c r="E604" t="s">
        <v>1641</v>
      </c>
      <c r="F604" t="s">
        <v>860</v>
      </c>
      <c r="G604" s="30">
        <v>52</v>
      </c>
      <c r="H604" s="29">
        <f>G604*(1-IFERROR(VLOOKUP(F604,Rabat!$D$10:$E$41,2,FALSE),0))</f>
        <v>52</v>
      </c>
      <c r="I604" t="s">
        <v>2540</v>
      </c>
      <c r="J604" t="s">
        <v>592</v>
      </c>
      <c r="K604" t="s">
        <v>2538</v>
      </c>
      <c r="L604">
        <v>30</v>
      </c>
      <c r="M604">
        <v>750</v>
      </c>
      <c r="N604" t="s">
        <v>2544</v>
      </c>
      <c r="O604" s="31" t="str">
        <f>HYPERLINK("https://b2b.kobi.pl/pl/product/10248,przedluzacz-linea-5gn-5m-zu-kobi?currency=PLN")</f>
        <v>https://b2b.kobi.pl/pl/product/10248,przedluzacz-linea-5gn-5m-zu-kobi?currency=PLN</v>
      </c>
      <c r="P604" t="s">
        <v>16</v>
      </c>
      <c r="Q604"/>
    </row>
    <row r="605" spans="1:17" ht="15" x14ac:dyDescent="0.25">
      <c r="A605" t="s">
        <v>861</v>
      </c>
      <c r="B605" t="s">
        <v>52</v>
      </c>
      <c r="C605" t="s">
        <v>858</v>
      </c>
      <c r="D605" t="s">
        <v>1642</v>
      </c>
      <c r="E605" t="s">
        <v>1643</v>
      </c>
      <c r="F605" t="s">
        <v>860</v>
      </c>
      <c r="G605" s="30">
        <v>40.9</v>
      </c>
      <c r="H605" s="29">
        <f>G605*(1-IFERROR(VLOOKUP(F605,Rabat!$D$10:$E$41,2,FALSE),0))</f>
        <v>40.9</v>
      </c>
      <c r="I605" t="s">
        <v>2540</v>
      </c>
      <c r="J605" t="s">
        <v>583</v>
      </c>
      <c r="K605" t="s">
        <v>2538</v>
      </c>
      <c r="L605">
        <v>30</v>
      </c>
      <c r="M605">
        <v>1080</v>
      </c>
      <c r="N605" t="s">
        <v>2544</v>
      </c>
      <c r="O605" s="31" t="str">
        <f>HYPERLINK("https://b2b.kobi.pl/pl/product/10249,przedluzacz-linea-3gn-3m-zu-w-kobi?currency=PLN")</f>
        <v>https://b2b.kobi.pl/pl/product/10249,przedluzacz-linea-3gn-3m-zu-w-kobi?currency=PLN</v>
      </c>
      <c r="P605" t="s">
        <v>16</v>
      </c>
      <c r="Q605"/>
    </row>
    <row r="606" spans="1:17" ht="15" x14ac:dyDescent="0.25">
      <c r="A606" t="s">
        <v>861</v>
      </c>
      <c r="B606" t="s">
        <v>52</v>
      </c>
      <c r="C606" t="s">
        <v>858</v>
      </c>
      <c r="D606" t="s">
        <v>1644</v>
      </c>
      <c r="E606" t="s">
        <v>1645</v>
      </c>
      <c r="F606" t="s">
        <v>860</v>
      </c>
      <c r="G606" s="30">
        <v>53.9</v>
      </c>
      <c r="H606" s="29">
        <f>G606*(1-IFERROR(VLOOKUP(F606,Rabat!$D$10:$E$41,2,FALSE),0))</f>
        <v>53.9</v>
      </c>
      <c r="I606" t="s">
        <v>2540</v>
      </c>
      <c r="J606" t="s">
        <v>585</v>
      </c>
      <c r="K606" t="s">
        <v>2538</v>
      </c>
      <c r="L606">
        <v>30</v>
      </c>
      <c r="M606"/>
      <c r="N606" t="s">
        <v>2544</v>
      </c>
      <c r="O606" s="31" t="str">
        <f>HYPERLINK("https://b2b.kobi.pl/pl/product/10250,przedluzacz-linea-3gn-5m-zu-w-kobi?currency=PLN")</f>
        <v>https://b2b.kobi.pl/pl/product/10250,przedluzacz-linea-3gn-5m-zu-w-kobi?currency=PLN</v>
      </c>
      <c r="P606" t="s">
        <v>16</v>
      </c>
      <c r="Q606"/>
    </row>
    <row r="607" spans="1:17" ht="15" x14ac:dyDescent="0.25">
      <c r="A607" t="s">
        <v>861</v>
      </c>
      <c r="B607" t="s">
        <v>52</v>
      </c>
      <c r="C607" t="s">
        <v>858</v>
      </c>
      <c r="D607" t="s">
        <v>1646</v>
      </c>
      <c r="E607" t="s">
        <v>1647</v>
      </c>
      <c r="F607" t="s">
        <v>860</v>
      </c>
      <c r="G607" s="30">
        <v>46.9</v>
      </c>
      <c r="H607" s="29">
        <f>G607*(1-IFERROR(VLOOKUP(F607,Rabat!$D$10:$E$41,2,FALSE),0))</f>
        <v>46.9</v>
      </c>
      <c r="I607" t="s">
        <v>2540</v>
      </c>
      <c r="J607" t="s">
        <v>591</v>
      </c>
      <c r="K607" t="s">
        <v>2538</v>
      </c>
      <c r="L607">
        <v>30</v>
      </c>
      <c r="M607"/>
      <c r="N607" t="s">
        <v>2544</v>
      </c>
      <c r="O607" s="31" t="str">
        <f>HYPERLINK("https://b2b.kobi.pl/pl/product/10251,przedluzacz-linea-5gn-3m-zu-w-kobi?currency=PLN")</f>
        <v>https://b2b.kobi.pl/pl/product/10251,przedluzacz-linea-5gn-3m-zu-w-kobi?currency=PLN</v>
      </c>
      <c r="P607" t="s">
        <v>16</v>
      </c>
      <c r="Q607"/>
    </row>
    <row r="608" spans="1:17" ht="15" x14ac:dyDescent="0.25">
      <c r="A608" t="s">
        <v>861</v>
      </c>
      <c r="B608" t="s">
        <v>52</v>
      </c>
      <c r="C608" t="s">
        <v>858</v>
      </c>
      <c r="D608" t="s">
        <v>1648</v>
      </c>
      <c r="E608" t="s">
        <v>1649</v>
      </c>
      <c r="F608" t="s">
        <v>860</v>
      </c>
      <c r="G608" s="30">
        <v>56.9</v>
      </c>
      <c r="H608" s="29">
        <f>G608*(1-IFERROR(VLOOKUP(F608,Rabat!$D$10:$E$41,2,FALSE),0))</f>
        <v>56.9</v>
      </c>
      <c r="I608" t="s">
        <v>2540</v>
      </c>
      <c r="J608" t="s">
        <v>593</v>
      </c>
      <c r="K608" t="s">
        <v>2538</v>
      </c>
      <c r="L608">
        <v>30</v>
      </c>
      <c r="M608"/>
      <c r="N608" t="s">
        <v>2544</v>
      </c>
      <c r="O608" s="31" t="str">
        <f>HYPERLINK("https://b2b.kobi.pl/pl/product/10252,przedluzacz-linea-5gn-5m-zu-w-kobi?currency=PLN")</f>
        <v>https://b2b.kobi.pl/pl/product/10252,przedluzacz-linea-5gn-5m-zu-w-kobi?currency=PLN</v>
      </c>
      <c r="P608" t="s">
        <v>16</v>
      </c>
      <c r="Q608"/>
    </row>
    <row r="609" spans="1:17" ht="15" x14ac:dyDescent="0.25">
      <c r="A609" t="s">
        <v>861</v>
      </c>
      <c r="B609" t="s">
        <v>52</v>
      </c>
      <c r="C609" t="s">
        <v>858</v>
      </c>
      <c r="D609" t="s">
        <v>1650</v>
      </c>
      <c r="E609" t="s">
        <v>1651</v>
      </c>
      <c r="F609" t="s">
        <v>860</v>
      </c>
      <c r="G609" s="30">
        <v>112.25</v>
      </c>
      <c r="H609" s="29">
        <f>G609*(1-IFERROR(VLOOKUP(F609,Rabat!$D$10:$E$41,2,FALSE),0))</f>
        <v>112.25</v>
      </c>
      <c r="I609" t="s">
        <v>2540</v>
      </c>
      <c r="J609" t="s">
        <v>718</v>
      </c>
      <c r="K609" t="s">
        <v>2538</v>
      </c>
      <c r="L609">
        <v>60</v>
      </c>
      <c r="M609"/>
      <c r="N609" t="s">
        <v>2544</v>
      </c>
      <c r="O609" s="31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09" t="s">
        <v>16</v>
      </c>
      <c r="Q609"/>
    </row>
    <row r="610" spans="1:17" ht="15" x14ac:dyDescent="0.25">
      <c r="A610" t="s">
        <v>861</v>
      </c>
      <c r="B610" t="s">
        <v>52</v>
      </c>
      <c r="C610" t="s">
        <v>858</v>
      </c>
      <c r="D610" t="s">
        <v>1652</v>
      </c>
      <c r="E610" t="s">
        <v>1653</v>
      </c>
      <c r="F610" t="s">
        <v>860</v>
      </c>
      <c r="G610" s="30">
        <v>112.25</v>
      </c>
      <c r="H610" s="29">
        <f>G610*(1-IFERROR(VLOOKUP(F610,Rabat!$D$10:$E$41,2,FALSE),0))</f>
        <v>112.25</v>
      </c>
      <c r="I610" t="s">
        <v>2540</v>
      </c>
      <c r="J610" t="s">
        <v>715</v>
      </c>
      <c r="K610" t="s">
        <v>2538</v>
      </c>
      <c r="L610">
        <v>60</v>
      </c>
      <c r="M610"/>
      <c r="N610" t="s">
        <v>2544</v>
      </c>
      <c r="O610" s="31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10" t="s">
        <v>16</v>
      </c>
      <c r="Q610"/>
    </row>
    <row r="611" spans="1:17" ht="15" x14ac:dyDescent="0.25">
      <c r="A611" t="s">
        <v>861</v>
      </c>
      <c r="B611" t="s">
        <v>52</v>
      </c>
      <c r="C611" t="s">
        <v>858</v>
      </c>
      <c r="D611" t="s">
        <v>1654</v>
      </c>
      <c r="E611" t="s">
        <v>1655</v>
      </c>
      <c r="F611" t="s">
        <v>860</v>
      </c>
      <c r="G611" s="30">
        <v>137.25</v>
      </c>
      <c r="H611" s="29">
        <f>G611*(1-IFERROR(VLOOKUP(F611,Rabat!$D$10:$E$41,2,FALSE),0))</f>
        <v>137.25</v>
      </c>
      <c r="I611" t="s">
        <v>2540</v>
      </c>
      <c r="J611" t="s">
        <v>717</v>
      </c>
      <c r="K611" t="s">
        <v>2538</v>
      </c>
      <c r="L611">
        <v>50</v>
      </c>
      <c r="M611"/>
      <c r="N611" t="s">
        <v>2544</v>
      </c>
      <c r="O611" s="31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11" t="s">
        <v>16</v>
      </c>
      <c r="Q611"/>
    </row>
    <row r="612" spans="1:17" ht="15" x14ac:dyDescent="0.25">
      <c r="A612" t="s">
        <v>861</v>
      </c>
      <c r="B612" t="s">
        <v>52</v>
      </c>
      <c r="C612" t="s">
        <v>858</v>
      </c>
      <c r="D612" t="s">
        <v>1656</v>
      </c>
      <c r="E612" t="s">
        <v>1657</v>
      </c>
      <c r="F612" t="s">
        <v>860</v>
      </c>
      <c r="G612" s="30">
        <v>137.25</v>
      </c>
      <c r="H612" s="29">
        <f>G612*(1-IFERROR(VLOOKUP(F612,Rabat!$D$10:$E$41,2,FALSE),0))</f>
        <v>137.25</v>
      </c>
      <c r="I612" t="s">
        <v>2540</v>
      </c>
      <c r="J612" t="s">
        <v>716</v>
      </c>
      <c r="K612" t="s">
        <v>2538</v>
      </c>
      <c r="L612">
        <v>50</v>
      </c>
      <c r="M612"/>
      <c r="N612" t="s">
        <v>2544</v>
      </c>
      <c r="O612" s="31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12" t="s">
        <v>16</v>
      </c>
      <c r="Q612"/>
    </row>
    <row r="613" spans="1:17" ht="15" x14ac:dyDescent="0.25">
      <c r="A613" t="s">
        <v>861</v>
      </c>
      <c r="B613" t="s">
        <v>52</v>
      </c>
      <c r="C613" t="s">
        <v>858</v>
      </c>
      <c r="D613" t="s">
        <v>1658</v>
      </c>
      <c r="E613" t="s">
        <v>1659</v>
      </c>
      <c r="F613" t="s">
        <v>860</v>
      </c>
      <c r="G613" s="30">
        <v>69.75</v>
      </c>
      <c r="H613" s="29">
        <f>G613*(1-IFERROR(VLOOKUP(F613,Rabat!$D$10:$E$41,2,FALSE),0))</f>
        <v>69.75</v>
      </c>
      <c r="I613" t="s">
        <v>2540</v>
      </c>
      <c r="J613" t="s">
        <v>720</v>
      </c>
      <c r="K613" t="s">
        <v>2538</v>
      </c>
      <c r="L613">
        <v>20</v>
      </c>
      <c r="M613"/>
      <c r="N613" t="s">
        <v>2544</v>
      </c>
      <c r="O613" s="31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13" t="s">
        <v>16</v>
      </c>
      <c r="Q613"/>
    </row>
    <row r="614" spans="1:17" ht="15" x14ac:dyDescent="0.25">
      <c r="A614" t="s">
        <v>861</v>
      </c>
      <c r="B614" t="s">
        <v>52</v>
      </c>
      <c r="C614" t="s">
        <v>858</v>
      </c>
      <c r="D614" t="s">
        <v>1660</v>
      </c>
      <c r="E614" t="s">
        <v>1661</v>
      </c>
      <c r="F614" t="s">
        <v>860</v>
      </c>
      <c r="G614" s="30">
        <v>69.75</v>
      </c>
      <c r="H614" s="29">
        <f>G614*(1-IFERROR(VLOOKUP(F614,Rabat!$D$10:$E$41,2,FALSE),0))</f>
        <v>69.75</v>
      </c>
      <c r="I614" t="s">
        <v>2540</v>
      </c>
      <c r="J614" t="s">
        <v>719</v>
      </c>
      <c r="K614" t="s">
        <v>2538</v>
      </c>
      <c r="L614">
        <v>20</v>
      </c>
      <c r="M614"/>
      <c r="N614" t="s">
        <v>2544</v>
      </c>
      <c r="O614" s="31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14" t="s">
        <v>16</v>
      </c>
      <c r="Q614"/>
    </row>
    <row r="615" spans="1:17" ht="15" x14ac:dyDescent="0.25">
      <c r="A615" t="s">
        <v>861</v>
      </c>
      <c r="B615" t="s">
        <v>52</v>
      </c>
      <c r="C615" t="s">
        <v>858</v>
      </c>
      <c r="D615" t="s">
        <v>1662</v>
      </c>
      <c r="E615" t="s">
        <v>1663</v>
      </c>
      <c r="F615" t="s">
        <v>860</v>
      </c>
      <c r="G615" s="30">
        <v>74.75</v>
      </c>
      <c r="H615" s="29">
        <f>G615*(1-IFERROR(VLOOKUP(F615,Rabat!$D$10:$E$41,2,FALSE),0))</f>
        <v>74.75</v>
      </c>
      <c r="I615" t="s">
        <v>2540</v>
      </c>
      <c r="J615" t="s">
        <v>721</v>
      </c>
      <c r="K615" t="s">
        <v>2538</v>
      </c>
      <c r="L615">
        <v>20</v>
      </c>
      <c r="M615"/>
      <c r="N615" t="s">
        <v>2544</v>
      </c>
      <c r="O615" s="31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15" t="s">
        <v>16</v>
      </c>
      <c r="Q615"/>
    </row>
    <row r="616" spans="1:17" ht="15" x14ac:dyDescent="0.25">
      <c r="A616" t="s">
        <v>861</v>
      </c>
      <c r="B616" t="s">
        <v>52</v>
      </c>
      <c r="C616" t="s">
        <v>858</v>
      </c>
      <c r="D616" t="s">
        <v>1664</v>
      </c>
      <c r="E616" t="s">
        <v>1665</v>
      </c>
      <c r="F616" t="s">
        <v>860</v>
      </c>
      <c r="G616" s="30">
        <v>74.75</v>
      </c>
      <c r="H616" s="29">
        <f>G616*(1-IFERROR(VLOOKUP(F616,Rabat!$D$10:$E$41,2,FALSE),0))</f>
        <v>74.75</v>
      </c>
      <c r="I616" t="s">
        <v>2540</v>
      </c>
      <c r="J616" t="s">
        <v>712</v>
      </c>
      <c r="K616" t="s">
        <v>2538</v>
      </c>
      <c r="L616">
        <v>20</v>
      </c>
      <c r="M616"/>
      <c r="N616" t="s">
        <v>2544</v>
      </c>
      <c r="O616" s="31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16" t="s">
        <v>16</v>
      </c>
      <c r="Q616"/>
    </row>
    <row r="617" spans="1:17" ht="15" x14ac:dyDescent="0.25">
      <c r="A617" t="s">
        <v>861</v>
      </c>
      <c r="B617" t="s">
        <v>52</v>
      </c>
      <c r="C617" t="s">
        <v>858</v>
      </c>
      <c r="D617" t="s">
        <v>1666</v>
      </c>
      <c r="E617" t="s">
        <v>1667</v>
      </c>
      <c r="F617" t="s">
        <v>860</v>
      </c>
      <c r="G617" s="30">
        <v>94.75</v>
      </c>
      <c r="H617" s="29">
        <f>G617*(1-IFERROR(VLOOKUP(F617,Rabat!$D$10:$E$41,2,FALSE),0))</f>
        <v>94.75</v>
      </c>
      <c r="I617" t="s">
        <v>2540</v>
      </c>
      <c r="J617" t="s">
        <v>722</v>
      </c>
      <c r="K617" t="s">
        <v>2538</v>
      </c>
      <c r="L617">
        <v>20</v>
      </c>
      <c r="M617"/>
      <c r="N617" t="s">
        <v>2544</v>
      </c>
      <c r="O617" s="31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17" t="s">
        <v>16</v>
      </c>
      <c r="Q617"/>
    </row>
    <row r="618" spans="1:17" ht="15" x14ac:dyDescent="0.25">
      <c r="A618" t="s">
        <v>861</v>
      </c>
      <c r="B618" t="s">
        <v>52</v>
      </c>
      <c r="C618" t="s">
        <v>858</v>
      </c>
      <c r="D618" t="s">
        <v>1668</v>
      </c>
      <c r="E618" t="s">
        <v>1669</v>
      </c>
      <c r="F618" t="s">
        <v>860</v>
      </c>
      <c r="G618" s="30">
        <v>94.75</v>
      </c>
      <c r="H618" s="29">
        <f>G618*(1-IFERROR(VLOOKUP(F618,Rabat!$D$10:$E$41,2,FALSE),0))</f>
        <v>94.75</v>
      </c>
      <c r="I618" t="s">
        <v>2540</v>
      </c>
      <c r="J618" t="s">
        <v>713</v>
      </c>
      <c r="K618" t="s">
        <v>2538</v>
      </c>
      <c r="L618">
        <v>20</v>
      </c>
      <c r="M618"/>
      <c r="N618" t="s">
        <v>2544</v>
      </c>
      <c r="O618" s="31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18" t="s">
        <v>16</v>
      </c>
      <c r="Q618"/>
    </row>
    <row r="619" spans="1:17" ht="15" x14ac:dyDescent="0.25">
      <c r="A619" t="s">
        <v>861</v>
      </c>
      <c r="B619" t="s">
        <v>52</v>
      </c>
      <c r="C619" t="s">
        <v>858</v>
      </c>
      <c r="D619" t="s">
        <v>1672</v>
      </c>
      <c r="E619" t="s">
        <v>1673</v>
      </c>
      <c r="F619" t="s">
        <v>860</v>
      </c>
      <c r="G619" s="30">
        <v>119.75</v>
      </c>
      <c r="H619" s="29">
        <f>G619*(1-IFERROR(VLOOKUP(F619,Rabat!$D$10:$E$41,2,FALSE),0))</f>
        <v>119.75</v>
      </c>
      <c r="I619" t="s">
        <v>2540</v>
      </c>
      <c r="J619" t="s">
        <v>723</v>
      </c>
      <c r="K619" t="s">
        <v>2538</v>
      </c>
      <c r="L619">
        <v>20</v>
      </c>
      <c r="M619"/>
      <c r="N619" t="s">
        <v>2544</v>
      </c>
      <c r="O619" s="31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19" t="s">
        <v>16</v>
      </c>
      <c r="Q619"/>
    </row>
    <row r="620" spans="1:17" ht="15" x14ac:dyDescent="0.25">
      <c r="A620" t="s">
        <v>861</v>
      </c>
      <c r="B620" t="s">
        <v>52</v>
      </c>
      <c r="C620" t="s">
        <v>858</v>
      </c>
      <c r="D620" t="s">
        <v>1676</v>
      </c>
      <c r="E620" t="s">
        <v>1677</v>
      </c>
      <c r="F620" t="s">
        <v>860</v>
      </c>
      <c r="G620" s="30">
        <v>119.75</v>
      </c>
      <c r="H620" s="29">
        <f>G620*(1-IFERROR(VLOOKUP(F620,Rabat!$D$10:$E$41,2,FALSE),0))</f>
        <v>119.75</v>
      </c>
      <c r="I620" t="s">
        <v>2540</v>
      </c>
      <c r="J620" t="s">
        <v>714</v>
      </c>
      <c r="K620" t="s">
        <v>2538</v>
      </c>
      <c r="L620">
        <v>20</v>
      </c>
      <c r="M620"/>
      <c r="N620" t="s">
        <v>2544</v>
      </c>
      <c r="O620" s="31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20" t="s">
        <v>16</v>
      </c>
      <c r="Q620"/>
    </row>
    <row r="621" spans="1:17" ht="15" x14ac:dyDescent="0.25">
      <c r="A621" t="s">
        <v>5</v>
      </c>
      <c r="B621" t="s">
        <v>953</v>
      </c>
      <c r="C621" t="s">
        <v>889</v>
      </c>
      <c r="D621" t="s">
        <v>1083</v>
      </c>
      <c r="E621" t="s">
        <v>1084</v>
      </c>
      <c r="F621" t="s">
        <v>942</v>
      </c>
      <c r="G621" s="30">
        <v>170.38</v>
      </c>
      <c r="H621" s="29">
        <f>G621*(1-IFERROR(VLOOKUP(F621,Rabat!$D$10:$E$41,2,FALSE),0))</f>
        <v>170.38</v>
      </c>
      <c r="I621" t="s">
        <v>2540</v>
      </c>
      <c r="J621" t="s">
        <v>652</v>
      </c>
      <c r="K621" t="s">
        <v>2538</v>
      </c>
      <c r="L621">
        <v>20</v>
      </c>
      <c r="M621"/>
      <c r="N621" t="s">
        <v>2544</v>
      </c>
      <c r="O621" s="31" t="str">
        <f>HYPERLINK("https://b2b.kobi.pl/pl/product/9796,lampa-podlogowa-play-sl-6w-rgb-kobi-design?currency=PLN")</f>
        <v>https://b2b.kobi.pl/pl/product/9796,lampa-podlogowa-play-sl-6w-rgb-kobi-design?currency=PLN</v>
      </c>
      <c r="P621" t="s">
        <v>16</v>
      </c>
      <c r="Q621"/>
    </row>
    <row r="622" spans="1:17" ht="15" x14ac:dyDescent="0.25">
      <c r="A622" t="s">
        <v>5</v>
      </c>
      <c r="B622" t="s">
        <v>953</v>
      </c>
      <c r="C622" t="s">
        <v>889</v>
      </c>
      <c r="D622" t="s">
        <v>1159</v>
      </c>
      <c r="E622" t="s">
        <v>1160</v>
      </c>
      <c r="F622" t="s">
        <v>1082</v>
      </c>
      <c r="G622" s="30">
        <v>129</v>
      </c>
      <c r="H622" s="29">
        <f>G622*(1-IFERROR(VLOOKUP(F622,Rabat!$D$10:$E$41,2,FALSE),0))</f>
        <v>129</v>
      </c>
      <c r="I622" t="s">
        <v>2537</v>
      </c>
      <c r="J622" t="s">
        <v>657</v>
      </c>
      <c r="K622" t="s">
        <v>2538</v>
      </c>
      <c r="L622">
        <v>20</v>
      </c>
      <c r="M622"/>
      <c r="N622" t="s">
        <v>2544</v>
      </c>
      <c r="O622" s="31" t="str">
        <f>HYPERLINK("https://b2b.kobi.pl/pl/product/9797,lampka-na-monitor-led-lume-iq-5w-cct-kobi-design?currency=PLN")</f>
        <v>https://b2b.kobi.pl/pl/product/9797,lampka-na-monitor-led-lume-iq-5w-cct-kobi-design?currency=PLN</v>
      </c>
      <c r="P622" s="31" t="str">
        <f>HYPERLINK("https://eprel.ec.europa.eu/qr/2077068")</f>
        <v>https://eprel.ec.europa.eu/qr/2077068</v>
      </c>
      <c r="Q622"/>
    </row>
    <row r="623" spans="1:17" ht="15" x14ac:dyDescent="0.25">
      <c r="A623" t="s">
        <v>5</v>
      </c>
      <c r="B623" t="s">
        <v>953</v>
      </c>
      <c r="C623" t="s">
        <v>889</v>
      </c>
      <c r="D623" t="s">
        <v>954</v>
      </c>
      <c r="E623" t="s">
        <v>955</v>
      </c>
      <c r="F623" t="s">
        <v>942</v>
      </c>
      <c r="G623" s="30">
        <v>109.84</v>
      </c>
      <c r="H623" s="29">
        <f>G623*(1-IFERROR(VLOOKUP(F623,Rabat!$D$10:$E$41,2,FALSE),0))</f>
        <v>109.84</v>
      </c>
      <c r="I623" t="s">
        <v>2542</v>
      </c>
      <c r="J623" t="s">
        <v>658</v>
      </c>
      <c r="K623" t="s">
        <v>2538</v>
      </c>
      <c r="L623">
        <v>20</v>
      </c>
      <c r="M623"/>
      <c r="N623" t="s">
        <v>2544</v>
      </c>
      <c r="O623" s="31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23" s="31" t="str">
        <f>HYPERLINK("https://eprel.ec.europa.eu/qr/1959986")</f>
        <v>https://eprel.ec.europa.eu/qr/1959986</v>
      </c>
      <c r="Q623"/>
    </row>
    <row r="624" spans="1:17" ht="15" x14ac:dyDescent="0.25">
      <c r="A624" t="s">
        <v>5</v>
      </c>
      <c r="B624" t="s">
        <v>953</v>
      </c>
      <c r="C624" t="s">
        <v>889</v>
      </c>
      <c r="D624" t="s">
        <v>956</v>
      </c>
      <c r="E624" t="s">
        <v>957</v>
      </c>
      <c r="F624" t="s">
        <v>942</v>
      </c>
      <c r="G624" s="30">
        <v>114.75</v>
      </c>
      <c r="H624" s="29">
        <f>G624*(1-IFERROR(VLOOKUP(F624,Rabat!$D$10:$E$41,2,FALSE),0))</f>
        <v>114.75</v>
      </c>
      <c r="I624" t="s">
        <v>2542</v>
      </c>
      <c r="J624" t="s">
        <v>659</v>
      </c>
      <c r="K624" t="s">
        <v>2538</v>
      </c>
      <c r="L624">
        <v>20</v>
      </c>
      <c r="M624"/>
      <c r="N624" t="s">
        <v>2544</v>
      </c>
      <c r="O624" s="31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24" s="31" t="str">
        <f>HYPERLINK("https://eprel.ec.europa.eu/qr/2037037")</f>
        <v>https://eprel.ec.europa.eu/qr/2037037</v>
      </c>
      <c r="Q624"/>
    </row>
    <row r="625" spans="1:17" ht="15" x14ac:dyDescent="0.25">
      <c r="A625" t="s">
        <v>5</v>
      </c>
      <c r="B625" t="s">
        <v>953</v>
      </c>
      <c r="C625" t="s">
        <v>889</v>
      </c>
      <c r="D625" t="s">
        <v>958</v>
      </c>
      <c r="E625" t="s">
        <v>959</v>
      </c>
      <c r="F625" t="s">
        <v>942</v>
      </c>
      <c r="G625" s="30">
        <v>124.75</v>
      </c>
      <c r="H625" s="29">
        <f>G625*(1-IFERROR(VLOOKUP(F625,Rabat!$D$10:$E$41,2,FALSE),0))</f>
        <v>124.75</v>
      </c>
      <c r="I625" t="s">
        <v>2542</v>
      </c>
      <c r="J625" t="s">
        <v>660</v>
      </c>
      <c r="K625" t="s">
        <v>2538</v>
      </c>
      <c r="L625">
        <v>20</v>
      </c>
      <c r="M625"/>
      <c r="N625" t="s">
        <v>2544</v>
      </c>
      <c r="O625" s="31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25" s="31" t="str">
        <f>HYPERLINK("https://eprel.ec.europa.eu/qr/2037067")</f>
        <v>https://eprel.ec.europa.eu/qr/2037067</v>
      </c>
      <c r="Q625"/>
    </row>
    <row r="626" spans="1:17" ht="15" x14ac:dyDescent="0.25">
      <c r="A626" t="s">
        <v>5</v>
      </c>
      <c r="B626" t="s">
        <v>953</v>
      </c>
      <c r="C626" t="s">
        <v>889</v>
      </c>
      <c r="D626" t="s">
        <v>1163</v>
      </c>
      <c r="E626" t="s">
        <v>1164</v>
      </c>
      <c r="F626" t="s">
        <v>942</v>
      </c>
      <c r="G626" s="30">
        <v>207.79</v>
      </c>
      <c r="H626" s="29">
        <f>G626*(1-IFERROR(VLOOKUP(F626,Rabat!$D$10:$E$41,2,FALSE),0))</f>
        <v>207.79</v>
      </c>
      <c r="I626" t="s">
        <v>2540</v>
      </c>
      <c r="J626" t="s">
        <v>396</v>
      </c>
      <c r="K626" t="s">
        <v>2538</v>
      </c>
      <c r="L626">
        <v>1</v>
      </c>
      <c r="M626"/>
      <c r="N626" t="s">
        <v>2544</v>
      </c>
      <c r="O626" s="31" t="str">
        <f>HYPERLINK("https://b2b.kobi.pl/pl/product/10489,lampa-wiszaca-boho-braga-1xe27-kobi-design?currency=PLN")</f>
        <v>https://b2b.kobi.pl/pl/product/10489,lampa-wiszaca-boho-braga-1xe27-kobi-design?currency=PLN</v>
      </c>
      <c r="P626" t="s">
        <v>16</v>
      </c>
      <c r="Q626"/>
    </row>
    <row r="627" spans="1:17" ht="15" x14ac:dyDescent="0.25">
      <c r="A627" t="s">
        <v>5</v>
      </c>
      <c r="B627" t="s">
        <v>953</v>
      </c>
      <c r="C627" t="s">
        <v>889</v>
      </c>
      <c r="D627" t="s">
        <v>1153</v>
      </c>
      <c r="E627" t="s">
        <v>1154</v>
      </c>
      <c r="F627" t="s">
        <v>942</v>
      </c>
      <c r="G627" s="30">
        <v>252.5</v>
      </c>
      <c r="H627" s="29">
        <f>G627*(1-IFERROR(VLOOKUP(F627,Rabat!$D$10:$E$41,2,FALSE),0))</f>
        <v>252.5</v>
      </c>
      <c r="I627" t="s">
        <v>2540</v>
      </c>
      <c r="J627" t="s">
        <v>394</v>
      </c>
      <c r="K627" t="s">
        <v>2538</v>
      </c>
      <c r="L627">
        <v>1</v>
      </c>
      <c r="M627"/>
      <c r="N627" t="s">
        <v>2544</v>
      </c>
      <c r="O627" s="31" t="str">
        <f>HYPERLINK("https://b2b.kobi.pl/pl/product/10490,lampa-wiszaca-boho-bimini-1xe27-kobi-design?currency=PLN")</f>
        <v>https://b2b.kobi.pl/pl/product/10490,lampa-wiszaca-boho-bimini-1xe27-kobi-design?currency=PLN</v>
      </c>
      <c r="P627" t="s">
        <v>16</v>
      </c>
      <c r="Q627"/>
    </row>
    <row r="628" spans="1:17" ht="15" x14ac:dyDescent="0.25">
      <c r="A628" t="s">
        <v>5</v>
      </c>
      <c r="B628" t="s">
        <v>953</v>
      </c>
      <c r="C628" t="s">
        <v>889</v>
      </c>
      <c r="D628" t="s">
        <v>1171</v>
      </c>
      <c r="E628" t="s">
        <v>1172</v>
      </c>
      <c r="F628" t="s">
        <v>942</v>
      </c>
      <c r="G628" s="30">
        <v>345.08</v>
      </c>
      <c r="H628" s="29">
        <f>G628*(1-IFERROR(VLOOKUP(F628,Rabat!$D$10:$E$41,2,FALSE),0))</f>
        <v>345.08</v>
      </c>
      <c r="I628" t="s">
        <v>2540</v>
      </c>
      <c r="J628" t="s">
        <v>397</v>
      </c>
      <c r="K628" t="s">
        <v>2538</v>
      </c>
      <c r="L628">
        <v>1</v>
      </c>
      <c r="M628">
        <v>32</v>
      </c>
      <c r="N628" t="s">
        <v>2544</v>
      </c>
      <c r="O628" s="31" t="str">
        <f>HYPERLINK("https://b2b.kobi.pl/pl/product/10491,lampa-wiszaca-boho-brugia-m-1xe27-kobi-design?currency=PLN")</f>
        <v>https://b2b.kobi.pl/pl/product/10491,lampa-wiszaca-boho-brugia-m-1xe27-kobi-design?currency=PLN</v>
      </c>
      <c r="P628" t="s">
        <v>16</v>
      </c>
      <c r="Q628"/>
    </row>
    <row r="629" spans="1:17" ht="15" x14ac:dyDescent="0.25">
      <c r="A629" t="s">
        <v>5</v>
      </c>
      <c r="B629" t="s">
        <v>953</v>
      </c>
      <c r="C629" t="s">
        <v>889</v>
      </c>
      <c r="D629" t="s">
        <v>1179</v>
      </c>
      <c r="E629" t="s">
        <v>1180</v>
      </c>
      <c r="F629" t="s">
        <v>942</v>
      </c>
      <c r="G629" s="30">
        <v>254.75</v>
      </c>
      <c r="H629" s="29">
        <f>G629*(1-IFERROR(VLOOKUP(F629,Rabat!$D$10:$E$41,2,FALSE),0))</f>
        <v>254.75</v>
      </c>
      <c r="I629" t="s">
        <v>2540</v>
      </c>
      <c r="J629" t="s">
        <v>398</v>
      </c>
      <c r="K629" t="s">
        <v>2538</v>
      </c>
      <c r="L629">
        <v>1</v>
      </c>
      <c r="M629"/>
      <c r="N629" t="s">
        <v>2544</v>
      </c>
      <c r="O629" s="31" t="str">
        <f>HYPERLINK("https://b2b.kobi.pl/pl/product/10492,lampa-wiszaca-boho-brugia-s-1xe27-kobi-design?currency=PLN")</f>
        <v>https://b2b.kobi.pl/pl/product/10492,lampa-wiszaca-boho-brugia-s-1xe27-kobi-design?currency=PLN</v>
      </c>
      <c r="P629" t="s">
        <v>16</v>
      </c>
      <c r="Q629"/>
    </row>
    <row r="630" spans="1:17" ht="15" x14ac:dyDescent="0.25">
      <c r="A630" t="s">
        <v>5</v>
      </c>
      <c r="B630" t="s">
        <v>953</v>
      </c>
      <c r="C630" t="s">
        <v>889</v>
      </c>
      <c r="D630" t="s">
        <v>1151</v>
      </c>
      <c r="E630" t="s">
        <v>1152</v>
      </c>
      <c r="F630" t="s">
        <v>942</v>
      </c>
      <c r="G630" s="30">
        <v>213.21</v>
      </c>
      <c r="H630" s="29">
        <f>G630*(1-IFERROR(VLOOKUP(F630,Rabat!$D$10:$E$41,2,FALSE),0))</f>
        <v>213.21</v>
      </c>
      <c r="I630" t="s">
        <v>2540</v>
      </c>
      <c r="J630" t="s">
        <v>393</v>
      </c>
      <c r="K630" t="s">
        <v>2538</v>
      </c>
      <c r="L630">
        <v>1</v>
      </c>
      <c r="M630">
        <v>60</v>
      </c>
      <c r="N630" t="s">
        <v>2544</v>
      </c>
      <c r="O630" s="31" t="str">
        <f>HYPERLINK("https://b2b.kobi.pl/pl/product/10493,lampa-wiszaca-boho-bern-1xe27-kobi-design?currency=PLN")</f>
        <v>https://b2b.kobi.pl/pl/product/10493,lampa-wiszaca-boho-bern-1xe27-kobi-design?currency=PLN</v>
      </c>
      <c r="P630" t="s">
        <v>16</v>
      </c>
      <c r="Q630"/>
    </row>
    <row r="631" spans="1:17" ht="15" x14ac:dyDescent="0.25">
      <c r="A631" t="s">
        <v>5</v>
      </c>
      <c r="B631" t="s">
        <v>953</v>
      </c>
      <c r="C631" t="s">
        <v>889</v>
      </c>
      <c r="D631" t="s">
        <v>1155</v>
      </c>
      <c r="E631" t="s">
        <v>1156</v>
      </c>
      <c r="F631" t="s">
        <v>942</v>
      </c>
      <c r="G631" s="30">
        <v>327.20999999999998</v>
      </c>
      <c r="H631" s="29">
        <f>G631*(1-IFERROR(VLOOKUP(F631,Rabat!$D$10:$E$41,2,FALSE),0))</f>
        <v>327.20999999999998</v>
      </c>
      <c r="I631" t="s">
        <v>2540</v>
      </c>
      <c r="J631" t="s">
        <v>395</v>
      </c>
      <c r="K631" t="s">
        <v>2538</v>
      </c>
      <c r="L631">
        <v>1</v>
      </c>
      <c r="M631">
        <v>21</v>
      </c>
      <c r="N631" t="s">
        <v>2544</v>
      </c>
      <c r="O631" s="31" t="str">
        <f>HYPERLINK("https://b2b.kobi.pl/pl/product/10494,lampa-wiszaca-boho-bonn-1xe27-kobi-design?currency=PLN")</f>
        <v>https://b2b.kobi.pl/pl/product/10494,lampa-wiszaca-boho-bonn-1xe27-kobi-design?currency=PLN</v>
      </c>
      <c r="P631" t="s">
        <v>16</v>
      </c>
      <c r="Q631"/>
    </row>
    <row r="632" spans="1:17" ht="15" x14ac:dyDescent="0.25">
      <c r="A632" t="s">
        <v>5</v>
      </c>
      <c r="B632" t="s">
        <v>953</v>
      </c>
      <c r="C632" t="s">
        <v>889</v>
      </c>
      <c r="D632" t="s">
        <v>1145</v>
      </c>
      <c r="E632" t="s">
        <v>1146</v>
      </c>
      <c r="F632" t="s">
        <v>942</v>
      </c>
      <c r="G632" s="30">
        <v>270.63</v>
      </c>
      <c r="H632" s="29">
        <f>G632*(1-IFERROR(VLOOKUP(F632,Rabat!$D$10:$E$41,2,FALSE),0))</f>
        <v>270.63</v>
      </c>
      <c r="I632" t="s">
        <v>2540</v>
      </c>
      <c r="J632" t="s">
        <v>392</v>
      </c>
      <c r="K632" t="s">
        <v>2538</v>
      </c>
      <c r="L632">
        <v>1</v>
      </c>
      <c r="M632">
        <v>30</v>
      </c>
      <c r="N632" t="s">
        <v>2544</v>
      </c>
      <c r="O632" s="31" t="str">
        <f>HYPERLINK("https://b2b.kobi.pl/pl/product/10495,lampa-wiszaca-boho-beirut-1xe27-kobi-design?currency=PLN")</f>
        <v>https://b2b.kobi.pl/pl/product/10495,lampa-wiszaca-boho-beirut-1xe27-kobi-design?currency=PLN</v>
      </c>
      <c r="P632" t="s">
        <v>16</v>
      </c>
      <c r="Q632"/>
    </row>
    <row r="633" spans="1:17" ht="15" x14ac:dyDescent="0.25">
      <c r="A633" t="s">
        <v>5</v>
      </c>
      <c r="B633" t="s">
        <v>953</v>
      </c>
      <c r="C633" t="s">
        <v>889</v>
      </c>
      <c r="D633" t="s">
        <v>1137</v>
      </c>
      <c r="E633" t="s">
        <v>1138</v>
      </c>
      <c r="F633" t="s">
        <v>942</v>
      </c>
      <c r="G633" s="30">
        <v>276.20999999999998</v>
      </c>
      <c r="H633" s="29">
        <f>G633*(1-IFERROR(VLOOKUP(F633,Rabat!$D$10:$E$41,2,FALSE),0))</f>
        <v>276.20999999999998</v>
      </c>
      <c r="I633" t="s">
        <v>2540</v>
      </c>
      <c r="J633" t="s">
        <v>390</v>
      </c>
      <c r="K633" t="s">
        <v>2538</v>
      </c>
      <c r="L633">
        <v>1</v>
      </c>
      <c r="M633">
        <v>36</v>
      </c>
      <c r="N633" t="s">
        <v>2544</v>
      </c>
      <c r="O633" s="31" t="str">
        <f>HYPERLINK("https://b2b.kobi.pl/pl/product/10496,lampa-wiszaca-boho-baku-m-1xe27-kobi-design?currency=PLN")</f>
        <v>https://b2b.kobi.pl/pl/product/10496,lampa-wiszaca-boho-baku-m-1xe27-kobi-design?currency=PLN</v>
      </c>
      <c r="P633" t="s">
        <v>16</v>
      </c>
      <c r="Q633"/>
    </row>
    <row r="634" spans="1:17" ht="15" x14ac:dyDescent="0.25">
      <c r="A634" t="s">
        <v>5</v>
      </c>
      <c r="B634" t="s">
        <v>953</v>
      </c>
      <c r="C634" t="s">
        <v>889</v>
      </c>
      <c r="D634" t="s">
        <v>1141</v>
      </c>
      <c r="E634" t="s">
        <v>1142</v>
      </c>
      <c r="F634" t="s">
        <v>942</v>
      </c>
      <c r="G634" s="30">
        <v>215.38</v>
      </c>
      <c r="H634" s="29">
        <f>G634*(1-IFERROR(VLOOKUP(F634,Rabat!$D$10:$E$41,2,FALSE),0))</f>
        <v>215.38</v>
      </c>
      <c r="I634" t="s">
        <v>2540</v>
      </c>
      <c r="J634" t="s">
        <v>391</v>
      </c>
      <c r="K634" t="s">
        <v>2538</v>
      </c>
      <c r="L634">
        <v>1</v>
      </c>
      <c r="M634">
        <v>64</v>
      </c>
      <c r="N634" t="s">
        <v>2544</v>
      </c>
      <c r="O634" s="31" t="str">
        <f>HYPERLINK("https://b2b.kobi.pl/pl/product/10497,lampa-wiszaca-boho-baku-s-1xe27-kobi-design?currency=PLN")</f>
        <v>https://b2b.kobi.pl/pl/product/10497,lampa-wiszaca-boho-baku-s-1xe27-kobi-design?currency=PLN</v>
      </c>
      <c r="P634" t="s">
        <v>16</v>
      </c>
      <c r="Q634"/>
    </row>
    <row r="635" spans="1:17" ht="15" x14ac:dyDescent="0.25">
      <c r="A635" t="s">
        <v>5</v>
      </c>
      <c r="B635" t="s">
        <v>953</v>
      </c>
      <c r="C635" t="s">
        <v>889</v>
      </c>
      <c r="D635" t="s">
        <v>1185</v>
      </c>
      <c r="E635" t="s">
        <v>1186</v>
      </c>
      <c r="F635" t="s">
        <v>942</v>
      </c>
      <c r="G635" s="30">
        <v>187.88</v>
      </c>
      <c r="H635" s="29">
        <f>G635*(1-IFERROR(VLOOKUP(F635,Rabat!$D$10:$E$41,2,FALSE),0))</f>
        <v>187.88</v>
      </c>
      <c r="I635" t="s">
        <v>2540</v>
      </c>
      <c r="J635" t="s">
        <v>401</v>
      </c>
      <c r="K635" t="s">
        <v>2538</v>
      </c>
      <c r="L635">
        <v>1</v>
      </c>
      <c r="M635">
        <v>42</v>
      </c>
      <c r="N635" t="s">
        <v>2544</v>
      </c>
      <c r="O635" s="31" t="str">
        <f>HYPERLINK("https://b2b.kobi.pl/pl/product/10498,lampa-wiszaca-boho-riga-1xe27-kobi-design?currency=PLN")</f>
        <v>https://b2b.kobi.pl/pl/product/10498,lampa-wiszaca-boho-riga-1xe27-kobi-design?currency=PLN</v>
      </c>
      <c r="P635" t="s">
        <v>16</v>
      </c>
      <c r="Q635"/>
    </row>
    <row r="636" spans="1:17" ht="15" x14ac:dyDescent="0.25">
      <c r="A636" t="s">
        <v>5</v>
      </c>
      <c r="B636" t="s">
        <v>953</v>
      </c>
      <c r="C636" t="s">
        <v>889</v>
      </c>
      <c r="D636" t="s">
        <v>1187</v>
      </c>
      <c r="E636" t="s">
        <v>1188</v>
      </c>
      <c r="F636" t="s">
        <v>942</v>
      </c>
      <c r="G636" s="30">
        <v>172.5</v>
      </c>
      <c r="H636" s="29">
        <f>G636*(1-IFERROR(VLOOKUP(F636,Rabat!$D$10:$E$41,2,FALSE),0))</f>
        <v>172.5</v>
      </c>
      <c r="I636" t="s">
        <v>2540</v>
      </c>
      <c r="J636" t="s">
        <v>402</v>
      </c>
      <c r="K636" t="s">
        <v>2538</v>
      </c>
      <c r="L636">
        <v>1</v>
      </c>
      <c r="M636"/>
      <c r="N636" t="s">
        <v>2544</v>
      </c>
      <c r="O636" s="31" t="str">
        <f>HYPERLINK("https://b2b.kobi.pl/pl/product/10499,lampa-wiszaca-boho-ronda-1xe27-kobi-design?currency=PLN")</f>
        <v>https://b2b.kobi.pl/pl/product/10499,lampa-wiszaca-boho-ronda-1xe27-kobi-design?currency=PLN</v>
      </c>
      <c r="P636" t="s">
        <v>16</v>
      </c>
      <c r="Q636"/>
    </row>
    <row r="637" spans="1:17" ht="15" x14ac:dyDescent="0.25">
      <c r="A637" t="s">
        <v>5</v>
      </c>
      <c r="B637" t="s">
        <v>953</v>
      </c>
      <c r="C637" t="s">
        <v>889</v>
      </c>
      <c r="D637" t="s">
        <v>1181</v>
      </c>
      <c r="E637" t="s">
        <v>1182</v>
      </c>
      <c r="F637" t="s">
        <v>942</v>
      </c>
      <c r="G637" s="30">
        <v>321.58</v>
      </c>
      <c r="H637" s="29">
        <f>G637*(1-IFERROR(VLOOKUP(F637,Rabat!$D$10:$E$41,2,FALSE),0))</f>
        <v>321.58</v>
      </c>
      <c r="I637" t="s">
        <v>2540</v>
      </c>
      <c r="J637" t="s">
        <v>399</v>
      </c>
      <c r="K637" t="s">
        <v>2538</v>
      </c>
      <c r="L637">
        <v>1</v>
      </c>
      <c r="M637"/>
      <c r="N637" t="s">
        <v>2544</v>
      </c>
      <c r="O637" s="31" t="str">
        <f>HYPERLINK("https://b2b.kobi.pl/pl/product/10500,lampa-wiszaca-boho-rango-1xe27-kobi-design?currency=PLN")</f>
        <v>https://b2b.kobi.pl/pl/product/10500,lampa-wiszaca-boho-rango-1xe27-kobi-design?currency=PLN</v>
      </c>
      <c r="P637" t="s">
        <v>16</v>
      </c>
      <c r="Q637"/>
    </row>
    <row r="638" spans="1:17" ht="15" x14ac:dyDescent="0.25">
      <c r="A638" t="s">
        <v>5</v>
      </c>
      <c r="B638" t="s">
        <v>953</v>
      </c>
      <c r="C638" t="s">
        <v>889</v>
      </c>
      <c r="D638" t="s">
        <v>1183</v>
      </c>
      <c r="E638" t="s">
        <v>1184</v>
      </c>
      <c r="F638" t="s">
        <v>942</v>
      </c>
      <c r="G638" s="30">
        <v>212.5</v>
      </c>
      <c r="H638" s="29">
        <f>G638*(1-IFERROR(VLOOKUP(F638,Rabat!$D$10:$E$41,2,FALSE),0))</f>
        <v>212.5</v>
      </c>
      <c r="I638" t="s">
        <v>2540</v>
      </c>
      <c r="J638" t="s">
        <v>400</v>
      </c>
      <c r="K638" t="s">
        <v>2538</v>
      </c>
      <c r="L638">
        <v>1</v>
      </c>
      <c r="M638"/>
      <c r="N638" t="s">
        <v>2544</v>
      </c>
      <c r="O638" s="31" t="str">
        <f>HYPERLINK("https://b2b.kobi.pl/pl/product/10501,lampa-wiszaca-boho-rennes-1xe27-kobi-design?currency=PLN")</f>
        <v>https://b2b.kobi.pl/pl/product/10501,lampa-wiszaca-boho-rennes-1xe27-kobi-design?currency=PLN</v>
      </c>
      <c r="P638" t="s">
        <v>16</v>
      </c>
      <c r="Q638"/>
    </row>
    <row r="639" spans="1:17" ht="15" x14ac:dyDescent="0.25">
      <c r="A639" t="s">
        <v>5</v>
      </c>
      <c r="B639" t="s">
        <v>953</v>
      </c>
      <c r="C639" t="s">
        <v>889</v>
      </c>
      <c r="D639" t="s">
        <v>1191</v>
      </c>
      <c r="E639" t="s">
        <v>1192</v>
      </c>
      <c r="F639" t="s">
        <v>942</v>
      </c>
      <c r="G639" s="30">
        <v>289.04000000000002</v>
      </c>
      <c r="H639" s="29">
        <f>G639*(1-IFERROR(VLOOKUP(F639,Rabat!$D$10:$E$41,2,FALSE),0))</f>
        <v>289.04000000000002</v>
      </c>
      <c r="I639" t="s">
        <v>2540</v>
      </c>
      <c r="J639" t="s">
        <v>404</v>
      </c>
      <c r="K639" t="s">
        <v>2538</v>
      </c>
      <c r="L639">
        <v>1</v>
      </c>
      <c r="M639"/>
      <c r="N639" t="s">
        <v>2544</v>
      </c>
      <c r="O639" s="31" t="str">
        <f>HYPERLINK("https://b2b.kobi.pl/pl/product/10502,lampa-wiszaca-boho-siena-3xe27-kobi-design?currency=PLN")</f>
        <v>https://b2b.kobi.pl/pl/product/10502,lampa-wiszaca-boho-siena-3xe27-kobi-design?currency=PLN</v>
      </c>
      <c r="P639" t="s">
        <v>16</v>
      </c>
      <c r="Q639"/>
    </row>
    <row r="640" spans="1:17" ht="15" x14ac:dyDescent="0.25">
      <c r="A640" t="s">
        <v>5</v>
      </c>
      <c r="B640" t="s">
        <v>953</v>
      </c>
      <c r="C640" t="s">
        <v>889</v>
      </c>
      <c r="D640" t="s">
        <v>1189</v>
      </c>
      <c r="E640" t="s">
        <v>1190</v>
      </c>
      <c r="F640" t="s">
        <v>942</v>
      </c>
      <c r="G640" s="30">
        <v>258.33</v>
      </c>
      <c r="H640" s="29">
        <f>G640*(1-IFERROR(VLOOKUP(F640,Rabat!$D$10:$E$41,2,FALSE),0))</f>
        <v>258.33</v>
      </c>
      <c r="I640" t="s">
        <v>2540</v>
      </c>
      <c r="J640" t="s">
        <v>403</v>
      </c>
      <c r="K640" t="s">
        <v>2538</v>
      </c>
      <c r="L640">
        <v>1</v>
      </c>
      <c r="M640">
        <v>24</v>
      </c>
      <c r="N640" t="s">
        <v>2544</v>
      </c>
      <c r="O640" s="31" t="str">
        <f>HYPERLINK("https://b2b.kobi.pl/pl/product/10503,lampa-wiszaca-boho-sibu-1xe27-kobi-design?currency=PLN")</f>
        <v>https://b2b.kobi.pl/pl/product/10503,lampa-wiszaca-boho-sibu-1xe27-kobi-design?currency=PLN</v>
      </c>
      <c r="P640" t="s">
        <v>16</v>
      </c>
      <c r="Q640"/>
    </row>
    <row r="641" spans="1:17" ht="15" x14ac:dyDescent="0.25">
      <c r="A641" t="s">
        <v>5</v>
      </c>
      <c r="B641" t="s">
        <v>953</v>
      </c>
      <c r="C641" t="s">
        <v>889</v>
      </c>
      <c r="D641" t="s">
        <v>1193</v>
      </c>
      <c r="E641" t="s">
        <v>1194</v>
      </c>
      <c r="F641" t="s">
        <v>942</v>
      </c>
      <c r="G641" s="30">
        <v>352.29</v>
      </c>
      <c r="H641" s="29">
        <f>G641*(1-IFERROR(VLOOKUP(F641,Rabat!$D$10:$E$41,2,FALSE),0))</f>
        <v>352.29</v>
      </c>
      <c r="I641" t="s">
        <v>2540</v>
      </c>
      <c r="J641" t="s">
        <v>405</v>
      </c>
      <c r="K641" t="s">
        <v>2538</v>
      </c>
      <c r="L641">
        <v>1</v>
      </c>
      <c r="M641">
        <v>16</v>
      </c>
      <c r="N641" t="s">
        <v>2544</v>
      </c>
      <c r="O641" s="31" t="str">
        <f>HYPERLINK("https://b2b.kobi.pl/pl/product/10504,lampa-wiszaca-boho-verona-1xe27-kobi-design?currency=PLN")</f>
        <v>https://b2b.kobi.pl/pl/product/10504,lampa-wiszaca-boho-verona-1xe27-kobi-design?currency=PLN</v>
      </c>
      <c r="P641" t="s">
        <v>16</v>
      </c>
      <c r="Q641"/>
    </row>
    <row r="642" spans="1:17" ht="15" x14ac:dyDescent="0.25">
      <c r="A642" t="s">
        <v>5</v>
      </c>
      <c r="B642" t="s">
        <v>953</v>
      </c>
      <c r="C642" t="s">
        <v>889</v>
      </c>
      <c r="D642" t="s">
        <v>1195</v>
      </c>
      <c r="E642" t="s">
        <v>1196</v>
      </c>
      <c r="F642" t="s">
        <v>942</v>
      </c>
      <c r="G642" s="30">
        <v>258.33</v>
      </c>
      <c r="H642" s="29">
        <f>G642*(1-IFERROR(VLOOKUP(F642,Rabat!$D$10:$E$41,2,FALSE),0))</f>
        <v>258.33</v>
      </c>
      <c r="I642" t="s">
        <v>2540</v>
      </c>
      <c r="J642" t="s">
        <v>406</v>
      </c>
      <c r="K642" t="s">
        <v>2538</v>
      </c>
      <c r="L642">
        <v>1</v>
      </c>
      <c r="M642"/>
      <c r="N642" t="s">
        <v>2544</v>
      </c>
      <c r="O642" s="31" t="str">
        <f>HYPERLINK("https://b2b.kobi.pl/pl/product/10505,lampa-wiszaca-boho-vienna-1xe27-kobi-design?currency=PLN")</f>
        <v>https://b2b.kobi.pl/pl/product/10505,lampa-wiszaca-boho-vienna-1xe27-kobi-design?currency=PLN</v>
      </c>
      <c r="P642" t="s">
        <v>16</v>
      </c>
      <c r="Q642"/>
    </row>
    <row r="643" spans="1:17" ht="15" x14ac:dyDescent="0.25">
      <c r="A643" t="s">
        <v>5</v>
      </c>
      <c r="B643" t="s">
        <v>953</v>
      </c>
      <c r="C643" t="s">
        <v>2427</v>
      </c>
      <c r="D643" t="s">
        <v>2486</v>
      </c>
      <c r="E643" t="s">
        <v>2487</v>
      </c>
      <c r="F643" t="s">
        <v>942</v>
      </c>
      <c r="G643" s="30">
        <v>14</v>
      </c>
      <c r="H643" s="29">
        <f>G643*(1-IFERROR(VLOOKUP(F643,Rabat!$D$10:$E$41,2,FALSE),0))</f>
        <v>14</v>
      </c>
      <c r="I643" t="s">
        <v>2540</v>
      </c>
      <c r="J643" t="s">
        <v>2670</v>
      </c>
      <c r="K643" t="s">
        <v>2538</v>
      </c>
      <c r="L643">
        <v>6</v>
      </c>
      <c r="M643"/>
      <c r="N643" t="s">
        <v>2544</v>
      </c>
      <c r="O643"/>
      <c r="P643" t="s">
        <v>16</v>
      </c>
      <c r="Q643" t="s">
        <v>2700</v>
      </c>
    </row>
    <row r="644" spans="1:17" ht="15" x14ac:dyDescent="0.25">
      <c r="A644" t="s">
        <v>5</v>
      </c>
      <c r="B644" t="s">
        <v>953</v>
      </c>
      <c r="C644" t="s">
        <v>858</v>
      </c>
      <c r="D644" t="s">
        <v>1724</v>
      </c>
      <c r="E644" t="s">
        <v>1725</v>
      </c>
      <c r="F644" t="s">
        <v>1717</v>
      </c>
      <c r="G644" s="30">
        <v>48</v>
      </c>
      <c r="H644" s="29">
        <f>G644*(1-IFERROR(VLOOKUP(F644,Rabat!$D$10:$E$41,2,FALSE),0))</f>
        <v>48</v>
      </c>
      <c r="I644" t="s">
        <v>2540</v>
      </c>
      <c r="J644" t="s">
        <v>2602</v>
      </c>
      <c r="K644" t="s">
        <v>2538</v>
      </c>
      <c r="L644">
        <v>30</v>
      </c>
      <c r="M644">
        <v>1200</v>
      </c>
      <c r="N644" t="s">
        <v>2544</v>
      </c>
      <c r="O644" s="31" t="str">
        <f>HYPERLINK("https://b2b.kobi.pl/pl/product/12274,oprawa-meblowa-led-wl-8w-3cct-kobi?currency=PLN")</f>
        <v>https://b2b.kobi.pl/pl/product/12274,oprawa-meblowa-led-wl-8w-3cct-kobi?currency=PLN</v>
      </c>
      <c r="P644" s="31" t="str">
        <f>HYPERLINK("https://eprel.ec.europa.eu/qr/2213266")</f>
        <v>https://eprel.ec.europa.eu/qr/2213266</v>
      </c>
      <c r="Q644"/>
    </row>
    <row r="645" spans="1:17" ht="15" x14ac:dyDescent="0.25">
      <c r="A645" t="s">
        <v>4</v>
      </c>
      <c r="B645" t="s">
        <v>1837</v>
      </c>
      <c r="C645" t="s">
        <v>858</v>
      </c>
      <c r="D645" t="s">
        <v>1838</v>
      </c>
      <c r="E645" t="s">
        <v>1839</v>
      </c>
      <c r="F645" t="s">
        <v>1840</v>
      </c>
      <c r="G645" s="30">
        <v>67.89</v>
      </c>
      <c r="H645" s="29">
        <f>G645*(1-IFERROR(VLOOKUP(F645,Rabat!$D$10:$E$41,2,FALSE),0))</f>
        <v>67.89</v>
      </c>
      <c r="I645" t="s">
        <v>2540</v>
      </c>
      <c r="J645" t="s">
        <v>227</v>
      </c>
      <c r="K645" t="s">
        <v>2538</v>
      </c>
      <c r="L645">
        <v>50</v>
      </c>
      <c r="M645">
        <v>700</v>
      </c>
      <c r="N645" t="s">
        <v>2544</v>
      </c>
      <c r="O645" s="31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645" t="s">
        <v>16</v>
      </c>
      <c r="Q645"/>
    </row>
    <row r="646" spans="1:17" ht="15" x14ac:dyDescent="0.25">
      <c r="A646" t="s">
        <v>4</v>
      </c>
      <c r="B646" t="s">
        <v>1837</v>
      </c>
      <c r="C646" t="s">
        <v>858</v>
      </c>
      <c r="D646" t="s">
        <v>1841</v>
      </c>
      <c r="E646" t="s">
        <v>1842</v>
      </c>
      <c r="F646" t="s">
        <v>1840</v>
      </c>
      <c r="G646" s="30">
        <v>67.89</v>
      </c>
      <c r="H646" s="29">
        <f>G646*(1-IFERROR(VLOOKUP(F646,Rabat!$D$10:$E$41,2,FALSE),0))</f>
        <v>67.89</v>
      </c>
      <c r="I646" t="s">
        <v>2540</v>
      </c>
      <c r="J646" t="s">
        <v>228</v>
      </c>
      <c r="K646" t="s">
        <v>2538</v>
      </c>
      <c r="L646">
        <v>50</v>
      </c>
      <c r="M646">
        <v>700</v>
      </c>
      <c r="N646" t="s">
        <v>2544</v>
      </c>
      <c r="O646" s="31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646" t="s">
        <v>16</v>
      </c>
      <c r="Q646"/>
    </row>
    <row r="647" spans="1:17" ht="15" x14ac:dyDescent="0.25">
      <c r="A647" t="s">
        <v>4</v>
      </c>
      <c r="B647" t="s">
        <v>1837</v>
      </c>
      <c r="C647" t="s">
        <v>1843</v>
      </c>
      <c r="D647" t="s">
        <v>1844</v>
      </c>
      <c r="E647" t="s">
        <v>1845</v>
      </c>
      <c r="F647" t="s">
        <v>1840</v>
      </c>
      <c r="G647" s="30">
        <v>447</v>
      </c>
      <c r="H647" s="29">
        <f>G647*(1-IFERROR(VLOOKUP(F647,Rabat!$D$10:$E$41,2,FALSE),0))</f>
        <v>447</v>
      </c>
      <c r="I647" t="s">
        <v>2540</v>
      </c>
      <c r="J647" t="s">
        <v>421</v>
      </c>
      <c r="K647" t="s">
        <v>2538</v>
      </c>
      <c r="L647">
        <v>12</v>
      </c>
      <c r="M647"/>
      <c r="N647" t="s">
        <v>2539</v>
      </c>
      <c r="O647" s="31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647" t="s">
        <v>16</v>
      </c>
      <c r="Q647" t="s">
        <v>2700</v>
      </c>
    </row>
    <row r="648" spans="1:17" ht="15" x14ac:dyDescent="0.25">
      <c r="A648" t="s">
        <v>4</v>
      </c>
      <c r="B648" t="s">
        <v>1837</v>
      </c>
      <c r="C648" t="s">
        <v>858</v>
      </c>
      <c r="D648" t="s">
        <v>1910</v>
      </c>
      <c r="E648" t="s">
        <v>1911</v>
      </c>
      <c r="F648" t="s">
        <v>1324</v>
      </c>
      <c r="G648" s="30">
        <v>135</v>
      </c>
      <c r="H648" s="29">
        <f>G648*(1-IFERROR(VLOOKUP(F648,Rabat!$D$10:$E$41,2,FALSE),0))</f>
        <v>135</v>
      </c>
      <c r="I648" t="s">
        <v>2540</v>
      </c>
      <c r="J648" t="s">
        <v>2626</v>
      </c>
      <c r="K648" t="s">
        <v>2538</v>
      </c>
      <c r="L648"/>
      <c r="M648"/>
      <c r="N648" t="s">
        <v>2544</v>
      </c>
      <c r="O648" s="31" t="str">
        <f>HYPERLINK("https://b2b.kobi.pl/pl/product/12094,szynoprzewod-3-obwodowy-1m-bialy-kobi?currency=PLN")</f>
        <v>https://b2b.kobi.pl/pl/product/12094,szynoprzewod-3-obwodowy-1m-bialy-kobi?currency=PLN</v>
      </c>
      <c r="P648" t="s">
        <v>16</v>
      </c>
      <c r="Q648"/>
    </row>
    <row r="649" spans="1:17" ht="15" x14ac:dyDescent="0.25">
      <c r="A649" t="s">
        <v>4</v>
      </c>
      <c r="B649" t="s">
        <v>1837</v>
      </c>
      <c r="C649" t="s">
        <v>858</v>
      </c>
      <c r="D649" t="s">
        <v>1912</v>
      </c>
      <c r="E649" t="s">
        <v>1913</v>
      </c>
      <c r="F649" t="s">
        <v>1840</v>
      </c>
      <c r="G649" s="30">
        <v>135</v>
      </c>
      <c r="H649" s="29">
        <f>G649*(1-IFERROR(VLOOKUP(F649,Rabat!$D$10:$E$41,2,FALSE),0))</f>
        <v>135</v>
      </c>
      <c r="I649" t="s">
        <v>2540</v>
      </c>
      <c r="J649" t="s">
        <v>2627</v>
      </c>
      <c r="K649" t="s">
        <v>2538</v>
      </c>
      <c r="L649"/>
      <c r="M649"/>
      <c r="N649" t="s">
        <v>2544</v>
      </c>
      <c r="O649" s="31" t="str">
        <f>HYPERLINK("https://b2b.kobi.pl/pl/product/12095,szynoprzewod-3-obwodowy-1m-czarny-kobi?currency=PLN")</f>
        <v>https://b2b.kobi.pl/pl/product/12095,szynoprzewod-3-obwodowy-1m-czarny-kobi?currency=PLN</v>
      </c>
      <c r="P649" t="s">
        <v>16</v>
      </c>
      <c r="Q649"/>
    </row>
    <row r="650" spans="1:17" ht="15" x14ac:dyDescent="0.25">
      <c r="A650" t="s">
        <v>4</v>
      </c>
      <c r="B650" t="s">
        <v>1321</v>
      </c>
      <c r="C650" t="s">
        <v>858</v>
      </c>
      <c r="D650" t="s">
        <v>1322</v>
      </c>
      <c r="E650" t="s">
        <v>1323</v>
      </c>
      <c r="F650" t="s">
        <v>1324</v>
      </c>
      <c r="G650" s="30">
        <v>82.3</v>
      </c>
      <c r="H650" s="29">
        <f>G650*(1-IFERROR(VLOOKUP(F650,Rabat!$D$10:$E$41,2,FALSE),0))</f>
        <v>82.3</v>
      </c>
      <c r="I650" t="s">
        <v>2540</v>
      </c>
      <c r="J650" t="s">
        <v>548</v>
      </c>
      <c r="K650" t="s">
        <v>2538</v>
      </c>
      <c r="L650">
        <v>25</v>
      </c>
      <c r="M650"/>
      <c r="N650" t="s">
        <v>2544</v>
      </c>
      <c r="O650" s="31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650" t="s">
        <v>16</v>
      </c>
      <c r="Q650"/>
    </row>
    <row r="651" spans="1:17" ht="15" x14ac:dyDescent="0.25">
      <c r="A651" t="s">
        <v>4</v>
      </c>
      <c r="B651" t="s">
        <v>1321</v>
      </c>
      <c r="C651" t="s">
        <v>858</v>
      </c>
      <c r="D651" t="s">
        <v>1327</v>
      </c>
      <c r="E651" t="s">
        <v>1328</v>
      </c>
      <c r="F651" t="s">
        <v>1324</v>
      </c>
      <c r="G651" s="30">
        <v>82.3</v>
      </c>
      <c r="H651" s="29">
        <f>G651*(1-IFERROR(VLOOKUP(F651,Rabat!$D$10:$E$41,2,FALSE),0))</f>
        <v>82.3</v>
      </c>
      <c r="I651" t="s">
        <v>2540</v>
      </c>
      <c r="J651" t="s">
        <v>549</v>
      </c>
      <c r="K651" t="s">
        <v>2538</v>
      </c>
      <c r="L651">
        <v>25</v>
      </c>
      <c r="M651"/>
      <c r="N651" t="s">
        <v>2544</v>
      </c>
      <c r="O651" s="31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651" t="s">
        <v>16</v>
      </c>
      <c r="Q651"/>
    </row>
    <row r="652" spans="1:17" ht="15" x14ac:dyDescent="0.25">
      <c r="A652" t="s">
        <v>4</v>
      </c>
      <c r="B652" t="s">
        <v>1321</v>
      </c>
      <c r="C652" t="s">
        <v>858</v>
      </c>
      <c r="D652" t="s">
        <v>1331</v>
      </c>
      <c r="E652" t="s">
        <v>1332</v>
      </c>
      <c r="F652" t="s">
        <v>1324</v>
      </c>
      <c r="G652" s="30">
        <v>27</v>
      </c>
      <c r="H652" s="29">
        <f>G652*(1-IFERROR(VLOOKUP(F652,Rabat!$D$10:$E$41,2,FALSE),0))</f>
        <v>27</v>
      </c>
      <c r="I652" t="s">
        <v>2540</v>
      </c>
      <c r="J652" t="s">
        <v>540</v>
      </c>
      <c r="K652" t="s">
        <v>2538</v>
      </c>
      <c r="L652">
        <v>100</v>
      </c>
      <c r="M652"/>
      <c r="N652" t="s">
        <v>2544</v>
      </c>
      <c r="O652" s="31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652" t="s">
        <v>16</v>
      </c>
      <c r="Q652"/>
    </row>
    <row r="653" spans="1:17" ht="15" x14ac:dyDescent="0.25">
      <c r="A653" t="s">
        <v>4</v>
      </c>
      <c r="B653" t="s">
        <v>1321</v>
      </c>
      <c r="C653" t="s">
        <v>858</v>
      </c>
      <c r="D653" t="s">
        <v>1335</v>
      </c>
      <c r="E653" t="s">
        <v>1336</v>
      </c>
      <c r="F653" t="s">
        <v>1324</v>
      </c>
      <c r="G653" s="30">
        <v>27</v>
      </c>
      <c r="H653" s="29">
        <f>G653*(1-IFERROR(VLOOKUP(F653,Rabat!$D$10:$E$41,2,FALSE),0))</f>
        <v>27</v>
      </c>
      <c r="I653" t="s">
        <v>2540</v>
      </c>
      <c r="J653" t="s">
        <v>541</v>
      </c>
      <c r="K653" t="s">
        <v>2538</v>
      </c>
      <c r="L653">
        <v>100</v>
      </c>
      <c r="M653"/>
      <c r="N653" t="s">
        <v>2544</v>
      </c>
      <c r="O653" s="31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653" t="s">
        <v>16</v>
      </c>
      <c r="Q653"/>
    </row>
    <row r="654" spans="1:17" ht="15" x14ac:dyDescent="0.25">
      <c r="A654" t="s">
        <v>4</v>
      </c>
      <c r="B654" t="s">
        <v>1321</v>
      </c>
      <c r="C654" t="s">
        <v>858</v>
      </c>
      <c r="D654" t="s">
        <v>1339</v>
      </c>
      <c r="E654" t="s">
        <v>1340</v>
      </c>
      <c r="F654" t="s">
        <v>1324</v>
      </c>
      <c r="G654" s="30">
        <v>72</v>
      </c>
      <c r="H654" s="29">
        <f>G654*(1-IFERROR(VLOOKUP(F654,Rabat!$D$10:$E$41,2,FALSE),0))</f>
        <v>72</v>
      </c>
      <c r="I654" t="s">
        <v>2540</v>
      </c>
      <c r="J654" t="s">
        <v>542</v>
      </c>
      <c r="K654" t="s">
        <v>2538</v>
      </c>
      <c r="L654">
        <v>50</v>
      </c>
      <c r="M654"/>
      <c r="N654" t="s">
        <v>2544</v>
      </c>
      <c r="O654" s="31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654" t="s">
        <v>16</v>
      </c>
      <c r="Q654"/>
    </row>
    <row r="655" spans="1:17" ht="15" x14ac:dyDescent="0.25">
      <c r="A655" t="s">
        <v>4</v>
      </c>
      <c r="B655" t="s">
        <v>1321</v>
      </c>
      <c r="C655" t="s">
        <v>858</v>
      </c>
      <c r="D655" t="s">
        <v>1345</v>
      </c>
      <c r="E655" t="s">
        <v>1346</v>
      </c>
      <c r="F655" t="s">
        <v>1324</v>
      </c>
      <c r="G655" s="30">
        <v>72</v>
      </c>
      <c r="H655" s="29">
        <f>G655*(1-IFERROR(VLOOKUP(F655,Rabat!$D$10:$E$41,2,FALSE),0))</f>
        <v>72</v>
      </c>
      <c r="I655" t="s">
        <v>2540</v>
      </c>
      <c r="J655" t="s">
        <v>543</v>
      </c>
      <c r="K655" t="s">
        <v>2538</v>
      </c>
      <c r="L655">
        <v>50</v>
      </c>
      <c r="M655"/>
      <c r="N655" t="s">
        <v>2544</v>
      </c>
      <c r="O655" s="31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655" t="s">
        <v>16</v>
      </c>
      <c r="Q655"/>
    </row>
    <row r="656" spans="1:17" ht="15" x14ac:dyDescent="0.25">
      <c r="A656" t="s">
        <v>4</v>
      </c>
      <c r="B656" t="s">
        <v>1321</v>
      </c>
      <c r="C656" t="s">
        <v>858</v>
      </c>
      <c r="D656" t="s">
        <v>1359</v>
      </c>
      <c r="E656" t="s">
        <v>1360</v>
      </c>
      <c r="F656" t="s">
        <v>1324</v>
      </c>
      <c r="G656" s="30">
        <v>122</v>
      </c>
      <c r="H656" s="29">
        <f>G656*(1-IFERROR(VLOOKUP(F656,Rabat!$D$10:$E$41,2,FALSE),0))</f>
        <v>122</v>
      </c>
      <c r="I656" t="s">
        <v>2540</v>
      </c>
      <c r="J656" t="s">
        <v>550</v>
      </c>
      <c r="K656" t="s">
        <v>2538</v>
      </c>
      <c r="L656">
        <v>25</v>
      </c>
      <c r="M656"/>
      <c r="N656" t="s">
        <v>2544</v>
      </c>
      <c r="O656" s="31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656" t="s">
        <v>16</v>
      </c>
      <c r="Q656"/>
    </row>
    <row r="657" spans="1:17" ht="15" x14ac:dyDescent="0.25">
      <c r="A657" t="s">
        <v>4</v>
      </c>
      <c r="B657" t="s">
        <v>1321</v>
      </c>
      <c r="C657" t="s">
        <v>858</v>
      </c>
      <c r="D657" t="s">
        <v>1363</v>
      </c>
      <c r="E657" t="s">
        <v>1364</v>
      </c>
      <c r="F657" t="s">
        <v>1324</v>
      </c>
      <c r="G657" s="30">
        <v>122</v>
      </c>
      <c r="H657" s="29">
        <f>G657*(1-IFERROR(VLOOKUP(F657,Rabat!$D$10:$E$41,2,FALSE),0))</f>
        <v>122</v>
      </c>
      <c r="I657" t="s">
        <v>2540</v>
      </c>
      <c r="J657" t="s">
        <v>551</v>
      </c>
      <c r="K657" t="s">
        <v>2538</v>
      </c>
      <c r="L657">
        <v>25</v>
      </c>
      <c r="M657"/>
      <c r="N657" t="s">
        <v>2544</v>
      </c>
      <c r="O657" s="31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657" t="s">
        <v>16</v>
      </c>
      <c r="Q657"/>
    </row>
    <row r="658" spans="1:17" ht="15" x14ac:dyDescent="0.25">
      <c r="A658" t="s">
        <v>4</v>
      </c>
      <c r="B658" t="s">
        <v>1321</v>
      </c>
      <c r="C658" t="s">
        <v>858</v>
      </c>
      <c r="D658" t="s">
        <v>1365</v>
      </c>
      <c r="E658" t="s">
        <v>1366</v>
      </c>
      <c r="F658" t="s">
        <v>1324</v>
      </c>
      <c r="G658" s="30">
        <v>167</v>
      </c>
      <c r="H658" s="29">
        <f>G658*(1-IFERROR(VLOOKUP(F658,Rabat!$D$10:$E$41,2,FALSE),0))</f>
        <v>167</v>
      </c>
      <c r="I658" t="s">
        <v>2540</v>
      </c>
      <c r="J658" t="s">
        <v>552</v>
      </c>
      <c r="K658" t="s">
        <v>2538</v>
      </c>
      <c r="L658">
        <v>10</v>
      </c>
      <c r="M658"/>
      <c r="N658" t="s">
        <v>2544</v>
      </c>
      <c r="O658" s="31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658" t="s">
        <v>16</v>
      </c>
      <c r="Q658"/>
    </row>
    <row r="659" spans="1:17" ht="15" x14ac:dyDescent="0.25">
      <c r="A659" t="s">
        <v>4</v>
      </c>
      <c r="B659" t="s">
        <v>1321</v>
      </c>
      <c r="C659" t="s">
        <v>858</v>
      </c>
      <c r="D659" t="s">
        <v>1367</v>
      </c>
      <c r="E659" t="s">
        <v>1368</v>
      </c>
      <c r="F659" t="s">
        <v>1324</v>
      </c>
      <c r="G659" s="30">
        <v>167</v>
      </c>
      <c r="H659" s="29">
        <f>G659*(1-IFERROR(VLOOKUP(F659,Rabat!$D$10:$E$41,2,FALSE),0))</f>
        <v>167</v>
      </c>
      <c r="I659" t="s">
        <v>2540</v>
      </c>
      <c r="J659" t="s">
        <v>553</v>
      </c>
      <c r="K659" t="s">
        <v>2538</v>
      </c>
      <c r="L659">
        <v>10</v>
      </c>
      <c r="M659"/>
      <c r="N659" t="s">
        <v>2544</v>
      </c>
      <c r="O659" s="31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659" t="s">
        <v>16</v>
      </c>
      <c r="Q659"/>
    </row>
    <row r="660" spans="1:17" ht="15" x14ac:dyDescent="0.25">
      <c r="A660" t="s">
        <v>4</v>
      </c>
      <c r="B660" t="s">
        <v>1321</v>
      </c>
      <c r="C660" t="s">
        <v>858</v>
      </c>
      <c r="D660" t="s">
        <v>1349</v>
      </c>
      <c r="E660" t="s">
        <v>1350</v>
      </c>
      <c r="F660" t="s">
        <v>1324</v>
      </c>
      <c r="G660" s="30">
        <v>72</v>
      </c>
      <c r="H660" s="29">
        <f>G660*(1-IFERROR(VLOOKUP(F660,Rabat!$D$10:$E$41,2,FALSE),0))</f>
        <v>72</v>
      </c>
      <c r="I660" t="s">
        <v>2540</v>
      </c>
      <c r="J660" t="s">
        <v>544</v>
      </c>
      <c r="K660" t="s">
        <v>2538</v>
      </c>
      <c r="L660">
        <v>25</v>
      </c>
      <c r="M660"/>
      <c r="N660" t="s">
        <v>2544</v>
      </c>
      <c r="O660" s="31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660" t="s">
        <v>16</v>
      </c>
      <c r="Q660"/>
    </row>
    <row r="661" spans="1:17" ht="15" x14ac:dyDescent="0.25">
      <c r="A661" t="s">
        <v>4</v>
      </c>
      <c r="B661" t="s">
        <v>1321</v>
      </c>
      <c r="C661" t="s">
        <v>858</v>
      </c>
      <c r="D661" t="s">
        <v>1351</v>
      </c>
      <c r="E661" t="s">
        <v>1352</v>
      </c>
      <c r="F661" t="s">
        <v>1324</v>
      </c>
      <c r="G661" s="30">
        <v>72</v>
      </c>
      <c r="H661" s="29">
        <f>G661*(1-IFERROR(VLOOKUP(F661,Rabat!$D$10:$E$41,2,FALSE),0))</f>
        <v>72</v>
      </c>
      <c r="I661" t="s">
        <v>2540</v>
      </c>
      <c r="J661" t="s">
        <v>545</v>
      </c>
      <c r="K661" t="s">
        <v>2538</v>
      </c>
      <c r="L661">
        <v>25</v>
      </c>
      <c r="M661"/>
      <c r="N661" t="s">
        <v>2544</v>
      </c>
      <c r="O661" s="31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661" t="s">
        <v>16</v>
      </c>
      <c r="Q661"/>
    </row>
    <row r="662" spans="1:17" ht="15" x14ac:dyDescent="0.25">
      <c r="A662" t="s">
        <v>4</v>
      </c>
      <c r="B662" t="s">
        <v>1321</v>
      </c>
      <c r="C662" t="s">
        <v>858</v>
      </c>
      <c r="D662" t="s">
        <v>1353</v>
      </c>
      <c r="E662" t="s">
        <v>1354</v>
      </c>
      <c r="F662" t="s">
        <v>1324</v>
      </c>
      <c r="G662" s="30">
        <v>72</v>
      </c>
      <c r="H662" s="29">
        <f>G662*(1-IFERROR(VLOOKUP(F662,Rabat!$D$10:$E$41,2,FALSE),0))</f>
        <v>72</v>
      </c>
      <c r="I662" t="s">
        <v>2540</v>
      </c>
      <c r="J662" t="s">
        <v>546</v>
      </c>
      <c r="K662" t="s">
        <v>2538</v>
      </c>
      <c r="L662">
        <v>25</v>
      </c>
      <c r="M662"/>
      <c r="N662" t="s">
        <v>2544</v>
      </c>
      <c r="O662" s="31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662" t="s">
        <v>16</v>
      </c>
      <c r="Q662"/>
    </row>
    <row r="663" spans="1:17" ht="15" x14ac:dyDescent="0.25">
      <c r="A663" t="s">
        <v>4</v>
      </c>
      <c r="B663" t="s">
        <v>1321</v>
      </c>
      <c r="C663" t="s">
        <v>858</v>
      </c>
      <c r="D663" t="s">
        <v>1357</v>
      </c>
      <c r="E663" t="s">
        <v>1358</v>
      </c>
      <c r="F663" t="s">
        <v>1324</v>
      </c>
      <c r="G663" s="30">
        <v>72</v>
      </c>
      <c r="H663" s="29">
        <f>G663*(1-IFERROR(VLOOKUP(F663,Rabat!$D$10:$E$41,2,FALSE),0))</f>
        <v>72</v>
      </c>
      <c r="I663" t="s">
        <v>2540</v>
      </c>
      <c r="J663" t="s">
        <v>547</v>
      </c>
      <c r="K663" t="s">
        <v>2538</v>
      </c>
      <c r="L663">
        <v>25</v>
      </c>
      <c r="M663"/>
      <c r="N663" t="s">
        <v>2544</v>
      </c>
      <c r="O663" s="31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663" t="s">
        <v>16</v>
      </c>
      <c r="Q663"/>
    </row>
    <row r="664" spans="1:17" ht="15" x14ac:dyDescent="0.25">
      <c r="A664" t="s">
        <v>4</v>
      </c>
      <c r="B664" t="s">
        <v>1321</v>
      </c>
      <c r="C664" t="s">
        <v>858</v>
      </c>
      <c r="D664" t="s">
        <v>1914</v>
      </c>
      <c r="E664" t="s">
        <v>1915</v>
      </c>
      <c r="F664" t="s">
        <v>1324</v>
      </c>
      <c r="G664" s="30">
        <v>211</v>
      </c>
      <c r="H664" s="29">
        <f>G664*(1-IFERROR(VLOOKUP(F664,Rabat!$D$10:$E$41,2,FALSE),0))</f>
        <v>211</v>
      </c>
      <c r="I664" t="s">
        <v>2540</v>
      </c>
      <c r="J664" t="s">
        <v>530</v>
      </c>
      <c r="K664" t="s">
        <v>2538</v>
      </c>
      <c r="L664">
        <v>1</v>
      </c>
      <c r="M664"/>
      <c r="N664" t="s">
        <v>2544</v>
      </c>
      <c r="O664" s="31" t="str">
        <f>HYPERLINK("https://b2b.kobi.pl/pl/product/11167,szynoprzewod-3-obwodowy-2m-bialy-kobi?currency=PLN")</f>
        <v>https://b2b.kobi.pl/pl/product/11167,szynoprzewod-3-obwodowy-2m-bialy-kobi?currency=PLN</v>
      </c>
      <c r="P664" t="s">
        <v>16</v>
      </c>
      <c r="Q664"/>
    </row>
    <row r="665" spans="1:17" ht="15" x14ac:dyDescent="0.25">
      <c r="A665" t="s">
        <v>4</v>
      </c>
      <c r="B665" t="s">
        <v>1321</v>
      </c>
      <c r="C665" t="s">
        <v>858</v>
      </c>
      <c r="D665" t="s">
        <v>1916</v>
      </c>
      <c r="E665" t="s">
        <v>1917</v>
      </c>
      <c r="F665" t="s">
        <v>1324</v>
      </c>
      <c r="G665" s="30">
        <v>211</v>
      </c>
      <c r="H665" s="29">
        <f>G665*(1-IFERROR(VLOOKUP(F665,Rabat!$D$10:$E$41,2,FALSE),0))</f>
        <v>211</v>
      </c>
      <c r="I665" t="s">
        <v>2540</v>
      </c>
      <c r="J665" t="s">
        <v>531</v>
      </c>
      <c r="K665" t="s">
        <v>2538</v>
      </c>
      <c r="L665">
        <v>1</v>
      </c>
      <c r="M665"/>
      <c r="N665" t="s">
        <v>2544</v>
      </c>
      <c r="O665" s="31" t="str">
        <f>HYPERLINK("https://b2b.kobi.pl/pl/product/11168,szynoprzewod-3-obwodowy-2m-czarny-kobi?currency=PLN")</f>
        <v>https://b2b.kobi.pl/pl/product/11168,szynoprzewod-3-obwodowy-2m-czarny-kobi?currency=PLN</v>
      </c>
      <c r="P665" t="s">
        <v>16</v>
      </c>
      <c r="Q665"/>
    </row>
    <row r="666" spans="1:17" ht="15" x14ac:dyDescent="0.25">
      <c r="A666" t="s">
        <v>4</v>
      </c>
      <c r="B666" t="s">
        <v>1321</v>
      </c>
      <c r="C666" t="s">
        <v>858</v>
      </c>
      <c r="D666" t="s">
        <v>2084</v>
      </c>
      <c r="E666" t="s">
        <v>2085</v>
      </c>
      <c r="F666" t="s">
        <v>1324</v>
      </c>
      <c r="G666" s="30">
        <v>7</v>
      </c>
      <c r="H666" s="29">
        <f>G666*(1-IFERROR(VLOOKUP(F666,Rabat!$D$10:$E$41,2,FALSE),0))</f>
        <v>7</v>
      </c>
      <c r="I666" t="s">
        <v>2540</v>
      </c>
      <c r="J666" t="s">
        <v>536</v>
      </c>
      <c r="K666" t="s">
        <v>2538</v>
      </c>
      <c r="L666">
        <v>200</v>
      </c>
      <c r="M666"/>
      <c r="N666" t="s">
        <v>2544</v>
      </c>
      <c r="O666" s="31" t="str">
        <f>HYPERLINK("https://b2b.kobi.pl/pl/product/11169,zaslepka-do-szynoprzewodu-3-obwodowego-biala-kobi?currency=PLN")</f>
        <v>https://b2b.kobi.pl/pl/product/11169,zaslepka-do-szynoprzewodu-3-obwodowego-biala-kobi?currency=PLN</v>
      </c>
      <c r="P666" t="s">
        <v>16</v>
      </c>
      <c r="Q666"/>
    </row>
    <row r="667" spans="1:17" ht="15" x14ac:dyDescent="0.25">
      <c r="A667" t="s">
        <v>4</v>
      </c>
      <c r="B667" t="s">
        <v>1321</v>
      </c>
      <c r="C667" t="s">
        <v>858</v>
      </c>
      <c r="D667" t="s">
        <v>2086</v>
      </c>
      <c r="E667" t="s">
        <v>2087</v>
      </c>
      <c r="F667" t="s">
        <v>1324</v>
      </c>
      <c r="G667" s="30">
        <v>7</v>
      </c>
      <c r="H667" s="29">
        <f>G667*(1-IFERROR(VLOOKUP(F667,Rabat!$D$10:$E$41,2,FALSE),0))</f>
        <v>7</v>
      </c>
      <c r="I667" t="s">
        <v>2540</v>
      </c>
      <c r="J667" t="s">
        <v>537</v>
      </c>
      <c r="K667" t="s">
        <v>2538</v>
      </c>
      <c r="L667">
        <v>200</v>
      </c>
      <c r="M667"/>
      <c r="N667" t="s">
        <v>2544</v>
      </c>
      <c r="O667" s="31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667" t="s">
        <v>16</v>
      </c>
      <c r="Q667"/>
    </row>
    <row r="668" spans="1:17" ht="15" x14ac:dyDescent="0.25">
      <c r="A668" t="s">
        <v>4</v>
      </c>
      <c r="B668" t="s">
        <v>1321</v>
      </c>
      <c r="C668" t="s">
        <v>858</v>
      </c>
      <c r="D668" t="s">
        <v>2076</v>
      </c>
      <c r="E668" t="s">
        <v>2077</v>
      </c>
      <c r="F668" t="s">
        <v>1324</v>
      </c>
      <c r="G668" s="30">
        <v>33</v>
      </c>
      <c r="H668" s="29">
        <f>G668*(1-IFERROR(VLOOKUP(F668,Rabat!$D$10:$E$41,2,FALSE),0))</f>
        <v>33</v>
      </c>
      <c r="I668" t="s">
        <v>2540</v>
      </c>
      <c r="J668" t="s">
        <v>532</v>
      </c>
      <c r="K668" t="s">
        <v>2538</v>
      </c>
      <c r="L668">
        <v>50</v>
      </c>
      <c r="M668"/>
      <c r="N668" t="s">
        <v>2544</v>
      </c>
      <c r="O668" s="31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668" t="s">
        <v>16</v>
      </c>
      <c r="Q668"/>
    </row>
    <row r="669" spans="1:17" ht="15" x14ac:dyDescent="0.25">
      <c r="A669" t="s">
        <v>4</v>
      </c>
      <c r="B669" t="s">
        <v>1321</v>
      </c>
      <c r="C669" t="s">
        <v>858</v>
      </c>
      <c r="D669" t="s">
        <v>2078</v>
      </c>
      <c r="E669" t="s">
        <v>2079</v>
      </c>
      <c r="F669" t="s">
        <v>1324</v>
      </c>
      <c r="G669" s="30">
        <v>33</v>
      </c>
      <c r="H669" s="29">
        <f>G669*(1-IFERROR(VLOOKUP(F669,Rabat!$D$10:$E$41,2,FALSE),0))</f>
        <v>33</v>
      </c>
      <c r="I669" t="s">
        <v>2540</v>
      </c>
      <c r="J669" t="s">
        <v>533</v>
      </c>
      <c r="K669" t="s">
        <v>2538</v>
      </c>
      <c r="L669">
        <v>50</v>
      </c>
      <c r="M669"/>
      <c r="N669" t="s">
        <v>2544</v>
      </c>
      <c r="O669" s="31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669" t="s">
        <v>16</v>
      </c>
      <c r="Q669"/>
    </row>
    <row r="670" spans="1:17" ht="15" x14ac:dyDescent="0.25">
      <c r="A670" t="s">
        <v>4</v>
      </c>
      <c r="B670" t="s">
        <v>1321</v>
      </c>
      <c r="C670" t="s">
        <v>858</v>
      </c>
      <c r="D670" t="s">
        <v>2080</v>
      </c>
      <c r="E670" t="s">
        <v>2081</v>
      </c>
      <c r="F670" t="s">
        <v>1324</v>
      </c>
      <c r="G670" s="30">
        <v>33</v>
      </c>
      <c r="H670" s="29">
        <f>G670*(1-IFERROR(VLOOKUP(F670,Rabat!$D$10:$E$41,2,FALSE),0))</f>
        <v>33</v>
      </c>
      <c r="I670" t="s">
        <v>2540</v>
      </c>
      <c r="J670" t="s">
        <v>534</v>
      </c>
      <c r="K670" t="s">
        <v>2538</v>
      </c>
      <c r="L670">
        <v>50</v>
      </c>
      <c r="M670"/>
      <c r="N670" t="s">
        <v>2544</v>
      </c>
      <c r="O670" s="31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670" t="s">
        <v>16</v>
      </c>
      <c r="Q670"/>
    </row>
    <row r="671" spans="1:17" ht="15" x14ac:dyDescent="0.25">
      <c r="A671" t="s">
        <v>4</v>
      </c>
      <c r="B671" t="s">
        <v>1321</v>
      </c>
      <c r="C671" t="s">
        <v>858</v>
      </c>
      <c r="D671" t="s">
        <v>2082</v>
      </c>
      <c r="E671" t="s">
        <v>2083</v>
      </c>
      <c r="F671" t="s">
        <v>1324</v>
      </c>
      <c r="G671" s="30">
        <v>33</v>
      </c>
      <c r="H671" s="29">
        <f>G671*(1-IFERROR(VLOOKUP(F671,Rabat!$D$10:$E$41,2,FALSE),0))</f>
        <v>33</v>
      </c>
      <c r="I671" t="s">
        <v>2540</v>
      </c>
      <c r="J671" t="s">
        <v>535</v>
      </c>
      <c r="K671" t="s">
        <v>2538</v>
      </c>
      <c r="L671">
        <v>50</v>
      </c>
      <c r="M671"/>
      <c r="N671" t="s">
        <v>2544</v>
      </c>
      <c r="O671" s="31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671" t="s">
        <v>16</v>
      </c>
      <c r="Q671"/>
    </row>
    <row r="672" spans="1:17" ht="15" x14ac:dyDescent="0.25">
      <c r="A672" t="s">
        <v>4</v>
      </c>
      <c r="B672" t="s">
        <v>1321</v>
      </c>
      <c r="C672" t="s">
        <v>858</v>
      </c>
      <c r="D672" t="s">
        <v>2088</v>
      </c>
      <c r="E672" t="s">
        <v>2089</v>
      </c>
      <c r="F672" t="s">
        <v>1324</v>
      </c>
      <c r="G672" s="30">
        <v>27</v>
      </c>
      <c r="H672" s="29">
        <f>G672*(1-IFERROR(VLOOKUP(F672,Rabat!$D$10:$E$41,2,FALSE),0))</f>
        <v>27</v>
      </c>
      <c r="I672" t="s">
        <v>2540</v>
      </c>
      <c r="J672" t="s">
        <v>538</v>
      </c>
      <c r="K672" t="s">
        <v>2538</v>
      </c>
      <c r="L672">
        <v>100</v>
      </c>
      <c r="M672"/>
      <c r="N672" t="s">
        <v>2544</v>
      </c>
      <c r="O672" s="31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672" t="s">
        <v>16</v>
      </c>
      <c r="Q672"/>
    </row>
    <row r="673" spans="1:17" ht="15" x14ac:dyDescent="0.25">
      <c r="A673" t="s">
        <v>4</v>
      </c>
      <c r="B673" t="s">
        <v>1321</v>
      </c>
      <c r="C673" t="s">
        <v>858</v>
      </c>
      <c r="D673" t="s">
        <v>2090</v>
      </c>
      <c r="E673" t="s">
        <v>2091</v>
      </c>
      <c r="F673" t="s">
        <v>1324</v>
      </c>
      <c r="G673" s="30">
        <v>26.67</v>
      </c>
      <c r="H673" s="29">
        <f>G673*(1-IFERROR(VLOOKUP(F673,Rabat!$D$10:$E$41,2,FALSE),0))</f>
        <v>26.67</v>
      </c>
      <c r="I673" t="s">
        <v>2540</v>
      </c>
      <c r="J673" t="s">
        <v>539</v>
      </c>
      <c r="K673" t="s">
        <v>2538</v>
      </c>
      <c r="L673">
        <v>100</v>
      </c>
      <c r="M673"/>
      <c r="N673" t="s">
        <v>2544</v>
      </c>
      <c r="O673" s="31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673" t="s">
        <v>16</v>
      </c>
      <c r="Q673"/>
    </row>
    <row r="674" spans="1:17" ht="15" x14ac:dyDescent="0.25">
      <c r="A674" t="s">
        <v>5</v>
      </c>
      <c r="B674" t="s">
        <v>54</v>
      </c>
      <c r="C674" t="s">
        <v>44</v>
      </c>
      <c r="D674" t="s">
        <v>1089</v>
      </c>
      <c r="E674" t="s">
        <v>1090</v>
      </c>
      <c r="F674" t="s">
        <v>1013</v>
      </c>
      <c r="G674" s="30">
        <v>42.25</v>
      </c>
      <c r="H674" s="29">
        <f>G674*(1-IFERROR(VLOOKUP(F674,Rabat!$D$10:$E$41,2,FALSE),0))</f>
        <v>42.25</v>
      </c>
      <c r="I674" t="s">
        <v>2540</v>
      </c>
      <c r="J674" t="s">
        <v>508</v>
      </c>
      <c r="K674" t="s">
        <v>2538</v>
      </c>
      <c r="L674">
        <v>36</v>
      </c>
      <c r="M674"/>
      <c r="N674" t="s">
        <v>2544</v>
      </c>
      <c r="O674" s="31" t="str">
        <f>HYPERLINK("https://b2b.kobi.pl/pl/product/10567,lampa-solarna-solar-30-led-aura-3000k-led2b?currency=PLN")</f>
        <v>https://b2b.kobi.pl/pl/product/10567,lampa-solarna-solar-30-led-aura-3000k-led2b?currency=PLN</v>
      </c>
      <c r="P674" t="s">
        <v>16</v>
      </c>
      <c r="Q674"/>
    </row>
    <row r="675" spans="1:17" ht="15" x14ac:dyDescent="0.25">
      <c r="A675" t="s">
        <v>5</v>
      </c>
      <c r="B675" t="s">
        <v>54</v>
      </c>
      <c r="C675" t="s">
        <v>44</v>
      </c>
      <c r="D675" t="s">
        <v>1885</v>
      </c>
      <c r="E675" t="s">
        <v>1886</v>
      </c>
      <c r="F675" t="s">
        <v>1013</v>
      </c>
      <c r="G675" s="30">
        <v>63.75</v>
      </c>
      <c r="H675" s="29">
        <f>G675*(1-IFERROR(VLOOKUP(F675,Rabat!$D$10:$E$41,2,FALSE),0))</f>
        <v>63.75</v>
      </c>
      <c r="I675" t="s">
        <v>2540</v>
      </c>
      <c r="J675" t="s">
        <v>510</v>
      </c>
      <c r="K675" t="s">
        <v>2561</v>
      </c>
      <c r="L675">
        <v>12</v>
      </c>
      <c r="M675"/>
      <c r="N675" t="s">
        <v>2544</v>
      </c>
      <c r="O675" s="31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675" t="s">
        <v>16</v>
      </c>
      <c r="Q675"/>
    </row>
    <row r="676" spans="1:17" ht="15" x14ac:dyDescent="0.25">
      <c r="A676" t="s">
        <v>5</v>
      </c>
      <c r="B676" t="s">
        <v>54</v>
      </c>
      <c r="C676" t="s">
        <v>44</v>
      </c>
      <c r="D676" t="s">
        <v>1097</v>
      </c>
      <c r="E676" t="s">
        <v>1098</v>
      </c>
      <c r="F676" t="s">
        <v>1013</v>
      </c>
      <c r="G676" s="30">
        <v>40.630000000000003</v>
      </c>
      <c r="H676" s="29">
        <f>G676*(1-IFERROR(VLOOKUP(F676,Rabat!$D$10:$E$41,2,FALSE),0))</f>
        <v>40.630000000000003</v>
      </c>
      <c r="I676" t="s">
        <v>2540</v>
      </c>
      <c r="J676" t="s">
        <v>2565</v>
      </c>
      <c r="K676" t="s">
        <v>2538</v>
      </c>
      <c r="L676">
        <v>6</v>
      </c>
      <c r="M676"/>
      <c r="N676" t="s">
        <v>2544</v>
      </c>
      <c r="O676"/>
      <c r="P676" t="s">
        <v>16</v>
      </c>
      <c r="Q676"/>
    </row>
    <row r="677" spans="1:17" ht="15" x14ac:dyDescent="0.25">
      <c r="A677" t="s">
        <v>5</v>
      </c>
      <c r="B677" t="s">
        <v>54</v>
      </c>
      <c r="C677" t="s">
        <v>44</v>
      </c>
      <c r="D677" t="s">
        <v>1101</v>
      </c>
      <c r="E677" t="s">
        <v>1102</v>
      </c>
      <c r="F677" t="s">
        <v>1013</v>
      </c>
      <c r="G677" s="30">
        <v>40.630000000000003</v>
      </c>
      <c r="H677" s="29">
        <f>G677*(1-IFERROR(VLOOKUP(F677,Rabat!$D$10:$E$41,2,FALSE),0))</f>
        <v>40.630000000000003</v>
      </c>
      <c r="I677" t="s">
        <v>2540</v>
      </c>
      <c r="J677" t="s">
        <v>2566</v>
      </c>
      <c r="K677" t="s">
        <v>2538</v>
      </c>
      <c r="L677">
        <v>6</v>
      </c>
      <c r="M677"/>
      <c r="N677" t="s">
        <v>2544</v>
      </c>
      <c r="O677"/>
      <c r="P677" t="s">
        <v>16</v>
      </c>
      <c r="Q677"/>
    </row>
    <row r="678" spans="1:17" ht="15" x14ac:dyDescent="0.25">
      <c r="A678" t="s">
        <v>5</v>
      </c>
      <c r="B678" t="s">
        <v>54</v>
      </c>
      <c r="C678" t="s">
        <v>44</v>
      </c>
      <c r="D678" t="s">
        <v>1103</v>
      </c>
      <c r="E678" t="s">
        <v>1104</v>
      </c>
      <c r="F678" t="s">
        <v>1013</v>
      </c>
      <c r="G678" s="30">
        <v>40.630000000000003</v>
      </c>
      <c r="H678" s="29">
        <f>G678*(1-IFERROR(VLOOKUP(F678,Rabat!$D$10:$E$41,2,FALSE),0))</f>
        <v>40.630000000000003</v>
      </c>
      <c r="I678" t="s">
        <v>2540</v>
      </c>
      <c r="J678" t="s">
        <v>2567</v>
      </c>
      <c r="K678" t="s">
        <v>2538</v>
      </c>
      <c r="L678">
        <v>6</v>
      </c>
      <c r="M678"/>
      <c r="N678" t="s">
        <v>2544</v>
      </c>
      <c r="O678"/>
      <c r="P678" t="s">
        <v>16</v>
      </c>
      <c r="Q678"/>
    </row>
    <row r="679" spans="1:17" ht="15" x14ac:dyDescent="0.25">
      <c r="A679" t="s">
        <v>5</v>
      </c>
      <c r="B679" t="s">
        <v>54</v>
      </c>
      <c r="C679" t="s">
        <v>44</v>
      </c>
      <c r="D679" t="s">
        <v>1887</v>
      </c>
      <c r="E679" t="s">
        <v>1888</v>
      </c>
      <c r="F679" t="s">
        <v>1013</v>
      </c>
      <c r="G679" s="30">
        <v>58.75</v>
      </c>
      <c r="H679" s="29">
        <f>G679*(1-IFERROR(VLOOKUP(F679,Rabat!$D$10:$E$41,2,FALSE),0))</f>
        <v>58.75</v>
      </c>
      <c r="I679" t="s">
        <v>2540</v>
      </c>
      <c r="J679" t="s">
        <v>511</v>
      </c>
      <c r="K679" t="s">
        <v>2561</v>
      </c>
      <c r="L679">
        <v>24</v>
      </c>
      <c r="M679"/>
      <c r="N679" t="s">
        <v>2544</v>
      </c>
      <c r="O679" s="31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679" t="s">
        <v>16</v>
      </c>
      <c r="Q679"/>
    </row>
    <row r="680" spans="1:17" ht="15" x14ac:dyDescent="0.25">
      <c r="A680" t="s">
        <v>5</v>
      </c>
      <c r="B680" t="s">
        <v>54</v>
      </c>
      <c r="C680" t="s">
        <v>44</v>
      </c>
      <c r="D680" t="s">
        <v>1889</v>
      </c>
      <c r="E680" t="s">
        <v>1890</v>
      </c>
      <c r="F680" t="s">
        <v>1013</v>
      </c>
      <c r="G680" s="30">
        <v>108.75</v>
      </c>
      <c r="H680" s="29">
        <f>G680*(1-IFERROR(VLOOKUP(F680,Rabat!$D$10:$E$41,2,FALSE),0))</f>
        <v>108.75</v>
      </c>
      <c r="I680" t="s">
        <v>2540</v>
      </c>
      <c r="J680" t="s">
        <v>512</v>
      </c>
      <c r="K680" t="s">
        <v>2561</v>
      </c>
      <c r="L680">
        <v>12</v>
      </c>
      <c r="M680"/>
      <c r="N680" t="s">
        <v>2544</v>
      </c>
      <c r="O680" s="31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680" t="s">
        <v>16</v>
      </c>
      <c r="Q680"/>
    </row>
    <row r="681" spans="1:17" ht="15" x14ac:dyDescent="0.25">
      <c r="A681" t="s">
        <v>5</v>
      </c>
      <c r="B681" t="s">
        <v>54</v>
      </c>
      <c r="C681" t="s">
        <v>44</v>
      </c>
      <c r="D681" t="s">
        <v>1893</v>
      </c>
      <c r="E681" t="s">
        <v>1894</v>
      </c>
      <c r="F681" t="s">
        <v>1013</v>
      </c>
      <c r="G681" s="30">
        <v>51.25</v>
      </c>
      <c r="H681" s="29">
        <f>G681*(1-IFERROR(VLOOKUP(F681,Rabat!$D$10:$E$41,2,FALSE),0))</f>
        <v>51.25</v>
      </c>
      <c r="I681" t="s">
        <v>2540</v>
      </c>
      <c r="J681" t="s">
        <v>514</v>
      </c>
      <c r="K681" t="s">
        <v>2561</v>
      </c>
      <c r="L681">
        <v>6</v>
      </c>
      <c r="M681"/>
      <c r="N681" t="s">
        <v>2544</v>
      </c>
      <c r="O681" s="31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681" t="s">
        <v>16</v>
      </c>
      <c r="Q681"/>
    </row>
    <row r="682" spans="1:17" ht="15" x14ac:dyDescent="0.25">
      <c r="A682" t="s">
        <v>5</v>
      </c>
      <c r="B682" t="s">
        <v>54</v>
      </c>
      <c r="C682" t="s">
        <v>44</v>
      </c>
      <c r="D682" t="s">
        <v>1891</v>
      </c>
      <c r="E682" t="s">
        <v>1892</v>
      </c>
      <c r="F682" t="s">
        <v>1013</v>
      </c>
      <c r="G682" s="30">
        <v>51.25</v>
      </c>
      <c r="H682" s="29">
        <f>G682*(1-IFERROR(VLOOKUP(F682,Rabat!$D$10:$E$41,2,FALSE),0))</f>
        <v>51.25</v>
      </c>
      <c r="I682" t="s">
        <v>2540</v>
      </c>
      <c r="J682" t="s">
        <v>513</v>
      </c>
      <c r="K682" t="s">
        <v>2561</v>
      </c>
      <c r="L682">
        <v>6</v>
      </c>
      <c r="M682"/>
      <c r="N682" t="s">
        <v>2544</v>
      </c>
      <c r="O682" s="31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682" t="s">
        <v>16</v>
      </c>
      <c r="Q682"/>
    </row>
    <row r="683" spans="1:17" ht="15" x14ac:dyDescent="0.25">
      <c r="A683" t="s">
        <v>5</v>
      </c>
      <c r="B683" t="s">
        <v>54</v>
      </c>
      <c r="C683" t="s">
        <v>44</v>
      </c>
      <c r="D683" t="s">
        <v>1521</v>
      </c>
      <c r="E683" t="s">
        <v>1522</v>
      </c>
      <c r="F683" t="s">
        <v>1013</v>
      </c>
      <c r="G683" s="30">
        <v>82.25</v>
      </c>
      <c r="H683" s="29">
        <f>G683*(1-IFERROR(VLOOKUP(F683,Rabat!$D$10:$E$41,2,FALSE),0))</f>
        <v>82.25</v>
      </c>
      <c r="I683" t="s">
        <v>2540</v>
      </c>
      <c r="J683" t="s">
        <v>515</v>
      </c>
      <c r="K683" t="s">
        <v>2538</v>
      </c>
      <c r="L683">
        <v>20</v>
      </c>
      <c r="M683"/>
      <c r="N683" t="s">
        <v>2544</v>
      </c>
      <c r="O683" s="31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683" t="s">
        <v>16</v>
      </c>
      <c r="Q683"/>
    </row>
    <row r="684" spans="1:17" ht="15" x14ac:dyDescent="0.25">
      <c r="A684" t="s">
        <v>5</v>
      </c>
      <c r="B684" t="s">
        <v>54</v>
      </c>
      <c r="C684" t="s">
        <v>44</v>
      </c>
      <c r="D684" t="s">
        <v>1072</v>
      </c>
      <c r="E684" t="s">
        <v>1073</v>
      </c>
      <c r="F684" t="s">
        <v>1013</v>
      </c>
      <c r="G684" s="30">
        <v>32.25</v>
      </c>
      <c r="H684" s="29">
        <f>G684*(1-IFERROR(VLOOKUP(F684,Rabat!$D$10:$E$41,2,FALSE),0))</f>
        <v>32.25</v>
      </c>
      <c r="I684" t="s">
        <v>2540</v>
      </c>
      <c r="J684" t="s">
        <v>516</v>
      </c>
      <c r="K684" t="s">
        <v>2538</v>
      </c>
      <c r="L684">
        <v>12</v>
      </c>
      <c r="M684"/>
      <c r="N684" t="s">
        <v>2544</v>
      </c>
      <c r="O684" s="31" t="str">
        <f>HYPERLINK("https://b2b.kobi.pl/pl/product/10578,lampa-ogrodowa-solar-led-harmony-3000k-ip44-led2b?currency=PLN")</f>
        <v>https://b2b.kobi.pl/pl/product/10578,lampa-ogrodowa-solar-led-harmony-3000k-ip44-led2b?currency=PLN</v>
      </c>
      <c r="P684" t="s">
        <v>16</v>
      </c>
      <c r="Q684"/>
    </row>
    <row r="685" spans="1:17" ht="15" x14ac:dyDescent="0.25">
      <c r="A685" t="s">
        <v>5</v>
      </c>
      <c r="B685" t="s">
        <v>54</v>
      </c>
      <c r="C685" t="s">
        <v>44</v>
      </c>
      <c r="D685" t="s">
        <v>1011</v>
      </c>
      <c r="E685" t="s">
        <v>1012</v>
      </c>
      <c r="F685" t="s">
        <v>1013</v>
      </c>
      <c r="G685" s="30">
        <v>31.25</v>
      </c>
      <c r="H685" s="29">
        <f>G685*(1-IFERROR(VLOOKUP(F685,Rabat!$D$10:$E$41,2,FALSE),0))</f>
        <v>31.25</v>
      </c>
      <c r="I685" t="s">
        <v>2540</v>
      </c>
      <c r="J685" t="s">
        <v>518</v>
      </c>
      <c r="K685" t="s">
        <v>2538</v>
      </c>
      <c r="L685">
        <v>80</v>
      </c>
      <c r="M685"/>
      <c r="N685" t="s">
        <v>2544</v>
      </c>
      <c r="O685" s="31" t="str">
        <f>HYPERLINK("https://b2b.kobi.pl/pl/product/10581,kinkiet-solar-led-lumina-6500k-led2b?currency=PLN")</f>
        <v>https://b2b.kobi.pl/pl/product/10581,kinkiet-solar-led-lumina-6500k-led2b?currency=PLN</v>
      </c>
      <c r="P685" t="s">
        <v>16</v>
      </c>
      <c r="Q685"/>
    </row>
    <row r="686" spans="1:17" ht="15" x14ac:dyDescent="0.25">
      <c r="A686" t="s">
        <v>5</v>
      </c>
      <c r="B686" t="s">
        <v>54</v>
      </c>
      <c r="C686" t="s">
        <v>44</v>
      </c>
      <c r="D686" t="s">
        <v>1093</v>
      </c>
      <c r="E686" t="s">
        <v>1094</v>
      </c>
      <c r="F686" t="s">
        <v>1013</v>
      </c>
      <c r="G686" s="30">
        <v>38.75</v>
      </c>
      <c r="H686" s="29">
        <f>G686*(1-IFERROR(VLOOKUP(F686,Rabat!$D$10:$E$41,2,FALSE),0))</f>
        <v>38.75</v>
      </c>
      <c r="I686" t="s">
        <v>2540</v>
      </c>
      <c r="J686" t="s">
        <v>509</v>
      </c>
      <c r="K686" t="s">
        <v>2538</v>
      </c>
      <c r="L686">
        <v>30</v>
      </c>
      <c r="M686"/>
      <c r="N686" t="s">
        <v>2544</v>
      </c>
      <c r="O686" s="31" t="str">
        <f>HYPERLINK("https://b2b.kobi.pl/pl/product/10582,lampa-solarna-solar-50-led-lume-rgb-led2b?currency=PLN")</f>
        <v>https://b2b.kobi.pl/pl/product/10582,lampa-solarna-solar-50-led-lume-rgb-led2b?currency=PLN</v>
      </c>
      <c r="P686" t="s">
        <v>16</v>
      </c>
      <c r="Q686"/>
    </row>
    <row r="687" spans="1:17" ht="15" x14ac:dyDescent="0.25">
      <c r="A687" t="s">
        <v>5</v>
      </c>
      <c r="B687" t="s">
        <v>54</v>
      </c>
      <c r="C687" t="s">
        <v>44</v>
      </c>
      <c r="D687" t="s">
        <v>1895</v>
      </c>
      <c r="E687" t="s">
        <v>1896</v>
      </c>
      <c r="F687" t="s">
        <v>1013</v>
      </c>
      <c r="G687" s="30">
        <v>82.25</v>
      </c>
      <c r="H687" s="29">
        <f>G687*(1-IFERROR(VLOOKUP(F687,Rabat!$D$10:$E$41,2,FALSE),0))</f>
        <v>82.25</v>
      </c>
      <c r="I687" t="s">
        <v>2540</v>
      </c>
      <c r="J687" t="s">
        <v>517</v>
      </c>
      <c r="K687" t="s">
        <v>2538</v>
      </c>
      <c r="L687">
        <v>24</v>
      </c>
      <c r="M687"/>
      <c r="N687" t="s">
        <v>2544</v>
      </c>
      <c r="O687" s="31" t="str">
        <f>HYPERLINK("https://b2b.kobi.pl/pl/product/10583,slupek-ogrodowy-solar-led-lance-6000k-ip44-led2b?currency=PLN")</f>
        <v>https://b2b.kobi.pl/pl/product/10583,slupek-ogrodowy-solar-led-lance-6000k-ip44-led2b?currency=PLN</v>
      </c>
      <c r="P687" t="s">
        <v>16</v>
      </c>
      <c r="Q687"/>
    </row>
    <row r="688" spans="1:17" ht="15" x14ac:dyDescent="0.25">
      <c r="A688" t="s">
        <v>5</v>
      </c>
      <c r="B688" t="s">
        <v>54</v>
      </c>
      <c r="C688" t="s">
        <v>44</v>
      </c>
      <c r="D688" t="s">
        <v>1540</v>
      </c>
      <c r="E688" t="s">
        <v>1541</v>
      </c>
      <c r="F688" t="s">
        <v>1013</v>
      </c>
      <c r="G688" s="30">
        <v>56.25</v>
      </c>
      <c r="H688" s="29">
        <f>G688*(1-IFERROR(VLOOKUP(F688,Rabat!$D$10:$E$41,2,FALSE),0))</f>
        <v>56.25</v>
      </c>
      <c r="I688" t="s">
        <v>2540</v>
      </c>
      <c r="J688" t="s">
        <v>520</v>
      </c>
      <c r="K688" t="s">
        <v>2538</v>
      </c>
      <c r="L688">
        <v>30</v>
      </c>
      <c r="M688"/>
      <c r="N688" t="s">
        <v>2544</v>
      </c>
      <c r="O688" s="31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688" t="s">
        <v>16</v>
      </c>
      <c r="Q688"/>
    </row>
    <row r="689" spans="1:17" ht="15" x14ac:dyDescent="0.25">
      <c r="A689" t="s">
        <v>5</v>
      </c>
      <c r="B689" t="s">
        <v>54</v>
      </c>
      <c r="C689" t="s">
        <v>44</v>
      </c>
      <c r="D689" t="s">
        <v>1513</v>
      </c>
      <c r="E689" t="s">
        <v>1514</v>
      </c>
      <c r="F689" t="s">
        <v>1013</v>
      </c>
      <c r="G689" s="30">
        <v>61.25</v>
      </c>
      <c r="H689" s="29">
        <f>G689*(1-IFERROR(VLOOKUP(F689,Rabat!$D$10:$E$41,2,FALSE),0))</f>
        <v>61.25</v>
      </c>
      <c r="I689" t="s">
        <v>2540</v>
      </c>
      <c r="J689" t="s">
        <v>519</v>
      </c>
      <c r="K689" t="s">
        <v>2561</v>
      </c>
      <c r="L689">
        <v>30</v>
      </c>
      <c r="M689"/>
      <c r="N689" t="s">
        <v>2544</v>
      </c>
      <c r="O689" s="31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689" t="s">
        <v>16</v>
      </c>
      <c r="Q689"/>
    </row>
    <row r="690" spans="1:17" ht="15" x14ac:dyDescent="0.25">
      <c r="A690" t="s">
        <v>5</v>
      </c>
      <c r="B690" t="s">
        <v>54</v>
      </c>
      <c r="C690" t="s">
        <v>44</v>
      </c>
      <c r="D690" t="s">
        <v>1074</v>
      </c>
      <c r="E690" t="s">
        <v>1075</v>
      </c>
      <c r="F690" t="s">
        <v>1013</v>
      </c>
      <c r="G690" s="30">
        <v>64.5</v>
      </c>
      <c r="H690" s="29">
        <f>G690*(1-IFERROR(VLOOKUP(F690,Rabat!$D$10:$E$41,2,FALSE),0))</f>
        <v>64.5</v>
      </c>
      <c r="I690" t="s">
        <v>2540</v>
      </c>
      <c r="J690" t="s">
        <v>521</v>
      </c>
      <c r="K690" t="s">
        <v>2538</v>
      </c>
      <c r="L690">
        <v>6</v>
      </c>
      <c r="M690"/>
      <c r="N690" t="s">
        <v>2544</v>
      </c>
      <c r="O690" s="31" t="str">
        <f>HYPERLINK("https://b2b.kobi.pl/pl/product/10647,lampa-ogrodowa-solar-led-spectra-2700k-ip44-led2b?currency=PLN")</f>
        <v>https://b2b.kobi.pl/pl/product/10647,lampa-ogrodowa-solar-led-spectra-2700k-ip44-led2b?currency=PLN</v>
      </c>
      <c r="P690" t="s">
        <v>16</v>
      </c>
      <c r="Q690"/>
    </row>
    <row r="691" spans="1:17" ht="15" x14ac:dyDescent="0.25">
      <c r="A691" t="s">
        <v>5</v>
      </c>
      <c r="B691" t="s">
        <v>54</v>
      </c>
      <c r="C691" t="s">
        <v>44</v>
      </c>
      <c r="D691" t="s">
        <v>1899</v>
      </c>
      <c r="E691" t="s">
        <v>1900</v>
      </c>
      <c r="F691" t="s">
        <v>1013</v>
      </c>
      <c r="G691" s="30">
        <v>84.75</v>
      </c>
      <c r="H691" s="29">
        <f>G691*(1-IFERROR(VLOOKUP(F691,Rabat!$D$10:$E$41,2,FALSE),0))</f>
        <v>84.75</v>
      </c>
      <c r="I691" t="s">
        <v>2540</v>
      </c>
      <c r="J691" t="s">
        <v>523</v>
      </c>
      <c r="K691" t="s">
        <v>2538</v>
      </c>
      <c r="L691">
        <v>24</v>
      </c>
      <c r="M691"/>
      <c r="N691" t="s">
        <v>2544</v>
      </c>
      <c r="O691" s="31" t="str">
        <f>HYPERLINK("https://b2b.kobi.pl/pl/product/10648,slupek-ogrodowy-solar-led-spike-6500k-ip44-led2b?currency=PLN")</f>
        <v>https://b2b.kobi.pl/pl/product/10648,slupek-ogrodowy-solar-led-spike-6500k-ip44-led2b?currency=PLN</v>
      </c>
      <c r="P691" t="s">
        <v>16</v>
      </c>
      <c r="Q691"/>
    </row>
    <row r="692" spans="1:17" ht="15" x14ac:dyDescent="0.25">
      <c r="A692" t="s">
        <v>5</v>
      </c>
      <c r="B692" t="s">
        <v>54</v>
      </c>
      <c r="C692" t="s">
        <v>44</v>
      </c>
      <c r="D692" t="s">
        <v>1897</v>
      </c>
      <c r="E692" t="s">
        <v>1898</v>
      </c>
      <c r="F692" t="s">
        <v>1013</v>
      </c>
      <c r="G692" s="30">
        <v>84.75</v>
      </c>
      <c r="H692" s="29">
        <f>G692*(1-IFERROR(VLOOKUP(F692,Rabat!$D$10:$E$41,2,FALSE),0))</f>
        <v>84.75</v>
      </c>
      <c r="I692" t="s">
        <v>2540</v>
      </c>
      <c r="J692" t="s">
        <v>522</v>
      </c>
      <c r="K692" t="s">
        <v>2561</v>
      </c>
      <c r="L692">
        <v>3</v>
      </c>
      <c r="M692"/>
      <c r="N692" t="s">
        <v>2544</v>
      </c>
      <c r="O692" s="31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692" t="s">
        <v>16</v>
      </c>
      <c r="Q692"/>
    </row>
    <row r="693" spans="1:17" ht="15" x14ac:dyDescent="0.25">
      <c r="A693" t="s">
        <v>5</v>
      </c>
      <c r="B693" t="s">
        <v>54</v>
      </c>
      <c r="C693" t="s">
        <v>44</v>
      </c>
      <c r="D693" t="s">
        <v>1066</v>
      </c>
      <c r="E693" t="s">
        <v>1067</v>
      </c>
      <c r="F693" t="s">
        <v>1013</v>
      </c>
      <c r="G693" s="30">
        <v>59.75</v>
      </c>
      <c r="H693" s="29">
        <f>G693*(1-IFERROR(VLOOKUP(F693,Rabat!$D$10:$E$41,2,FALSE),0))</f>
        <v>59.75</v>
      </c>
      <c r="I693" t="s">
        <v>2540</v>
      </c>
      <c r="J693" t="s">
        <v>527</v>
      </c>
      <c r="K693" t="s">
        <v>2538</v>
      </c>
      <c r="L693">
        <v>36</v>
      </c>
      <c r="M693"/>
      <c r="N693" t="s">
        <v>2544</v>
      </c>
      <c r="O693" s="31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693" t="s">
        <v>16</v>
      </c>
      <c r="Q693"/>
    </row>
    <row r="694" spans="1:17" ht="15" x14ac:dyDescent="0.25">
      <c r="A694" t="s">
        <v>5</v>
      </c>
      <c r="B694" t="s">
        <v>54</v>
      </c>
      <c r="C694" t="s">
        <v>44</v>
      </c>
      <c r="D694" t="s">
        <v>1085</v>
      </c>
      <c r="E694" t="s">
        <v>1086</v>
      </c>
      <c r="F694" t="s">
        <v>1013</v>
      </c>
      <c r="G694" s="30">
        <v>41.17</v>
      </c>
      <c r="H694" s="29">
        <f>G694*(1-IFERROR(VLOOKUP(F694,Rabat!$D$10:$E$41,2,FALSE),0))</f>
        <v>41.17</v>
      </c>
      <c r="I694" t="s">
        <v>2540</v>
      </c>
      <c r="J694" t="s">
        <v>524</v>
      </c>
      <c r="K694" t="s">
        <v>2538</v>
      </c>
      <c r="L694">
        <v>40</v>
      </c>
      <c r="M694"/>
      <c r="N694" t="s">
        <v>2544</v>
      </c>
      <c r="O694" s="31" t="str">
        <f>HYPERLINK("https://b2b.kobi.pl/pl/product/10652,lampa-solarna-solar-10-led-starlight-6000k-led2b?currency=PLN")</f>
        <v>https://b2b.kobi.pl/pl/product/10652,lampa-solarna-solar-10-led-starlight-6000k-led2b?currency=PLN</v>
      </c>
      <c r="P694" t="s">
        <v>16</v>
      </c>
      <c r="Q694"/>
    </row>
    <row r="695" spans="1:17" ht="15" x14ac:dyDescent="0.25">
      <c r="A695" t="s">
        <v>5</v>
      </c>
      <c r="B695" t="s">
        <v>54</v>
      </c>
      <c r="C695" t="s">
        <v>44</v>
      </c>
      <c r="D695" t="s">
        <v>1087</v>
      </c>
      <c r="E695" t="s">
        <v>1088</v>
      </c>
      <c r="F695" t="s">
        <v>1013</v>
      </c>
      <c r="G695" s="30">
        <v>58.4</v>
      </c>
      <c r="H695" s="29">
        <f>G695*(1-IFERROR(VLOOKUP(F695,Rabat!$D$10:$E$41,2,FALSE),0))</f>
        <v>58.4</v>
      </c>
      <c r="I695" t="s">
        <v>2540</v>
      </c>
      <c r="J695" t="s">
        <v>525</v>
      </c>
      <c r="K695" t="s">
        <v>2538</v>
      </c>
      <c r="L695">
        <v>20</v>
      </c>
      <c r="M695"/>
      <c r="N695" t="s">
        <v>2544</v>
      </c>
      <c r="O695" s="31" t="str">
        <f>HYPERLINK("https://b2b.kobi.pl/pl/product/10653,lampa-solarna-solar-20-led-starlight-3000k-led2b?currency=PLN")</f>
        <v>https://b2b.kobi.pl/pl/product/10653,lampa-solarna-solar-20-led-starlight-3000k-led2b?currency=PLN</v>
      </c>
      <c r="P695" t="s">
        <v>16</v>
      </c>
      <c r="Q695"/>
    </row>
    <row r="696" spans="1:17" ht="15" x14ac:dyDescent="0.25">
      <c r="A696" t="s">
        <v>5</v>
      </c>
      <c r="B696" t="s">
        <v>54</v>
      </c>
      <c r="C696" t="s">
        <v>44</v>
      </c>
      <c r="D696" t="s">
        <v>1091</v>
      </c>
      <c r="E696" t="s">
        <v>1092</v>
      </c>
      <c r="F696" t="s">
        <v>1013</v>
      </c>
      <c r="G696" s="30">
        <v>63.13</v>
      </c>
      <c r="H696" s="29">
        <f>G696*(1-IFERROR(VLOOKUP(F696,Rabat!$D$10:$E$41,2,FALSE),0))</f>
        <v>63.13</v>
      </c>
      <c r="I696" t="s">
        <v>2540</v>
      </c>
      <c r="J696" t="s">
        <v>526</v>
      </c>
      <c r="K696" t="s">
        <v>2538</v>
      </c>
      <c r="L696">
        <v>18</v>
      </c>
      <c r="M696"/>
      <c r="N696" t="s">
        <v>2544</v>
      </c>
      <c r="O696" s="31" t="str">
        <f>HYPERLINK("https://b2b.kobi.pl/pl/product/10654,lampa-solarna-solar-30-led-starlight-3000k-led2b?currency=PLN")</f>
        <v>https://b2b.kobi.pl/pl/product/10654,lampa-solarna-solar-30-led-starlight-3000k-led2b?currency=PLN</v>
      </c>
      <c r="P696" t="s">
        <v>16</v>
      </c>
      <c r="Q696"/>
    </row>
    <row r="697" spans="1:17" ht="15" x14ac:dyDescent="0.25">
      <c r="A697" t="s">
        <v>5</v>
      </c>
      <c r="B697" t="s">
        <v>54</v>
      </c>
      <c r="C697" t="s">
        <v>44</v>
      </c>
      <c r="D697" t="s">
        <v>1078</v>
      </c>
      <c r="E697" t="s">
        <v>1079</v>
      </c>
      <c r="F697" t="s">
        <v>1013</v>
      </c>
      <c r="G697" s="30">
        <v>89.75</v>
      </c>
      <c r="H697" s="29">
        <f>G697*(1-IFERROR(VLOOKUP(F697,Rabat!$D$10:$E$41,2,FALSE),0))</f>
        <v>89.75</v>
      </c>
      <c r="I697" t="s">
        <v>2540</v>
      </c>
      <c r="J697" t="s">
        <v>528</v>
      </c>
      <c r="K697" t="s">
        <v>2538</v>
      </c>
      <c r="L697">
        <v>36</v>
      </c>
      <c r="M697"/>
      <c r="N697" t="s">
        <v>2544</v>
      </c>
      <c r="O697" s="31" t="str">
        <f>HYPERLINK("https://b2b.kobi.pl/pl/product/10655,lampa-ogrodowa-solar-led-sway-6000k-ip44-led2b?currency=PLN")</f>
        <v>https://b2b.kobi.pl/pl/product/10655,lampa-ogrodowa-solar-led-sway-6000k-ip44-led2b?currency=PLN</v>
      </c>
      <c r="P697" t="s">
        <v>16</v>
      </c>
      <c r="Q697"/>
    </row>
    <row r="698" spans="1:17" ht="15" x14ac:dyDescent="0.25">
      <c r="A698" t="s">
        <v>5</v>
      </c>
      <c r="B698" t="s">
        <v>54</v>
      </c>
      <c r="C698" t="s">
        <v>44</v>
      </c>
      <c r="D698" t="s">
        <v>1901</v>
      </c>
      <c r="E698" t="s">
        <v>1902</v>
      </c>
      <c r="F698" t="s">
        <v>1013</v>
      </c>
      <c r="G698" s="30">
        <v>51.25</v>
      </c>
      <c r="H698" s="29">
        <f>G698*(1-IFERROR(VLOOKUP(F698,Rabat!$D$10:$E$41,2,FALSE),0))</f>
        <v>51.25</v>
      </c>
      <c r="I698" t="s">
        <v>2540</v>
      </c>
      <c r="J698" t="s">
        <v>507</v>
      </c>
      <c r="K698" t="s">
        <v>2561</v>
      </c>
      <c r="L698">
        <v>24</v>
      </c>
      <c r="M698"/>
      <c r="N698" t="s">
        <v>2544</v>
      </c>
      <c r="O698" s="31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698" t="s">
        <v>16</v>
      </c>
      <c r="Q698"/>
    </row>
    <row r="699" spans="1:17" ht="15" x14ac:dyDescent="0.25">
      <c r="A699" t="s">
        <v>5</v>
      </c>
      <c r="B699" t="s">
        <v>54</v>
      </c>
      <c r="C699" t="s">
        <v>44</v>
      </c>
      <c r="D699" t="s">
        <v>1638</v>
      </c>
      <c r="E699" t="s">
        <v>1639</v>
      </c>
      <c r="F699" t="s">
        <v>1013</v>
      </c>
      <c r="G699" s="30">
        <v>197.5</v>
      </c>
      <c r="H699" s="29">
        <f>G699*(1-IFERROR(VLOOKUP(F699,Rabat!$D$10:$E$41,2,FALSE),0))</f>
        <v>197.5</v>
      </c>
      <c r="I699" t="s">
        <v>2540</v>
      </c>
      <c r="J699" t="s">
        <v>2595</v>
      </c>
      <c r="K699" t="s">
        <v>2538</v>
      </c>
      <c r="L699">
        <v>5</v>
      </c>
      <c r="M699"/>
      <c r="N699" t="s">
        <v>2544</v>
      </c>
      <c r="O699" s="31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699" t="s">
        <v>16</v>
      </c>
      <c r="Q699"/>
    </row>
    <row r="700" spans="1:17" ht="15" x14ac:dyDescent="0.25">
      <c r="A700" t="s">
        <v>5</v>
      </c>
      <c r="B700" t="s">
        <v>54</v>
      </c>
      <c r="C700" t="s">
        <v>44</v>
      </c>
      <c r="D700" t="s">
        <v>2529</v>
      </c>
      <c r="E700" t="s">
        <v>2530</v>
      </c>
      <c r="F700" t="s">
        <v>1013</v>
      </c>
      <c r="G700" s="30">
        <v>287.5</v>
      </c>
      <c r="H700" s="29">
        <f>G700*(1-IFERROR(VLOOKUP(F700,Rabat!$D$10:$E$41,2,FALSE),0))</f>
        <v>287.5</v>
      </c>
      <c r="I700" t="s">
        <v>2540</v>
      </c>
      <c r="J700" t="s">
        <v>2687</v>
      </c>
      <c r="K700" t="s">
        <v>2538</v>
      </c>
      <c r="L700">
        <v>5</v>
      </c>
      <c r="M700"/>
      <c r="N700" t="s">
        <v>2544</v>
      </c>
      <c r="O700" s="31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00" t="s">
        <v>16</v>
      </c>
      <c r="Q700"/>
    </row>
    <row r="701" spans="1:17" ht="15" x14ac:dyDescent="0.25">
      <c r="A701" t="s">
        <v>5</v>
      </c>
      <c r="B701" t="s">
        <v>54</v>
      </c>
      <c r="C701" t="s">
        <v>44</v>
      </c>
      <c r="D701" t="s">
        <v>2531</v>
      </c>
      <c r="E701" t="s">
        <v>2532</v>
      </c>
      <c r="F701" t="s">
        <v>1013</v>
      </c>
      <c r="G701" s="30">
        <v>272.5</v>
      </c>
      <c r="H701" s="29">
        <f>G701*(1-IFERROR(VLOOKUP(F701,Rabat!$D$10:$E$41,2,FALSE),0))</f>
        <v>272.5</v>
      </c>
      <c r="I701" t="s">
        <v>2540</v>
      </c>
      <c r="J701" t="s">
        <v>2688</v>
      </c>
      <c r="K701" t="s">
        <v>2538</v>
      </c>
      <c r="L701">
        <v>5</v>
      </c>
      <c r="M701"/>
      <c r="N701" t="s">
        <v>2544</v>
      </c>
      <c r="O701"/>
      <c r="P701" t="s">
        <v>16</v>
      </c>
      <c r="Q701"/>
    </row>
    <row r="702" spans="1:17" ht="15" x14ac:dyDescent="0.25">
      <c r="A702" t="s">
        <v>5</v>
      </c>
      <c r="B702" t="s">
        <v>54</v>
      </c>
      <c r="C702" t="s">
        <v>44</v>
      </c>
      <c r="D702" t="s">
        <v>2719</v>
      </c>
      <c r="E702" t="s">
        <v>1525</v>
      </c>
      <c r="F702" t="s">
        <v>1013</v>
      </c>
      <c r="G702" s="30">
        <v>114.75</v>
      </c>
      <c r="H702" s="29">
        <f>G702*(1-IFERROR(VLOOKUP(F702,Rabat!$D$10:$E$41,2,FALSE),0))</f>
        <v>114.75</v>
      </c>
      <c r="I702" t="s">
        <v>2540</v>
      </c>
      <c r="J702" t="s">
        <v>2590</v>
      </c>
      <c r="K702" t="s">
        <v>2538</v>
      </c>
      <c r="L702">
        <v>24</v>
      </c>
      <c r="M702"/>
      <c r="N702" t="s">
        <v>2544</v>
      </c>
      <c r="O702" s="31" t="str">
        <f>HYPERLINK("https://b2b.kobi.pl/pl/product/12130,naswietlacz-z-czujnikiem-ruchu-solar-led-glow-g2-2-5w-6500k-led2b?currency=PLN")</f>
        <v>https://b2b.kobi.pl/pl/product/12130,naswietlacz-z-czujnikiem-ruchu-solar-led-glow-g2-2-5w-6500k-led2b?currency=PLN</v>
      </c>
      <c r="P702" t="s">
        <v>16</v>
      </c>
      <c r="Q702"/>
    </row>
    <row r="703" spans="1:17" ht="15" x14ac:dyDescent="0.25">
      <c r="A703" t="s">
        <v>5</v>
      </c>
      <c r="B703" t="s">
        <v>54</v>
      </c>
      <c r="C703" t="s">
        <v>858</v>
      </c>
      <c r="D703" t="s">
        <v>1626</v>
      </c>
      <c r="E703" t="s">
        <v>1627</v>
      </c>
      <c r="F703" t="s">
        <v>1013</v>
      </c>
      <c r="G703" s="30">
        <v>372.5</v>
      </c>
      <c r="H703" s="29">
        <f>G703*(1-IFERROR(VLOOKUP(F703,Rabat!$D$10:$E$41,2,FALSE),0))</f>
        <v>372.5</v>
      </c>
      <c r="I703" t="s">
        <v>2540</v>
      </c>
      <c r="J703" t="s">
        <v>2593</v>
      </c>
      <c r="K703" t="s">
        <v>2538</v>
      </c>
      <c r="L703">
        <v>1</v>
      </c>
      <c r="M703"/>
      <c r="N703" t="s">
        <v>2544</v>
      </c>
      <c r="O703" s="31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03" t="s">
        <v>16</v>
      </c>
      <c r="Q703"/>
    </row>
    <row r="704" spans="1:17" ht="15" x14ac:dyDescent="0.25">
      <c r="A704" t="s">
        <v>5</v>
      </c>
      <c r="B704" t="s">
        <v>54</v>
      </c>
      <c r="C704" t="s">
        <v>44</v>
      </c>
      <c r="D704" t="s">
        <v>1076</v>
      </c>
      <c r="E704" t="s">
        <v>1077</v>
      </c>
      <c r="F704" t="s">
        <v>1013</v>
      </c>
      <c r="G704" s="30">
        <v>76.25</v>
      </c>
      <c r="H704" s="29">
        <f>G704*(1-IFERROR(VLOOKUP(F704,Rabat!$D$10:$E$41,2,FALSE),0))</f>
        <v>76.25</v>
      </c>
      <c r="I704" t="s">
        <v>2540</v>
      </c>
      <c r="J704" t="s">
        <v>2564</v>
      </c>
      <c r="K704" t="s">
        <v>2538</v>
      </c>
      <c r="L704">
        <v>6</v>
      </c>
      <c r="M704"/>
      <c r="N704" t="s">
        <v>2544</v>
      </c>
      <c r="O704" s="31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04" t="s">
        <v>16</v>
      </c>
      <c r="Q704"/>
    </row>
    <row r="705" spans="1:17" ht="15" x14ac:dyDescent="0.25">
      <c r="A705" t="s">
        <v>5</v>
      </c>
      <c r="B705" t="s">
        <v>54</v>
      </c>
      <c r="C705" t="s">
        <v>889</v>
      </c>
      <c r="D705" t="s">
        <v>1068</v>
      </c>
      <c r="E705" t="s">
        <v>1069</v>
      </c>
      <c r="F705" t="s">
        <v>1013</v>
      </c>
      <c r="G705" s="30">
        <v>166.67</v>
      </c>
      <c r="H705" s="29">
        <f>G705*(1-IFERROR(VLOOKUP(F705,Rabat!$D$10:$E$41,2,FALSE),0))</f>
        <v>166.67</v>
      </c>
      <c r="I705" t="s">
        <v>2540</v>
      </c>
      <c r="J705" t="s">
        <v>2562</v>
      </c>
      <c r="K705" t="s">
        <v>2538</v>
      </c>
      <c r="L705">
        <v>8</v>
      </c>
      <c r="M705">
        <v>40</v>
      </c>
      <c r="N705" t="s">
        <v>2544</v>
      </c>
      <c r="O705" s="31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05" t="s">
        <v>16</v>
      </c>
      <c r="Q705"/>
    </row>
    <row r="706" spans="1:17" ht="15" x14ac:dyDescent="0.25">
      <c r="A706" t="s">
        <v>5</v>
      </c>
      <c r="B706" t="s">
        <v>54</v>
      </c>
      <c r="C706" t="s">
        <v>889</v>
      </c>
      <c r="D706" t="s">
        <v>1070</v>
      </c>
      <c r="E706" t="s">
        <v>1071</v>
      </c>
      <c r="F706" t="s">
        <v>1013</v>
      </c>
      <c r="G706" s="30">
        <v>266.44</v>
      </c>
      <c r="H706" s="29">
        <f>G706*(1-IFERROR(VLOOKUP(F706,Rabat!$D$10:$E$41,2,FALSE),0))</f>
        <v>266.44</v>
      </c>
      <c r="I706" t="s">
        <v>2540</v>
      </c>
      <c r="J706" t="s">
        <v>2563</v>
      </c>
      <c r="K706" t="s">
        <v>2538</v>
      </c>
      <c r="L706">
        <v>8</v>
      </c>
      <c r="M706"/>
      <c r="N706" t="s">
        <v>2544</v>
      </c>
      <c r="O706" s="31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06" t="s">
        <v>16</v>
      </c>
      <c r="Q706"/>
    </row>
    <row r="707" spans="1:17" ht="15" x14ac:dyDescent="0.25">
      <c r="A707" t="s">
        <v>861</v>
      </c>
      <c r="B707" t="s">
        <v>857</v>
      </c>
      <c r="C707" t="s">
        <v>840</v>
      </c>
      <c r="D707" t="s">
        <v>862</v>
      </c>
      <c r="E707" t="s">
        <v>863</v>
      </c>
      <c r="F707" t="s">
        <v>860</v>
      </c>
      <c r="G707" s="30">
        <v>48.51</v>
      </c>
      <c r="H707" s="29">
        <f>G707*(1-IFERROR(VLOOKUP(F707,Rabat!$D$10:$E$41,2,FALSE),0))</f>
        <v>48.51</v>
      </c>
      <c r="I707" t="s">
        <v>2540</v>
      </c>
      <c r="J707" t="s">
        <v>555</v>
      </c>
      <c r="K707" t="s">
        <v>2538</v>
      </c>
      <c r="L707">
        <v>100</v>
      </c>
      <c r="M707"/>
      <c r="N707" t="s">
        <v>2545</v>
      </c>
      <c r="O707" s="31" t="str">
        <f>HYPERLINK("https://b2b.kobi.pl/pl/product/10671,czujnik-ruchu-lx01-160-pir-bialy-kobi-premium?currency=PLN")</f>
        <v>https://b2b.kobi.pl/pl/product/10671,czujnik-ruchu-lx01-160-pir-bialy-kobi-premium?currency=PLN</v>
      </c>
      <c r="P707" t="s">
        <v>16</v>
      </c>
      <c r="Q707"/>
    </row>
    <row r="708" spans="1:17" ht="15" x14ac:dyDescent="0.25">
      <c r="A708" t="s">
        <v>861</v>
      </c>
      <c r="B708" t="s">
        <v>857</v>
      </c>
      <c r="C708" t="s">
        <v>840</v>
      </c>
      <c r="D708" t="s">
        <v>864</v>
      </c>
      <c r="E708" t="s">
        <v>865</v>
      </c>
      <c r="F708" t="s">
        <v>860</v>
      </c>
      <c r="G708" s="30">
        <v>48.65</v>
      </c>
      <c r="H708" s="29">
        <f>G708*(1-IFERROR(VLOOKUP(F708,Rabat!$D$10:$E$41,2,FALSE),0))</f>
        <v>48.65</v>
      </c>
      <c r="I708" t="s">
        <v>2540</v>
      </c>
      <c r="J708" t="s">
        <v>556</v>
      </c>
      <c r="K708" t="s">
        <v>2538</v>
      </c>
      <c r="L708">
        <v>50</v>
      </c>
      <c r="M708"/>
      <c r="N708" t="s">
        <v>2545</v>
      </c>
      <c r="O708" s="31" t="str">
        <f>HYPERLINK("https://b2b.kobi.pl/pl/product/10672,czujnik-ruchu-lx06-360-pir-kobi-premium?currency=PLN")</f>
        <v>https://b2b.kobi.pl/pl/product/10672,czujnik-ruchu-lx06-360-pir-kobi-premium?currency=PLN</v>
      </c>
      <c r="P708" t="s">
        <v>16</v>
      </c>
      <c r="Q708"/>
    </row>
    <row r="709" spans="1:17" ht="15" x14ac:dyDescent="0.25">
      <c r="A709" t="s">
        <v>861</v>
      </c>
      <c r="B709" t="s">
        <v>857</v>
      </c>
      <c r="C709" t="s">
        <v>840</v>
      </c>
      <c r="D709" t="s">
        <v>866</v>
      </c>
      <c r="E709" t="s">
        <v>867</v>
      </c>
      <c r="F709" t="s">
        <v>860</v>
      </c>
      <c r="G709" s="30">
        <v>38.22</v>
      </c>
      <c r="H709" s="29">
        <f>G709*(1-IFERROR(VLOOKUP(F709,Rabat!$D$10:$E$41,2,FALSE),0))</f>
        <v>38.22</v>
      </c>
      <c r="I709" t="s">
        <v>2540</v>
      </c>
      <c r="J709" t="s">
        <v>557</v>
      </c>
      <c r="K709" t="s">
        <v>2538</v>
      </c>
      <c r="L709">
        <v>50</v>
      </c>
      <c r="M709">
        <v>1400</v>
      </c>
      <c r="N709" t="s">
        <v>2545</v>
      </c>
      <c r="O709" s="31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09" t="s">
        <v>16</v>
      </c>
      <c r="Q709"/>
    </row>
    <row r="710" spans="1:17" ht="15" x14ac:dyDescent="0.25">
      <c r="A710" t="s">
        <v>861</v>
      </c>
      <c r="B710" t="s">
        <v>857</v>
      </c>
      <c r="C710" t="s">
        <v>840</v>
      </c>
      <c r="D710" t="s">
        <v>868</v>
      </c>
      <c r="E710" t="s">
        <v>869</v>
      </c>
      <c r="F710" t="s">
        <v>860</v>
      </c>
      <c r="G710" s="30">
        <v>38.22</v>
      </c>
      <c r="H710" s="29">
        <f>G710*(1-IFERROR(VLOOKUP(F710,Rabat!$D$10:$E$41,2,FALSE),0))</f>
        <v>38.22</v>
      </c>
      <c r="I710" t="s">
        <v>2540</v>
      </c>
      <c r="J710" t="s">
        <v>558</v>
      </c>
      <c r="K710" t="s">
        <v>2538</v>
      </c>
      <c r="L710">
        <v>50</v>
      </c>
      <c r="M710"/>
      <c r="N710" t="s">
        <v>2545</v>
      </c>
      <c r="O710" s="31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10" t="s">
        <v>16</v>
      </c>
      <c r="Q710"/>
    </row>
    <row r="711" spans="1:17" ht="15" x14ac:dyDescent="0.25">
      <c r="A711" t="s">
        <v>861</v>
      </c>
      <c r="B711" t="s">
        <v>857</v>
      </c>
      <c r="C711" t="s">
        <v>840</v>
      </c>
      <c r="D711" t="s">
        <v>870</v>
      </c>
      <c r="E711" t="s">
        <v>871</v>
      </c>
      <c r="F711" t="s">
        <v>860</v>
      </c>
      <c r="G711" s="30">
        <v>45.99</v>
      </c>
      <c r="H711" s="29">
        <f>G711*(1-IFERROR(VLOOKUP(F711,Rabat!$D$10:$E$41,2,FALSE),0))</f>
        <v>45.99</v>
      </c>
      <c r="I711" t="s">
        <v>2540</v>
      </c>
      <c r="J711" t="s">
        <v>559</v>
      </c>
      <c r="K711" t="s">
        <v>2538</v>
      </c>
      <c r="L711">
        <v>50</v>
      </c>
      <c r="M711">
        <v>1000</v>
      </c>
      <c r="N711" t="s">
        <v>2545</v>
      </c>
      <c r="O711" s="31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11" t="s">
        <v>16</v>
      </c>
      <c r="Q711"/>
    </row>
    <row r="712" spans="1:17" ht="15" x14ac:dyDescent="0.25">
      <c r="A712" t="s">
        <v>861</v>
      </c>
      <c r="B712" t="s">
        <v>857</v>
      </c>
      <c r="C712" t="s">
        <v>840</v>
      </c>
      <c r="D712" t="s">
        <v>872</v>
      </c>
      <c r="E712" t="s">
        <v>873</v>
      </c>
      <c r="F712" t="s">
        <v>860</v>
      </c>
      <c r="G712" s="30">
        <v>45.99</v>
      </c>
      <c r="H712" s="29">
        <f>G712*(1-IFERROR(VLOOKUP(F712,Rabat!$D$10:$E$41,2,FALSE),0))</f>
        <v>45.99</v>
      </c>
      <c r="I712" t="s">
        <v>2540</v>
      </c>
      <c r="J712" t="s">
        <v>560</v>
      </c>
      <c r="K712" t="s">
        <v>2538</v>
      </c>
      <c r="L712">
        <v>50</v>
      </c>
      <c r="M712"/>
      <c r="N712" t="s">
        <v>2545</v>
      </c>
      <c r="O712" s="31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12" t="s">
        <v>16</v>
      </c>
      <c r="Q712"/>
    </row>
    <row r="713" spans="1:17" ht="15" x14ac:dyDescent="0.25">
      <c r="A713" t="s">
        <v>861</v>
      </c>
      <c r="B713" t="s">
        <v>857</v>
      </c>
      <c r="C713" t="s">
        <v>840</v>
      </c>
      <c r="D713" t="s">
        <v>874</v>
      </c>
      <c r="E713" t="s">
        <v>875</v>
      </c>
      <c r="F713" t="s">
        <v>860</v>
      </c>
      <c r="G713" s="30">
        <v>50</v>
      </c>
      <c r="H713" s="29">
        <f>G713*(1-IFERROR(VLOOKUP(F713,Rabat!$D$10:$E$41,2,FALSE),0))</f>
        <v>50</v>
      </c>
      <c r="I713" t="s">
        <v>2540</v>
      </c>
      <c r="J713" t="s">
        <v>561</v>
      </c>
      <c r="K713" t="s">
        <v>2538</v>
      </c>
      <c r="L713">
        <v>50</v>
      </c>
      <c r="M713"/>
      <c r="N713" t="s">
        <v>2545</v>
      </c>
      <c r="O713" s="31" t="str">
        <f>HYPERLINK("https://b2b.kobi.pl/pl/product/10678,czujnik-ruchu-lx41-360-pir-bialy-kobi-premium?currency=PLN")</f>
        <v>https://b2b.kobi.pl/pl/product/10678,czujnik-ruchu-lx41-360-pir-bialy-kobi-premium?currency=PLN</v>
      </c>
      <c r="P713" t="s">
        <v>16</v>
      </c>
      <c r="Q713"/>
    </row>
    <row r="714" spans="1:17" ht="15" x14ac:dyDescent="0.25">
      <c r="A714" t="s">
        <v>861</v>
      </c>
      <c r="B714" t="s">
        <v>857</v>
      </c>
      <c r="C714" t="s">
        <v>840</v>
      </c>
      <c r="D714" t="s">
        <v>876</v>
      </c>
      <c r="E714" t="s">
        <v>877</v>
      </c>
      <c r="F714" t="s">
        <v>860</v>
      </c>
      <c r="G714" s="30">
        <v>46.4</v>
      </c>
      <c r="H714" s="29">
        <f>G714*(1-IFERROR(VLOOKUP(F714,Rabat!$D$10:$E$41,2,FALSE),0))</f>
        <v>46.4</v>
      </c>
      <c r="I714" t="s">
        <v>2540</v>
      </c>
      <c r="J714" t="s">
        <v>562</v>
      </c>
      <c r="K714" t="s">
        <v>2538</v>
      </c>
      <c r="L714">
        <v>100</v>
      </c>
      <c r="M714"/>
      <c r="N714" t="s">
        <v>2545</v>
      </c>
      <c r="O714" s="31" t="str">
        <f>HYPERLINK("https://b2b.kobi.pl/pl/product/10679,czujnik-ruchu-lx42-360-pir-kobi-premium?currency=PLN")</f>
        <v>https://b2b.kobi.pl/pl/product/10679,czujnik-ruchu-lx42-360-pir-kobi-premium?currency=PLN</v>
      </c>
      <c r="P714" t="s">
        <v>16</v>
      </c>
      <c r="Q714"/>
    </row>
    <row r="715" spans="1:17" ht="15" x14ac:dyDescent="0.25">
      <c r="A715" t="s">
        <v>861</v>
      </c>
      <c r="B715" t="s">
        <v>857</v>
      </c>
      <c r="C715" t="s">
        <v>792</v>
      </c>
      <c r="D715" t="s">
        <v>878</v>
      </c>
      <c r="E715" t="s">
        <v>879</v>
      </c>
      <c r="F715" t="s">
        <v>860</v>
      </c>
      <c r="G715" s="30">
        <v>58</v>
      </c>
      <c r="H715" s="29">
        <f>G715*(1-IFERROR(VLOOKUP(F715,Rabat!$D$10:$E$41,2,FALSE),0))</f>
        <v>58</v>
      </c>
      <c r="I715" t="s">
        <v>2540</v>
      </c>
      <c r="J715" t="s">
        <v>554</v>
      </c>
      <c r="K715" t="s">
        <v>2538</v>
      </c>
      <c r="L715">
        <v>100</v>
      </c>
      <c r="M715">
        <v>5600</v>
      </c>
      <c r="N715" t="s">
        <v>2539</v>
      </c>
      <c r="O715" s="31" t="str">
        <f>HYPERLINK("https://b2b.kobi.pl/pl/product/10681,czujnik-ruchu-lx701-360-mic-kobi-pro?currency=PLN")</f>
        <v>https://b2b.kobi.pl/pl/product/10681,czujnik-ruchu-lx701-360-mic-kobi-pro?currency=PLN</v>
      </c>
      <c r="P715" t="s">
        <v>16</v>
      </c>
      <c r="Q715"/>
    </row>
    <row r="716" spans="1:17" ht="15" x14ac:dyDescent="0.25">
      <c r="A716" t="s">
        <v>861</v>
      </c>
      <c r="B716" t="s">
        <v>857</v>
      </c>
      <c r="C716" t="s">
        <v>792</v>
      </c>
      <c r="D716" t="s">
        <v>1816</v>
      </c>
      <c r="E716" t="s">
        <v>1817</v>
      </c>
      <c r="F716" t="s">
        <v>860</v>
      </c>
      <c r="G716" s="30">
        <v>218</v>
      </c>
      <c r="H716" s="29">
        <f>G716*(1-IFERROR(VLOOKUP(F716,Rabat!$D$10:$E$41,2,FALSE),0))</f>
        <v>218</v>
      </c>
      <c r="I716" t="s">
        <v>2540</v>
      </c>
      <c r="J716" t="s">
        <v>565</v>
      </c>
      <c r="K716" t="s">
        <v>2538</v>
      </c>
      <c r="L716">
        <v>1</v>
      </c>
      <c r="M716"/>
      <c r="N716" t="s">
        <v>2544</v>
      </c>
      <c r="O716" s="31" t="str">
        <f>HYPERLINK("https://b2b.kobi.pl/pl/product/10682,pilot-do-czujnika-ruchu-zhaga-hd05r?currency=PLN")</f>
        <v>https://b2b.kobi.pl/pl/product/10682,pilot-do-czujnika-ruchu-zhaga-hd05r?currency=PLN</v>
      </c>
      <c r="P716" t="s">
        <v>16</v>
      </c>
      <c r="Q716"/>
    </row>
    <row r="717" spans="1:17" ht="15" x14ac:dyDescent="0.25">
      <c r="A717" t="s">
        <v>861</v>
      </c>
      <c r="B717" t="s">
        <v>857</v>
      </c>
      <c r="C717" t="s">
        <v>858</v>
      </c>
      <c r="D717" t="s">
        <v>2527</v>
      </c>
      <c r="E717" t="s">
        <v>2528</v>
      </c>
      <c r="F717" t="s">
        <v>860</v>
      </c>
      <c r="G717" s="30">
        <v>110</v>
      </c>
      <c r="H717" s="29">
        <f>G717*(1-IFERROR(VLOOKUP(F717,Rabat!$D$10:$E$41,2,FALSE),0))</f>
        <v>110</v>
      </c>
      <c r="I717" t="s">
        <v>2540</v>
      </c>
      <c r="J717" t="s">
        <v>563</v>
      </c>
      <c r="K717" t="s">
        <v>2538</v>
      </c>
      <c r="L717">
        <v>100</v>
      </c>
      <c r="M717"/>
      <c r="N717" t="s">
        <v>2544</v>
      </c>
      <c r="O717"/>
      <c r="P717" t="s">
        <v>16</v>
      </c>
      <c r="Q717"/>
    </row>
    <row r="718" spans="1:17" ht="15" x14ac:dyDescent="0.25">
      <c r="A718" t="s">
        <v>861</v>
      </c>
      <c r="B718" t="s">
        <v>857</v>
      </c>
      <c r="C718" t="s">
        <v>858</v>
      </c>
      <c r="D718" t="s">
        <v>1406</v>
      </c>
      <c r="E718" t="s">
        <v>1407</v>
      </c>
      <c r="F718" t="s">
        <v>860</v>
      </c>
      <c r="G718" s="30">
        <v>110</v>
      </c>
      <c r="H718" s="29">
        <f>G718*(1-IFERROR(VLOOKUP(F718,Rabat!$D$10:$E$41,2,FALSE),0))</f>
        <v>110</v>
      </c>
      <c r="I718" t="s">
        <v>2540</v>
      </c>
      <c r="J718" t="s">
        <v>564</v>
      </c>
      <c r="K718" t="s">
        <v>2538</v>
      </c>
      <c r="L718">
        <v>1</v>
      </c>
      <c r="M718"/>
      <c r="N718" t="s">
        <v>2544</v>
      </c>
      <c r="O718" s="31" t="str">
        <f>HYPERLINK("https://b2b.kobi.pl/pl/product/10684,motion-sensor-zhaga-hd06vcrh7c?currency=PLN")</f>
        <v>https://b2b.kobi.pl/pl/product/10684,motion-sensor-zhaga-hd06vcrh7c?currency=PLN</v>
      </c>
      <c r="P718" t="s">
        <v>16</v>
      </c>
      <c r="Q718"/>
    </row>
    <row r="719" spans="1:17" ht="15" x14ac:dyDescent="0.25">
      <c r="A719" t="s">
        <v>4</v>
      </c>
      <c r="B719" t="s">
        <v>857</v>
      </c>
      <c r="C719" t="s">
        <v>858</v>
      </c>
      <c r="D719" t="s">
        <v>746</v>
      </c>
      <c r="E719" t="s">
        <v>859</v>
      </c>
      <c r="F719" t="s">
        <v>860</v>
      </c>
      <c r="G719" s="30">
        <v>300</v>
      </c>
      <c r="H719" s="29">
        <f>G719*(1-IFERROR(VLOOKUP(F719,Rabat!$D$10:$E$41,2,FALSE),0))</f>
        <v>300</v>
      </c>
      <c r="I719" t="s">
        <v>2540</v>
      </c>
      <c r="J719" t="s">
        <v>750</v>
      </c>
      <c r="K719" t="s">
        <v>2538</v>
      </c>
      <c r="L719"/>
      <c r="M719"/>
      <c r="N719" t="s">
        <v>2544</v>
      </c>
      <c r="O719" s="31" t="str">
        <f>HYPERLINK("https://b2b.kobi.pl/pl/product/12215,czujnik-ruchu-bluetooth-zhaga?currency=PLN")</f>
        <v>https://b2b.kobi.pl/pl/product/12215,czujnik-ruchu-bluetooth-zhaga?currency=PLN</v>
      </c>
      <c r="P719" t="s">
        <v>16</v>
      </c>
      <c r="Q719"/>
    </row>
    <row r="720" spans="1:17" ht="15" x14ac:dyDescent="0.25">
      <c r="A720" t="s">
        <v>861</v>
      </c>
      <c r="B720" t="s">
        <v>857</v>
      </c>
      <c r="C720" t="s">
        <v>858</v>
      </c>
      <c r="D720" t="s">
        <v>880</v>
      </c>
      <c r="E720" t="s">
        <v>881</v>
      </c>
      <c r="F720" t="s">
        <v>860</v>
      </c>
      <c r="G720" s="30">
        <v>68</v>
      </c>
      <c r="H720" s="29">
        <f>G720*(1-IFERROR(VLOOKUP(F720,Rabat!$D$10:$E$41,2,FALSE),0))</f>
        <v>68</v>
      </c>
      <c r="I720" t="s">
        <v>2540</v>
      </c>
      <c r="J720" t="s">
        <v>741</v>
      </c>
      <c r="K720" t="s">
        <v>2538</v>
      </c>
      <c r="L720">
        <v>100</v>
      </c>
      <c r="M720"/>
      <c r="N720" t="s">
        <v>2544</v>
      </c>
      <c r="O720" s="31" t="str">
        <f>HYPERLINK("https://b2b.kobi.pl/pl/product/10680,czujnik-zmierzchowy-lx501-kobi?currency=PLN")</f>
        <v>https://b2b.kobi.pl/pl/product/10680,czujnik-zmierzchowy-lx501-kobi?currency=PLN</v>
      </c>
      <c r="P720" t="s">
        <v>16</v>
      </c>
      <c r="Q720"/>
    </row>
    <row r="721" spans="1:17" ht="15" x14ac:dyDescent="0.25">
      <c r="A721" t="s">
        <v>4</v>
      </c>
      <c r="B721" t="s">
        <v>1614</v>
      </c>
      <c r="C721" t="s">
        <v>858</v>
      </c>
      <c r="D721" t="s">
        <v>1615</v>
      </c>
      <c r="E721" t="s">
        <v>1616</v>
      </c>
      <c r="F721" t="s">
        <v>1617</v>
      </c>
      <c r="G721" s="30">
        <v>74.61</v>
      </c>
      <c r="H721" s="29">
        <f>G721*(1-IFERROR(VLOOKUP(F721,Rabat!$D$10:$E$41,2,FALSE),0))</f>
        <v>74.61</v>
      </c>
      <c r="I721" t="s">
        <v>2540</v>
      </c>
      <c r="J721" t="s">
        <v>325</v>
      </c>
      <c r="K721" t="s">
        <v>2538</v>
      </c>
      <c r="L721">
        <v>6</v>
      </c>
      <c r="M721">
        <v>120</v>
      </c>
      <c r="N721" t="s">
        <v>2544</v>
      </c>
      <c r="O721" s="31" t="str">
        <f>HYPERLINK("https://b2b.kobi.pl/pl/product/10221,oprawa-liniowa-zebra-2x120-kobi?currency=PLN")</f>
        <v>https://b2b.kobi.pl/pl/product/10221,oprawa-liniowa-zebra-2x120-kobi?currency=PLN</v>
      </c>
      <c r="P721" t="s">
        <v>16</v>
      </c>
      <c r="Q721"/>
    </row>
    <row r="722" spans="1:17" ht="15" x14ac:dyDescent="0.25">
      <c r="A722" t="s">
        <v>861</v>
      </c>
      <c r="B722" t="s">
        <v>1024</v>
      </c>
      <c r="C722" t="s">
        <v>858</v>
      </c>
      <c r="D722" t="s">
        <v>1025</v>
      </c>
      <c r="E722" t="s">
        <v>1026</v>
      </c>
      <c r="F722" t="s">
        <v>860</v>
      </c>
      <c r="G722" s="30">
        <v>1.49</v>
      </c>
      <c r="H722" s="29">
        <f>G722*(1-IFERROR(VLOOKUP(F722,Rabat!$D$10:$E$41,2,FALSE),0))</f>
        <v>1.49</v>
      </c>
      <c r="I722" t="s">
        <v>2540</v>
      </c>
      <c r="J722" t="s">
        <v>568</v>
      </c>
      <c r="K722" t="s">
        <v>2538</v>
      </c>
      <c r="L722">
        <v>200</v>
      </c>
      <c r="M722"/>
      <c r="N722" t="s">
        <v>2544</v>
      </c>
      <c r="O722" s="31" t="str">
        <f>HYPERLINK("https://b2b.kobi.pl/pl/product/10704,kostka-halogenowa-k001-g5-3-kobi?currency=PLN")</f>
        <v>https://b2b.kobi.pl/pl/product/10704,kostka-halogenowa-k001-g5-3-kobi?currency=PLN</v>
      </c>
      <c r="P722" t="s">
        <v>16</v>
      </c>
      <c r="Q722"/>
    </row>
    <row r="723" spans="1:17" ht="15" x14ac:dyDescent="0.25">
      <c r="A723" t="s">
        <v>861</v>
      </c>
      <c r="B723" t="s">
        <v>1024</v>
      </c>
      <c r="C723" t="s">
        <v>858</v>
      </c>
      <c r="D723" t="s">
        <v>1027</v>
      </c>
      <c r="E723" t="s">
        <v>1028</v>
      </c>
      <c r="F723" t="s">
        <v>860</v>
      </c>
      <c r="G723" s="30">
        <v>1.74</v>
      </c>
      <c r="H723" s="29">
        <f>G723*(1-IFERROR(VLOOKUP(F723,Rabat!$D$10:$E$41,2,FALSE),0))</f>
        <v>1.74</v>
      </c>
      <c r="I723" t="s">
        <v>2540</v>
      </c>
      <c r="J723" t="s">
        <v>569</v>
      </c>
      <c r="K723" t="s">
        <v>2538</v>
      </c>
      <c r="L723">
        <v>50</v>
      </c>
      <c r="M723">
        <v>32000</v>
      </c>
      <c r="N723" t="s">
        <v>2544</v>
      </c>
      <c r="O723" s="31" t="str">
        <f>HYPERLINK("https://b2b.kobi.pl/pl/product/10705,kostka-halogenowa-k002-gu10-kobi?currency=PLN")</f>
        <v>https://b2b.kobi.pl/pl/product/10705,kostka-halogenowa-k002-gu10-kobi?currency=PLN</v>
      </c>
      <c r="P723" t="s">
        <v>16</v>
      </c>
      <c r="Q723"/>
    </row>
    <row r="724" spans="1:17" ht="15" x14ac:dyDescent="0.25">
      <c r="A724" t="s">
        <v>861</v>
      </c>
      <c r="B724" t="s">
        <v>1024</v>
      </c>
      <c r="C724" t="s">
        <v>858</v>
      </c>
      <c r="D724" t="s">
        <v>1796</v>
      </c>
      <c r="E724" t="s">
        <v>1797</v>
      </c>
      <c r="F724" t="s">
        <v>860</v>
      </c>
      <c r="G724" s="30">
        <v>1.49</v>
      </c>
      <c r="H724" s="29">
        <f>G724*(1-IFERROR(VLOOKUP(F724,Rabat!$D$10:$E$41,2,FALSE),0))</f>
        <v>1.49</v>
      </c>
      <c r="I724" t="s">
        <v>2540</v>
      </c>
      <c r="J724" t="s">
        <v>570</v>
      </c>
      <c r="K724" t="s">
        <v>2538</v>
      </c>
      <c r="L724">
        <v>280</v>
      </c>
      <c r="M724">
        <v>13720</v>
      </c>
      <c r="N724" t="s">
        <v>2544</v>
      </c>
      <c r="O724" s="31" t="str">
        <f>HYPERLINK("https://b2b.kobi.pl/pl/product/10706,oprawka-porcelanowa-z-blaszka-k003-e27-kobi?currency=PLN")</f>
        <v>https://b2b.kobi.pl/pl/product/10706,oprawka-porcelanowa-z-blaszka-k003-e27-kobi?currency=PLN</v>
      </c>
      <c r="P724" t="s">
        <v>16</v>
      </c>
      <c r="Q724"/>
    </row>
    <row r="725" spans="1:17" ht="15" x14ac:dyDescent="0.25">
      <c r="A725" t="s">
        <v>5</v>
      </c>
      <c r="B725" t="s">
        <v>1031</v>
      </c>
      <c r="C725" t="s">
        <v>889</v>
      </c>
      <c r="D725" t="s">
        <v>1032</v>
      </c>
      <c r="E725" t="s">
        <v>1033</v>
      </c>
      <c r="F725" t="s">
        <v>1034</v>
      </c>
      <c r="G725" s="30">
        <v>275.19</v>
      </c>
      <c r="H725" s="29">
        <f>G725*(1-IFERROR(VLOOKUP(F725,Rabat!$D$10:$E$41,2,FALSE),0))</f>
        <v>275.19</v>
      </c>
      <c r="I725" t="s">
        <v>2540</v>
      </c>
      <c r="J725" t="s">
        <v>641</v>
      </c>
      <c r="K725" t="s">
        <v>2538</v>
      </c>
      <c r="L725">
        <v>10</v>
      </c>
      <c r="M725"/>
      <c r="N725" t="s">
        <v>2544</v>
      </c>
      <c r="O725" s="31" t="str">
        <f>HYPERLINK("https://b2b.kobi.pl/pl/product/9793,lampa-do-roslin-led-bloom-20w-3500k-kobi-design?currency=PLN")</f>
        <v>https://b2b.kobi.pl/pl/product/9793,lampa-do-roslin-led-bloom-20w-3500k-kobi-design?currency=PLN</v>
      </c>
      <c r="P725" t="s">
        <v>16</v>
      </c>
      <c r="Q725"/>
    </row>
    <row r="726" spans="1:17" ht="15" x14ac:dyDescent="0.25">
      <c r="A726" t="s">
        <v>5</v>
      </c>
      <c r="B726" t="s">
        <v>1031</v>
      </c>
      <c r="C726" t="s">
        <v>889</v>
      </c>
      <c r="D726" t="s">
        <v>1037</v>
      </c>
      <c r="E726" t="s">
        <v>1038</v>
      </c>
      <c r="F726" t="s">
        <v>1034</v>
      </c>
      <c r="G726" s="30">
        <v>60.58</v>
      </c>
      <c r="H726" s="29">
        <f>G726*(1-IFERROR(VLOOKUP(F726,Rabat!$D$10:$E$41,2,FALSE),0))</f>
        <v>60.58</v>
      </c>
      <c r="I726" t="s">
        <v>2540</v>
      </c>
      <c r="J726" t="s">
        <v>642</v>
      </c>
      <c r="K726" t="s">
        <v>2538</v>
      </c>
      <c r="L726">
        <v>20</v>
      </c>
      <c r="M726"/>
      <c r="N726" t="s">
        <v>2544</v>
      </c>
      <c r="O726" s="31" t="str">
        <f>HYPERLINK("https://b2b.kobi.pl/pl/product/9794,lampa-do-roslin-led-verdi-5w-3200k-kobi-design?currency=PLN")</f>
        <v>https://b2b.kobi.pl/pl/product/9794,lampa-do-roslin-led-verdi-5w-3200k-kobi-design?currency=PLN</v>
      </c>
      <c r="P726" t="s">
        <v>16</v>
      </c>
      <c r="Q726" t="s">
        <v>2700</v>
      </c>
    </row>
    <row r="727" spans="1:17" ht="15" x14ac:dyDescent="0.25">
      <c r="A727" t="s">
        <v>5</v>
      </c>
      <c r="B727" t="s">
        <v>1031</v>
      </c>
      <c r="C727" t="s">
        <v>889</v>
      </c>
      <c r="D727" t="s">
        <v>1039</v>
      </c>
      <c r="E727" t="s">
        <v>1040</v>
      </c>
      <c r="F727" t="s">
        <v>1034</v>
      </c>
      <c r="G727" s="30">
        <v>82.92</v>
      </c>
      <c r="H727" s="29">
        <f>G727*(1-IFERROR(VLOOKUP(F727,Rabat!$D$10:$E$41,2,FALSE),0))</f>
        <v>82.92</v>
      </c>
      <c r="I727" t="s">
        <v>2540</v>
      </c>
      <c r="J727" t="s">
        <v>643</v>
      </c>
      <c r="K727" t="s">
        <v>2538</v>
      </c>
      <c r="L727">
        <v>20</v>
      </c>
      <c r="M727"/>
      <c r="N727" t="s">
        <v>2544</v>
      </c>
      <c r="O727" s="31" t="str">
        <f>HYPERLINK("https://b2b.kobi.pl/pl/product/9795,lampa-do-roslin-led-verdi-10w-3200k-kobi-design?currency=PLN")</f>
        <v>https://b2b.kobi.pl/pl/product/9795,lampa-do-roslin-led-verdi-10w-3200k-kobi-design?currency=PLN</v>
      </c>
      <c r="P727" t="s">
        <v>16</v>
      </c>
      <c r="Q727"/>
    </row>
    <row r="728" spans="1:17" ht="15" x14ac:dyDescent="0.25">
      <c r="A728" t="s">
        <v>5</v>
      </c>
      <c r="B728" t="s">
        <v>1031</v>
      </c>
      <c r="C728" t="s">
        <v>889</v>
      </c>
      <c r="D728" t="s">
        <v>2112</v>
      </c>
      <c r="E728" t="s">
        <v>2113</v>
      </c>
      <c r="F728" t="s">
        <v>1034</v>
      </c>
      <c r="G728" s="30">
        <v>29.75</v>
      </c>
      <c r="H728" s="29">
        <f>G728*(1-IFERROR(VLOOKUP(F728,Rabat!$D$10:$E$41,2,FALSE),0))</f>
        <v>29.75</v>
      </c>
      <c r="I728" t="s">
        <v>2540</v>
      </c>
      <c r="J728" t="s">
        <v>706</v>
      </c>
      <c r="K728" t="s">
        <v>2538</v>
      </c>
      <c r="L728">
        <v>50</v>
      </c>
      <c r="M728"/>
      <c r="N728" t="s">
        <v>2544</v>
      </c>
      <c r="O728" s="31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728" t="s">
        <v>16</v>
      </c>
      <c r="Q728"/>
    </row>
    <row r="729" spans="1:17" ht="15" x14ac:dyDescent="0.25">
      <c r="A729" t="s">
        <v>5</v>
      </c>
      <c r="B729" t="s">
        <v>1031</v>
      </c>
      <c r="C729" t="s">
        <v>889</v>
      </c>
      <c r="D729" t="s">
        <v>2108</v>
      </c>
      <c r="E729" t="s">
        <v>2109</v>
      </c>
      <c r="F729" t="s">
        <v>1034</v>
      </c>
      <c r="G729" s="30">
        <v>31.25</v>
      </c>
      <c r="H729" s="29">
        <f>G729*(1-IFERROR(VLOOKUP(F729,Rabat!$D$10:$E$41,2,FALSE),0))</f>
        <v>31.25</v>
      </c>
      <c r="I729" t="s">
        <v>2540</v>
      </c>
      <c r="J729" t="s">
        <v>702</v>
      </c>
      <c r="K729" t="s">
        <v>2538</v>
      </c>
      <c r="L729">
        <v>50</v>
      </c>
      <c r="M729"/>
      <c r="N729" t="s">
        <v>2544</v>
      </c>
      <c r="O729" s="31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729" t="s">
        <v>16</v>
      </c>
      <c r="Q729"/>
    </row>
    <row r="730" spans="1:17" ht="15" x14ac:dyDescent="0.25">
      <c r="A730" t="s">
        <v>5</v>
      </c>
      <c r="B730" t="s">
        <v>1031</v>
      </c>
      <c r="C730" t="s">
        <v>889</v>
      </c>
      <c r="D730" t="s">
        <v>1207</v>
      </c>
      <c r="E730" t="s">
        <v>1208</v>
      </c>
      <c r="F730" t="s">
        <v>1034</v>
      </c>
      <c r="G730" s="30">
        <v>43.75</v>
      </c>
      <c r="H730" s="29">
        <f>G730*(1-IFERROR(VLOOKUP(F730,Rabat!$D$10:$E$41,2,FALSE),0))</f>
        <v>43.75</v>
      </c>
      <c r="I730" t="s">
        <v>2540</v>
      </c>
      <c r="J730" t="s">
        <v>701</v>
      </c>
      <c r="K730" t="s">
        <v>2538</v>
      </c>
      <c r="L730">
        <v>20</v>
      </c>
      <c r="M730"/>
      <c r="N730" t="s">
        <v>2544</v>
      </c>
      <c r="O730" s="31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730" t="s">
        <v>16</v>
      </c>
      <c r="Q730"/>
    </row>
    <row r="731" spans="1:17" ht="15" x14ac:dyDescent="0.25">
      <c r="A731" t="s">
        <v>5</v>
      </c>
      <c r="B731" t="s">
        <v>1031</v>
      </c>
      <c r="C731" t="s">
        <v>889</v>
      </c>
      <c r="D731" t="s">
        <v>1209</v>
      </c>
      <c r="E731" t="s">
        <v>1210</v>
      </c>
      <c r="F731" t="s">
        <v>1034</v>
      </c>
      <c r="G731" s="30">
        <v>43.75</v>
      </c>
      <c r="H731" s="29">
        <f>G731*(1-IFERROR(VLOOKUP(F731,Rabat!$D$10:$E$41,2,FALSE),0))</f>
        <v>43.75</v>
      </c>
      <c r="I731" t="s">
        <v>2540</v>
      </c>
      <c r="J731" t="s">
        <v>700</v>
      </c>
      <c r="K731" t="s">
        <v>2538</v>
      </c>
      <c r="L731">
        <v>20</v>
      </c>
      <c r="M731"/>
      <c r="N731" t="s">
        <v>2544</v>
      </c>
      <c r="O731" s="31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731" t="s">
        <v>16</v>
      </c>
      <c r="Q731"/>
    </row>
    <row r="732" spans="1:17" ht="15" x14ac:dyDescent="0.25">
      <c r="A732" t="s">
        <v>5</v>
      </c>
      <c r="B732" t="s">
        <v>1031</v>
      </c>
      <c r="C732" t="s">
        <v>889</v>
      </c>
      <c r="D732" t="s">
        <v>2104</v>
      </c>
      <c r="E732" t="s">
        <v>2105</v>
      </c>
      <c r="F732" t="s">
        <v>1034</v>
      </c>
      <c r="G732" s="30">
        <v>47.25</v>
      </c>
      <c r="H732" s="29">
        <f>G732*(1-IFERROR(VLOOKUP(F732,Rabat!$D$10:$E$41,2,FALSE),0))</f>
        <v>47.25</v>
      </c>
      <c r="I732" t="s">
        <v>2540</v>
      </c>
      <c r="J732" t="s">
        <v>703</v>
      </c>
      <c r="K732" t="s">
        <v>2538</v>
      </c>
      <c r="L732">
        <v>50</v>
      </c>
      <c r="M732"/>
      <c r="N732" t="s">
        <v>2544</v>
      </c>
      <c r="O732" s="31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732" t="s">
        <v>16</v>
      </c>
      <c r="Q732"/>
    </row>
    <row r="733" spans="1:17" ht="15" x14ac:dyDescent="0.25">
      <c r="A733" t="s">
        <v>5</v>
      </c>
      <c r="B733" t="s">
        <v>1031</v>
      </c>
      <c r="C733" t="s">
        <v>889</v>
      </c>
      <c r="D733" t="s">
        <v>2106</v>
      </c>
      <c r="E733" t="s">
        <v>2107</v>
      </c>
      <c r="F733" t="s">
        <v>1034</v>
      </c>
      <c r="G733" s="30">
        <v>73</v>
      </c>
      <c r="H733" s="29">
        <f>G733*(1-IFERROR(VLOOKUP(F733,Rabat!$D$10:$E$41,2,FALSE),0))</f>
        <v>73</v>
      </c>
      <c r="I733" t="s">
        <v>2540</v>
      </c>
      <c r="J733" t="s">
        <v>704</v>
      </c>
      <c r="K733" t="s">
        <v>2538</v>
      </c>
      <c r="L733">
        <v>25</v>
      </c>
      <c r="M733"/>
      <c r="N733" t="s">
        <v>2544</v>
      </c>
      <c r="O733" s="31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733" t="s">
        <v>16</v>
      </c>
      <c r="Q733"/>
    </row>
    <row r="734" spans="1:17" ht="15" x14ac:dyDescent="0.25">
      <c r="A734" t="s">
        <v>5</v>
      </c>
      <c r="B734" t="s">
        <v>1031</v>
      </c>
      <c r="C734" t="s">
        <v>889</v>
      </c>
      <c r="D734" t="s">
        <v>1035</v>
      </c>
      <c r="E734" t="s">
        <v>1036</v>
      </c>
      <c r="F734" t="s">
        <v>1034</v>
      </c>
      <c r="G734" s="30">
        <v>64.75</v>
      </c>
      <c r="H734" s="29">
        <f>G734*(1-IFERROR(VLOOKUP(F734,Rabat!$D$10:$E$41,2,FALSE),0))</f>
        <v>64.75</v>
      </c>
      <c r="I734" t="s">
        <v>2540</v>
      </c>
      <c r="J734" t="s">
        <v>699</v>
      </c>
      <c r="K734" t="s">
        <v>2538</v>
      </c>
      <c r="L734">
        <v>25</v>
      </c>
      <c r="M734"/>
      <c r="N734" t="s">
        <v>2544</v>
      </c>
      <c r="O734" s="31" t="str">
        <f>HYPERLINK("https://b2b.kobi.pl/pl/product/9847,lampa-do-roslin-led-growly-15w-kobi-design?currency=PLN")</f>
        <v>https://b2b.kobi.pl/pl/product/9847,lampa-do-roslin-led-growly-15w-kobi-design?currency=PLN</v>
      </c>
      <c r="P734" t="s">
        <v>16</v>
      </c>
      <c r="Q734"/>
    </row>
    <row r="735" spans="1:17" ht="15" x14ac:dyDescent="0.25">
      <c r="A735" t="s">
        <v>5</v>
      </c>
      <c r="B735" t="s">
        <v>1031</v>
      </c>
      <c r="C735" t="s">
        <v>889</v>
      </c>
      <c r="D735" t="s">
        <v>1211</v>
      </c>
      <c r="E735" t="s">
        <v>1212</v>
      </c>
      <c r="F735" t="s">
        <v>1034</v>
      </c>
      <c r="G735" s="30">
        <v>41.25</v>
      </c>
      <c r="H735" s="29">
        <f>G735*(1-IFERROR(VLOOKUP(F735,Rabat!$D$10:$E$41,2,FALSE),0))</f>
        <v>41.25</v>
      </c>
      <c r="I735" t="s">
        <v>2540</v>
      </c>
      <c r="J735" t="s">
        <v>698</v>
      </c>
      <c r="K735" t="s">
        <v>2538</v>
      </c>
      <c r="L735">
        <v>100</v>
      </c>
      <c r="M735"/>
      <c r="N735" t="s">
        <v>2544</v>
      </c>
      <c r="O735" s="31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735" t="s">
        <v>16</v>
      </c>
      <c r="Q735"/>
    </row>
    <row r="736" spans="1:17" ht="15" x14ac:dyDescent="0.25">
      <c r="A736" t="s">
        <v>5</v>
      </c>
      <c r="B736" t="s">
        <v>1031</v>
      </c>
      <c r="C736" t="s">
        <v>889</v>
      </c>
      <c r="D736" t="s">
        <v>2110</v>
      </c>
      <c r="E736" t="s">
        <v>2111</v>
      </c>
      <c r="F736" t="s">
        <v>1034</v>
      </c>
      <c r="G736" s="30">
        <v>16.25</v>
      </c>
      <c r="H736" s="29">
        <f>G736*(1-IFERROR(VLOOKUP(F736,Rabat!$D$10:$E$41,2,FALSE),0))</f>
        <v>16.25</v>
      </c>
      <c r="I736" t="s">
        <v>2540</v>
      </c>
      <c r="J736" t="s">
        <v>705</v>
      </c>
      <c r="K736" t="s">
        <v>2538</v>
      </c>
      <c r="L736">
        <v>50</v>
      </c>
      <c r="M736"/>
      <c r="N736" t="s">
        <v>2544</v>
      </c>
      <c r="O736" s="31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736" t="s">
        <v>16</v>
      </c>
      <c r="Q736"/>
    </row>
    <row r="737" spans="1:17" ht="15" x14ac:dyDescent="0.25">
      <c r="A737" t="s">
        <v>5</v>
      </c>
      <c r="B737" t="s">
        <v>1031</v>
      </c>
      <c r="C737" t="s">
        <v>889</v>
      </c>
      <c r="D737" t="s">
        <v>1041</v>
      </c>
      <c r="E737" t="s">
        <v>1042</v>
      </c>
      <c r="F737" t="s">
        <v>1034</v>
      </c>
      <c r="G737" s="30">
        <v>74.75</v>
      </c>
      <c r="H737" s="29">
        <f>G737*(1-IFERROR(VLOOKUP(F737,Rabat!$D$10:$E$41,2,FALSE),0))</f>
        <v>74.75</v>
      </c>
      <c r="I737" t="s">
        <v>2540</v>
      </c>
      <c r="J737" t="s">
        <v>707</v>
      </c>
      <c r="K737" t="s">
        <v>2538</v>
      </c>
      <c r="L737">
        <v>16</v>
      </c>
      <c r="M737"/>
      <c r="N737" t="s">
        <v>2544</v>
      </c>
      <c r="O737" s="31" t="str">
        <f>HYPERLINK("https://b2b.kobi.pl/pl/product/9850,lampa-do-roslin-led-vitaro-3-clip-10w-kobi-design?currency=PLN")</f>
        <v>https://b2b.kobi.pl/pl/product/9850,lampa-do-roslin-led-vitaro-3-clip-10w-kobi-design?currency=PLN</v>
      </c>
      <c r="P737" t="s">
        <v>16</v>
      </c>
      <c r="Q737"/>
    </row>
    <row r="738" spans="1:17" ht="15" x14ac:dyDescent="0.25">
      <c r="A738" t="s">
        <v>5</v>
      </c>
      <c r="B738" t="s">
        <v>1031</v>
      </c>
      <c r="C738" t="s">
        <v>889</v>
      </c>
      <c r="D738" t="s">
        <v>1045</v>
      </c>
      <c r="E738" t="s">
        <v>1046</v>
      </c>
      <c r="F738" t="s">
        <v>1034</v>
      </c>
      <c r="G738" s="30">
        <v>89.75</v>
      </c>
      <c r="H738" s="29">
        <f>G738*(1-IFERROR(VLOOKUP(F738,Rabat!$D$10:$E$41,2,FALSE),0))</f>
        <v>89.75</v>
      </c>
      <c r="I738" t="s">
        <v>2540</v>
      </c>
      <c r="J738" t="s">
        <v>709</v>
      </c>
      <c r="K738" t="s">
        <v>2538</v>
      </c>
      <c r="L738">
        <v>16</v>
      </c>
      <c r="M738"/>
      <c r="N738" t="s">
        <v>2544</v>
      </c>
      <c r="O738" s="31" t="str">
        <f>HYPERLINK("https://b2b.kobi.pl/pl/product/9851,lampa-do-roslin-led-vitaro-4-clip-10w-kobi-design?currency=PLN")</f>
        <v>https://b2b.kobi.pl/pl/product/9851,lampa-do-roslin-led-vitaro-4-clip-10w-kobi-design?currency=PLN</v>
      </c>
      <c r="P738" t="s">
        <v>16</v>
      </c>
      <c r="Q738"/>
    </row>
    <row r="739" spans="1:17" ht="15" x14ac:dyDescent="0.25">
      <c r="A739" t="s">
        <v>5</v>
      </c>
      <c r="B739" t="s">
        <v>1031</v>
      </c>
      <c r="C739" t="s">
        <v>889</v>
      </c>
      <c r="D739" t="s">
        <v>1043</v>
      </c>
      <c r="E739" t="s">
        <v>1044</v>
      </c>
      <c r="F739" t="s">
        <v>1034</v>
      </c>
      <c r="G739" s="30">
        <v>84.75</v>
      </c>
      <c r="H739" s="29">
        <f>G739*(1-IFERROR(VLOOKUP(F739,Rabat!$D$10:$E$41,2,FALSE),0))</f>
        <v>84.75</v>
      </c>
      <c r="I739" t="s">
        <v>2540</v>
      </c>
      <c r="J739" t="s">
        <v>708</v>
      </c>
      <c r="K739" t="s">
        <v>2538</v>
      </c>
      <c r="L739">
        <v>16</v>
      </c>
      <c r="M739"/>
      <c r="N739" t="s">
        <v>2544</v>
      </c>
      <c r="O739" s="31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739" t="s">
        <v>16</v>
      </c>
      <c r="Q739"/>
    </row>
    <row r="740" spans="1:17" ht="15" x14ac:dyDescent="0.25">
      <c r="A740" t="s">
        <v>5</v>
      </c>
      <c r="B740" t="s">
        <v>1031</v>
      </c>
      <c r="C740" t="s">
        <v>889</v>
      </c>
      <c r="D740" t="s">
        <v>1049</v>
      </c>
      <c r="E740" t="s">
        <v>1050</v>
      </c>
      <c r="F740" t="s">
        <v>1034</v>
      </c>
      <c r="G740" s="30">
        <v>99.75</v>
      </c>
      <c r="H740" s="29">
        <f>G740*(1-IFERROR(VLOOKUP(F740,Rabat!$D$10:$E$41,2,FALSE),0))</f>
        <v>99.75</v>
      </c>
      <c r="I740" t="s">
        <v>2540</v>
      </c>
      <c r="J740" t="s">
        <v>711</v>
      </c>
      <c r="K740" t="s">
        <v>2538</v>
      </c>
      <c r="L740">
        <v>16</v>
      </c>
      <c r="M740"/>
      <c r="N740" t="s">
        <v>2544</v>
      </c>
      <c r="O740" s="31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740" t="s">
        <v>16</v>
      </c>
      <c r="Q740"/>
    </row>
    <row r="741" spans="1:17" ht="15" x14ac:dyDescent="0.25">
      <c r="A741" t="s">
        <v>5</v>
      </c>
      <c r="B741" t="s">
        <v>1031</v>
      </c>
      <c r="C741" t="s">
        <v>889</v>
      </c>
      <c r="D741" t="s">
        <v>1047</v>
      </c>
      <c r="E741" t="s">
        <v>1048</v>
      </c>
      <c r="F741" t="s">
        <v>1034</v>
      </c>
      <c r="G741" s="30">
        <v>174.75</v>
      </c>
      <c r="H741" s="29">
        <f>G741*(1-IFERROR(VLOOKUP(F741,Rabat!$D$10:$E$41,2,FALSE),0))</f>
        <v>174.75</v>
      </c>
      <c r="I741" t="s">
        <v>2540</v>
      </c>
      <c r="J741" t="s">
        <v>710</v>
      </c>
      <c r="K741" t="s">
        <v>2538</v>
      </c>
      <c r="L741">
        <v>8</v>
      </c>
      <c r="M741"/>
      <c r="N741" t="s">
        <v>2544</v>
      </c>
      <c r="O741" s="31" t="str">
        <f>HYPERLINK("https://b2b.kobi.pl/pl/product/9854,lampa-do-roslin-led-vitaro-4-st-30w-kobi-design?currency=PLN")</f>
        <v>https://b2b.kobi.pl/pl/product/9854,lampa-do-roslin-led-vitaro-4-st-30w-kobi-design?currency=PLN</v>
      </c>
      <c r="P741" t="s">
        <v>16</v>
      </c>
      <c r="Q741"/>
    </row>
    <row r="742" spans="1:17" ht="15" x14ac:dyDescent="0.25">
      <c r="A742" t="s">
        <v>861</v>
      </c>
      <c r="B742" t="s">
        <v>644</v>
      </c>
      <c r="C742" t="s">
        <v>44</v>
      </c>
      <c r="D742" t="s">
        <v>1095</v>
      </c>
      <c r="E742" t="s">
        <v>1096</v>
      </c>
      <c r="F742" t="s">
        <v>860</v>
      </c>
      <c r="G742" s="30">
        <v>84.79</v>
      </c>
      <c r="H742" s="29">
        <f>G742*(1-IFERROR(VLOOKUP(F742,Rabat!$D$10:$E$41,2,FALSE),0))</f>
        <v>84.79</v>
      </c>
      <c r="I742" t="s">
        <v>2540</v>
      </c>
      <c r="J742" t="s">
        <v>661</v>
      </c>
      <c r="K742" t="s">
        <v>2538</v>
      </c>
      <c r="L742">
        <v>48</v>
      </c>
      <c r="M742"/>
      <c r="N742" t="s">
        <v>2544</v>
      </c>
      <c r="O742" s="31" t="str">
        <f>HYPERLINK("https://b2b.kobi.pl/pl/product/9767,latarka-led-x-mpr-5w-6000k-ip54-led2b?currency=PLN")</f>
        <v>https://b2b.kobi.pl/pl/product/9767,latarka-led-x-mpr-5w-6000k-ip54-led2b?currency=PLN</v>
      </c>
      <c r="P742" t="s">
        <v>16</v>
      </c>
      <c r="Q742"/>
    </row>
    <row r="743" spans="1:17" ht="15" x14ac:dyDescent="0.25">
      <c r="A743" t="s">
        <v>861</v>
      </c>
      <c r="B743" t="s">
        <v>644</v>
      </c>
      <c r="C743" t="s">
        <v>44</v>
      </c>
      <c r="D743" t="s">
        <v>1099</v>
      </c>
      <c r="E743" t="s">
        <v>1100</v>
      </c>
      <c r="F743" t="s">
        <v>860</v>
      </c>
      <c r="G743" s="30">
        <v>28.47</v>
      </c>
      <c r="H743" s="29">
        <f>G743*(1-IFERROR(VLOOKUP(F743,Rabat!$D$10:$E$41,2,FALSE),0))</f>
        <v>28.47</v>
      </c>
      <c r="I743" t="s">
        <v>2540</v>
      </c>
      <c r="J743" t="s">
        <v>662</v>
      </c>
      <c r="K743" t="s">
        <v>2538</v>
      </c>
      <c r="L743">
        <v>40</v>
      </c>
      <c r="M743"/>
      <c r="N743" t="s">
        <v>2544</v>
      </c>
      <c r="O743" s="31" t="str">
        <f>HYPERLINK("https://b2b.kobi.pl/pl/product/9768,latarka-led-x-mpr-micro-cct-led2b?currency=PLN")</f>
        <v>https://b2b.kobi.pl/pl/product/9768,latarka-led-x-mpr-micro-cct-led2b?currency=PLN</v>
      </c>
      <c r="P743" t="s">
        <v>16</v>
      </c>
      <c r="Q743"/>
    </row>
    <row r="744" spans="1:17" ht="15" x14ac:dyDescent="0.25">
      <c r="A744" t="s">
        <v>5</v>
      </c>
      <c r="B744" t="s">
        <v>56</v>
      </c>
      <c r="C744" t="s">
        <v>889</v>
      </c>
      <c r="D744" t="s">
        <v>2446</v>
      </c>
      <c r="E744" t="s">
        <v>2447</v>
      </c>
      <c r="F744" t="s">
        <v>942</v>
      </c>
      <c r="G744" s="30">
        <v>464.33</v>
      </c>
      <c r="H744" s="29">
        <f>G744*(1-IFERROR(VLOOKUP(F744,Rabat!$D$10:$E$41,2,FALSE),0))</f>
        <v>464.33</v>
      </c>
      <c r="I744" t="s">
        <v>2540</v>
      </c>
      <c r="J744" t="s">
        <v>2651</v>
      </c>
      <c r="K744" t="s">
        <v>2538</v>
      </c>
      <c r="L744">
        <v>1</v>
      </c>
      <c r="M744"/>
      <c r="N744" t="s">
        <v>2544</v>
      </c>
      <c r="O744"/>
      <c r="P744" t="s">
        <v>16</v>
      </c>
      <c r="Q744"/>
    </row>
    <row r="745" spans="1:17" ht="15" x14ac:dyDescent="0.25">
      <c r="A745" t="s">
        <v>5</v>
      </c>
      <c r="B745" t="s">
        <v>56</v>
      </c>
      <c r="C745" t="s">
        <v>889</v>
      </c>
      <c r="D745" t="s">
        <v>2448</v>
      </c>
      <c r="E745" t="s">
        <v>2449</v>
      </c>
      <c r="F745" t="s">
        <v>1082</v>
      </c>
      <c r="G745" s="30">
        <v>290.55</v>
      </c>
      <c r="H745" s="29">
        <f>G745*(1-IFERROR(VLOOKUP(F745,Rabat!$D$10:$E$41,2,FALSE),0))</f>
        <v>290.55</v>
      </c>
      <c r="I745" t="s">
        <v>2540</v>
      </c>
      <c r="J745" t="s">
        <v>2652</v>
      </c>
      <c r="K745" t="s">
        <v>2538</v>
      </c>
      <c r="L745">
        <v>1</v>
      </c>
      <c r="M745"/>
      <c r="N745" t="s">
        <v>2544</v>
      </c>
      <c r="O745" s="31" t="str">
        <f>HYPERLINK("https://b2b.kobi.pl/pl/product/9804,lampka-biurkowa-boho-bonn-mini-1xe27-kobi-design?currency=PLN")</f>
        <v>https://b2b.kobi.pl/pl/product/9804,lampka-biurkowa-boho-bonn-mini-1xe27-kobi-design?currency=PLN</v>
      </c>
      <c r="P745" t="s">
        <v>16</v>
      </c>
      <c r="Q745"/>
    </row>
    <row r="746" spans="1:17" ht="15" x14ac:dyDescent="0.25">
      <c r="A746" t="s">
        <v>5</v>
      </c>
      <c r="B746" t="s">
        <v>56</v>
      </c>
      <c r="C746" t="s">
        <v>889</v>
      </c>
      <c r="D746" t="s">
        <v>2450</v>
      </c>
      <c r="E746" t="s">
        <v>2451</v>
      </c>
      <c r="F746" t="s">
        <v>1082</v>
      </c>
      <c r="G746" s="30">
        <v>349.18</v>
      </c>
      <c r="H746" s="29">
        <f>G746*(1-IFERROR(VLOOKUP(F746,Rabat!$D$10:$E$41,2,FALSE),0))</f>
        <v>349.18</v>
      </c>
      <c r="I746" t="s">
        <v>2540</v>
      </c>
      <c r="J746" t="s">
        <v>2653</v>
      </c>
      <c r="K746" t="s">
        <v>2538</v>
      </c>
      <c r="L746">
        <v>1</v>
      </c>
      <c r="M746"/>
      <c r="N746" t="s">
        <v>2544</v>
      </c>
      <c r="O746" s="31" t="str">
        <f>HYPERLINK("https://b2b.kobi.pl/pl/product/9805,lampka-biurkowa-boho-bonn-st-mini-1xe27-kobi-design?currency=PLN")</f>
        <v>https://b2b.kobi.pl/pl/product/9805,lampka-biurkowa-boho-bonn-st-mini-1xe27-kobi-design?currency=PLN</v>
      </c>
      <c r="P746" t="s">
        <v>16</v>
      </c>
      <c r="Q746"/>
    </row>
    <row r="747" spans="1:17" ht="15" x14ac:dyDescent="0.25">
      <c r="A747" t="s">
        <v>5</v>
      </c>
      <c r="B747" t="s">
        <v>56</v>
      </c>
      <c r="C747" t="s">
        <v>889</v>
      </c>
      <c r="D747" t="s">
        <v>1157</v>
      </c>
      <c r="E747" t="s">
        <v>1158</v>
      </c>
      <c r="F747" t="s">
        <v>942</v>
      </c>
      <c r="G747" s="30">
        <v>422.08</v>
      </c>
      <c r="H747" s="29">
        <f>G747*(1-IFERROR(VLOOKUP(F747,Rabat!$D$10:$E$41,2,FALSE),0))</f>
        <v>422.08</v>
      </c>
      <c r="I747" t="s">
        <v>2540</v>
      </c>
      <c r="J747" t="s">
        <v>2574</v>
      </c>
      <c r="K747" t="s">
        <v>2538</v>
      </c>
      <c r="L747">
        <v>1</v>
      </c>
      <c r="M747"/>
      <c r="N747" t="s">
        <v>2544</v>
      </c>
      <c r="O747" s="31" t="str">
        <f>HYPERLINK("https://b2b.kobi.pl/pl/product/9806,lampa-wiszaca-boho-bonn-rb-1xe27-kobi-design?currency=PLN")</f>
        <v>https://b2b.kobi.pl/pl/product/9806,lampa-wiszaca-boho-bonn-rb-1xe27-kobi-design?currency=PLN</v>
      </c>
      <c r="P747" t="s">
        <v>16</v>
      </c>
      <c r="Q747"/>
    </row>
    <row r="748" spans="1:17" ht="15" x14ac:dyDescent="0.25">
      <c r="A748" t="s">
        <v>5</v>
      </c>
      <c r="B748" t="s">
        <v>56</v>
      </c>
      <c r="C748" t="s">
        <v>889</v>
      </c>
      <c r="D748" t="s">
        <v>1161</v>
      </c>
      <c r="E748" t="s">
        <v>1162</v>
      </c>
      <c r="F748" t="s">
        <v>942</v>
      </c>
      <c r="G748" s="30">
        <v>422.08</v>
      </c>
      <c r="H748" s="29">
        <f>G748*(1-IFERROR(VLOOKUP(F748,Rabat!$D$10:$E$41,2,FALSE),0))</f>
        <v>422.08</v>
      </c>
      <c r="I748" t="s">
        <v>2540</v>
      </c>
      <c r="J748" t="s">
        <v>2575</v>
      </c>
      <c r="K748" t="s">
        <v>2538</v>
      </c>
      <c r="L748">
        <v>1</v>
      </c>
      <c r="M748"/>
      <c r="N748" t="s">
        <v>2544</v>
      </c>
      <c r="O748" s="31" t="str">
        <f>HYPERLINK("https://b2b.kobi.pl/pl/product/9807,lampa-wiszaca-boho-bonn-rw-1xe27-kobi-design?currency=PLN")</f>
        <v>https://b2b.kobi.pl/pl/product/9807,lampa-wiszaca-boho-bonn-rw-1xe27-kobi-design?currency=PLN</v>
      </c>
      <c r="P748" t="s">
        <v>16</v>
      </c>
      <c r="Q748"/>
    </row>
    <row r="749" spans="1:17" ht="15" x14ac:dyDescent="0.25">
      <c r="A749" t="s">
        <v>5</v>
      </c>
      <c r="B749" t="s">
        <v>56</v>
      </c>
      <c r="C749" t="s">
        <v>889</v>
      </c>
      <c r="D749" t="s">
        <v>1175</v>
      </c>
      <c r="E749" t="s">
        <v>1176</v>
      </c>
      <c r="F749" t="s">
        <v>942</v>
      </c>
      <c r="G749" s="30">
        <v>384</v>
      </c>
      <c r="H749" s="29">
        <f>G749*(1-IFERROR(VLOOKUP(F749,Rabat!$D$10:$E$41,2,FALSE),0))</f>
        <v>384</v>
      </c>
      <c r="I749" t="s">
        <v>2540</v>
      </c>
      <c r="J749" t="s">
        <v>2578</v>
      </c>
      <c r="K749" t="s">
        <v>2538</v>
      </c>
      <c r="L749">
        <v>1</v>
      </c>
      <c r="M749"/>
      <c r="N749" t="s">
        <v>2544</v>
      </c>
      <c r="O749" s="31" t="str">
        <f>HYPERLINK("https://b2b.kobi.pl/pl/product/9808,lampa-wiszaca-boho-brugia-m-rb-1xe27-kobi-design?currency=PLN")</f>
        <v>https://b2b.kobi.pl/pl/product/9808,lampa-wiszaca-boho-brugia-m-rb-1xe27-kobi-design?currency=PLN</v>
      </c>
      <c r="P749" t="s">
        <v>16</v>
      </c>
      <c r="Q749"/>
    </row>
    <row r="750" spans="1:17" ht="15" x14ac:dyDescent="0.25">
      <c r="A750" t="s">
        <v>5</v>
      </c>
      <c r="B750" t="s">
        <v>56</v>
      </c>
      <c r="C750" t="s">
        <v>889</v>
      </c>
      <c r="D750" t="s">
        <v>1177</v>
      </c>
      <c r="E750" t="s">
        <v>1178</v>
      </c>
      <c r="F750" t="s">
        <v>942</v>
      </c>
      <c r="G750" s="30">
        <v>384</v>
      </c>
      <c r="H750" s="29">
        <f>G750*(1-IFERROR(VLOOKUP(F750,Rabat!$D$10:$E$41,2,FALSE),0))</f>
        <v>384</v>
      </c>
      <c r="I750" t="s">
        <v>2540</v>
      </c>
      <c r="J750" t="s">
        <v>2579</v>
      </c>
      <c r="K750" t="s">
        <v>2538</v>
      </c>
      <c r="L750">
        <v>1</v>
      </c>
      <c r="M750"/>
      <c r="N750" t="s">
        <v>2544</v>
      </c>
      <c r="O750" s="31" t="str">
        <f>HYPERLINK("https://b2b.kobi.pl/pl/product/9809,lampa-wiszaca-boho-brugia-m-rw-1xe27-kobi-design?currency=PLN")</f>
        <v>https://b2b.kobi.pl/pl/product/9809,lampa-wiszaca-boho-brugia-m-rw-1xe27-kobi-design?currency=PLN</v>
      </c>
      <c r="P750" t="s">
        <v>16</v>
      </c>
      <c r="Q750"/>
    </row>
    <row r="751" spans="1:17" ht="15" x14ac:dyDescent="0.25">
      <c r="A751" t="s">
        <v>5</v>
      </c>
      <c r="B751" t="s">
        <v>56</v>
      </c>
      <c r="C751" t="s">
        <v>889</v>
      </c>
      <c r="D751" t="s">
        <v>1165</v>
      </c>
      <c r="E751" t="s">
        <v>1166</v>
      </c>
      <c r="F751" t="s">
        <v>942</v>
      </c>
      <c r="G751" s="30">
        <v>482.58</v>
      </c>
      <c r="H751" s="29">
        <f>G751*(1-IFERROR(VLOOKUP(F751,Rabat!$D$10:$E$41,2,FALSE),0))</f>
        <v>482.58</v>
      </c>
      <c r="I751" t="s">
        <v>2540</v>
      </c>
      <c r="J751" t="s">
        <v>2576</v>
      </c>
      <c r="K751" t="s">
        <v>2538</v>
      </c>
      <c r="L751">
        <v>1</v>
      </c>
      <c r="M751"/>
      <c r="N751" t="s">
        <v>2544</v>
      </c>
      <c r="O751" s="31" t="str">
        <f>HYPERLINK("https://b2b.kobi.pl/pl/product/9810,lampa-wiszaca-boho-brugia-l-rb-1xe27-kobi-design?currency=PLN")</f>
        <v>https://b2b.kobi.pl/pl/product/9810,lampa-wiszaca-boho-brugia-l-rb-1xe27-kobi-design?currency=PLN</v>
      </c>
      <c r="P751" t="s">
        <v>16</v>
      </c>
      <c r="Q751"/>
    </row>
    <row r="752" spans="1:17" ht="15" x14ac:dyDescent="0.25">
      <c r="A752" t="s">
        <v>5</v>
      </c>
      <c r="B752" t="s">
        <v>56</v>
      </c>
      <c r="C752" t="s">
        <v>889</v>
      </c>
      <c r="D752" t="s">
        <v>1167</v>
      </c>
      <c r="E752" t="s">
        <v>1168</v>
      </c>
      <c r="F752" t="s">
        <v>942</v>
      </c>
      <c r="G752" s="30">
        <v>482.58</v>
      </c>
      <c r="H752" s="29">
        <f>G752*(1-IFERROR(VLOOKUP(F752,Rabat!$D$10:$E$41,2,FALSE),0))</f>
        <v>482.58</v>
      </c>
      <c r="I752" t="s">
        <v>2540</v>
      </c>
      <c r="J752" t="s">
        <v>2577</v>
      </c>
      <c r="K752" t="s">
        <v>2538</v>
      </c>
      <c r="L752">
        <v>1</v>
      </c>
      <c r="M752"/>
      <c r="N752" t="s">
        <v>2544</v>
      </c>
      <c r="O752" s="31" t="str">
        <f>HYPERLINK("https://b2b.kobi.pl/pl/product/9811,lampa-wiszaca-boho-brugia-l-rw-1xe27-kobi-design?currency=PLN")</f>
        <v>https://b2b.kobi.pl/pl/product/9811,lampa-wiszaca-boho-brugia-l-rw-1xe27-kobi-design?currency=PLN</v>
      </c>
      <c r="P752" t="s">
        <v>16</v>
      </c>
      <c r="Q752"/>
    </row>
    <row r="753" spans="1:17" ht="15" x14ac:dyDescent="0.25">
      <c r="A753" t="s">
        <v>5</v>
      </c>
      <c r="B753" t="s">
        <v>56</v>
      </c>
      <c r="C753" t="s">
        <v>889</v>
      </c>
      <c r="D753" t="s">
        <v>1133</v>
      </c>
      <c r="E753" t="s">
        <v>1134</v>
      </c>
      <c r="F753" t="s">
        <v>942</v>
      </c>
      <c r="G753" s="30">
        <v>383.75</v>
      </c>
      <c r="H753" s="29">
        <f>G753*(1-IFERROR(VLOOKUP(F753,Rabat!$D$10:$E$41,2,FALSE),0))</f>
        <v>383.75</v>
      </c>
      <c r="I753" t="s">
        <v>2540</v>
      </c>
      <c r="J753" t="s">
        <v>2572</v>
      </c>
      <c r="K753" t="s">
        <v>2538</v>
      </c>
      <c r="L753">
        <v>1</v>
      </c>
      <c r="M753"/>
      <c r="N753" t="s">
        <v>2544</v>
      </c>
      <c r="O753" s="31" t="str">
        <f>HYPERLINK("https://b2b.kobi.pl/pl/product/9812,lampa-wiszaca-boho-baku-l-1xe27-kobi-design?currency=PLN")</f>
        <v>https://b2b.kobi.pl/pl/product/9812,lampa-wiszaca-boho-baku-l-1xe27-kobi-design?currency=PLN</v>
      </c>
      <c r="P753" t="s">
        <v>16</v>
      </c>
      <c r="Q753"/>
    </row>
    <row r="754" spans="1:17" ht="15" x14ac:dyDescent="0.25">
      <c r="A754" t="s">
        <v>5</v>
      </c>
      <c r="B754" t="s">
        <v>56</v>
      </c>
      <c r="C754" t="s">
        <v>889</v>
      </c>
      <c r="D754" t="s">
        <v>2452</v>
      </c>
      <c r="E754" t="s">
        <v>2453</v>
      </c>
      <c r="F754" t="s">
        <v>942</v>
      </c>
      <c r="G754" s="30">
        <v>432.33</v>
      </c>
      <c r="H754" s="29">
        <f>G754*(1-IFERROR(VLOOKUP(F754,Rabat!$D$10:$E$41,2,FALSE),0))</f>
        <v>432.33</v>
      </c>
      <c r="I754" t="s">
        <v>2540</v>
      </c>
      <c r="J754" t="s">
        <v>2654</v>
      </c>
      <c r="K754" t="s">
        <v>2538</v>
      </c>
      <c r="L754">
        <v>1</v>
      </c>
      <c r="M754"/>
      <c r="N754" t="s">
        <v>2544</v>
      </c>
      <c r="O754" s="31" t="str">
        <f>HYPERLINK("https://b2b.kobi.pl/pl/product/9813,lampa-wiszaca-boho-bern-m-1xe27-kobi-design?currency=PLN")</f>
        <v>https://b2b.kobi.pl/pl/product/9813,lampa-wiszaca-boho-bern-m-1xe27-kobi-design?currency=PLN</v>
      </c>
      <c r="P754" t="s">
        <v>16</v>
      </c>
      <c r="Q754"/>
    </row>
    <row r="755" spans="1:17" ht="15" x14ac:dyDescent="0.25">
      <c r="A755" t="s">
        <v>5</v>
      </c>
      <c r="B755" t="s">
        <v>56</v>
      </c>
      <c r="C755" t="s">
        <v>889</v>
      </c>
      <c r="D755" t="s">
        <v>2454</v>
      </c>
      <c r="E755" t="s">
        <v>2455</v>
      </c>
      <c r="F755" t="s">
        <v>942</v>
      </c>
      <c r="G755" s="30">
        <v>359</v>
      </c>
      <c r="H755" s="29">
        <f>G755*(1-IFERROR(VLOOKUP(F755,Rabat!$D$10:$E$41,2,FALSE),0))</f>
        <v>359</v>
      </c>
      <c r="I755" t="s">
        <v>2540</v>
      </c>
      <c r="J755" t="s">
        <v>2655</v>
      </c>
      <c r="K755" t="s">
        <v>2538</v>
      </c>
      <c r="L755">
        <v>1</v>
      </c>
      <c r="M755"/>
      <c r="N755" t="s">
        <v>2544</v>
      </c>
      <c r="O755" s="31" t="str">
        <f>HYPERLINK("https://b2b.kobi.pl/pl/product/9814,lampa-wiszaca-boho-bitavia-s-1xe27-kobi-design?currency=PLN")</f>
        <v>https://b2b.kobi.pl/pl/product/9814,lampa-wiszaca-boho-bitavia-s-1xe27-kobi-design?currency=PLN</v>
      </c>
      <c r="P755" t="s">
        <v>16</v>
      </c>
      <c r="Q755"/>
    </row>
    <row r="756" spans="1:17" ht="15" x14ac:dyDescent="0.25">
      <c r="A756" t="s">
        <v>5</v>
      </c>
      <c r="B756" t="s">
        <v>56</v>
      </c>
      <c r="C756" t="s">
        <v>889</v>
      </c>
      <c r="D756" t="s">
        <v>2456</v>
      </c>
      <c r="E756" t="s">
        <v>2457</v>
      </c>
      <c r="F756" t="s">
        <v>942</v>
      </c>
      <c r="G756" s="30">
        <v>510.38</v>
      </c>
      <c r="H756" s="29">
        <f>G756*(1-IFERROR(VLOOKUP(F756,Rabat!$D$10:$E$41,2,FALSE),0))</f>
        <v>510.38</v>
      </c>
      <c r="I756" t="s">
        <v>2540</v>
      </c>
      <c r="J756" t="s">
        <v>2656</v>
      </c>
      <c r="K756" t="s">
        <v>2538</v>
      </c>
      <c r="L756">
        <v>1</v>
      </c>
      <c r="M756"/>
      <c r="N756" t="s">
        <v>2544</v>
      </c>
      <c r="O756" s="31" t="str">
        <f>HYPERLINK("https://b2b.kobi.pl/pl/product/9815,lampa-wiszaca-boho-bitavia-m-1xe27-kobi-design?currency=PLN")</f>
        <v>https://b2b.kobi.pl/pl/product/9815,lampa-wiszaca-boho-bitavia-m-1xe27-kobi-design?currency=PLN</v>
      </c>
      <c r="P756" t="s">
        <v>16</v>
      </c>
      <c r="Q756"/>
    </row>
    <row r="757" spans="1:17" ht="15" x14ac:dyDescent="0.25">
      <c r="A757" t="s">
        <v>5</v>
      </c>
      <c r="B757" t="s">
        <v>56</v>
      </c>
      <c r="C757" t="s">
        <v>889</v>
      </c>
      <c r="D757" t="s">
        <v>2511</v>
      </c>
      <c r="E757" t="s">
        <v>2512</v>
      </c>
      <c r="F757" t="s">
        <v>1082</v>
      </c>
      <c r="G757" s="30">
        <v>302.08</v>
      </c>
      <c r="H757" s="29">
        <f>G757*(1-IFERROR(VLOOKUP(F757,Rabat!$D$10:$E$41,2,FALSE),0))</f>
        <v>302.08</v>
      </c>
      <c r="I757" t="s">
        <v>2540</v>
      </c>
      <c r="J757" t="s">
        <v>2679</v>
      </c>
      <c r="K757" t="s">
        <v>2538</v>
      </c>
      <c r="L757">
        <v>1</v>
      </c>
      <c r="M757"/>
      <c r="N757" t="s">
        <v>2544</v>
      </c>
      <c r="O757" s="31" t="str">
        <f>HYPERLINK("https://b2b.kobi.pl/pl/product/9816,lampka-biurkowa-boho-bitavia-mini-1xe27-kobi-design?currency=PLN")</f>
        <v>https://b2b.kobi.pl/pl/product/9816,lampka-biurkowa-boho-bitavia-mini-1xe27-kobi-design?currency=PLN</v>
      </c>
      <c r="P757" t="s">
        <v>16</v>
      </c>
      <c r="Q757"/>
    </row>
    <row r="758" spans="1:17" ht="15" x14ac:dyDescent="0.25">
      <c r="A758" t="s">
        <v>5</v>
      </c>
      <c r="B758" t="s">
        <v>56</v>
      </c>
      <c r="C758" t="s">
        <v>889</v>
      </c>
      <c r="D758" t="s">
        <v>1149</v>
      </c>
      <c r="E758" t="s">
        <v>1150</v>
      </c>
      <c r="F758" t="s">
        <v>942</v>
      </c>
      <c r="G758" s="30">
        <v>341.29</v>
      </c>
      <c r="H758" s="29">
        <f>G758*(1-IFERROR(VLOOKUP(F758,Rabat!$D$10:$E$41,2,FALSE),0))</f>
        <v>341.29</v>
      </c>
      <c r="I758" t="s">
        <v>2540</v>
      </c>
      <c r="J758" t="s">
        <v>2573</v>
      </c>
      <c r="K758" t="s">
        <v>2538</v>
      </c>
      <c r="L758">
        <v>1</v>
      </c>
      <c r="M758"/>
      <c r="N758" t="s">
        <v>2544</v>
      </c>
      <c r="O758" s="31" t="str">
        <f>HYPERLINK("https://b2b.kobi.pl/pl/product/9817,lampa-wiszaca-boho-belmo-1xe27-kobi-design?currency=PLN")</f>
        <v>https://b2b.kobi.pl/pl/product/9817,lampa-wiszaca-boho-belmo-1xe27-kobi-design?currency=PLN</v>
      </c>
      <c r="P758" t="s">
        <v>16</v>
      </c>
      <c r="Q758"/>
    </row>
    <row r="759" spans="1:17" ht="15" x14ac:dyDescent="0.25">
      <c r="A759" t="s">
        <v>5</v>
      </c>
      <c r="B759" t="s">
        <v>56</v>
      </c>
      <c r="C759" t="s">
        <v>889</v>
      </c>
      <c r="D759" t="s">
        <v>2458</v>
      </c>
      <c r="E759" t="s">
        <v>2459</v>
      </c>
      <c r="F759" t="s">
        <v>942</v>
      </c>
      <c r="G759" s="30">
        <v>337.08</v>
      </c>
      <c r="H759" s="29">
        <f>G759*(1-IFERROR(VLOOKUP(F759,Rabat!$D$10:$E$41,2,FALSE),0))</f>
        <v>337.08</v>
      </c>
      <c r="I759" t="s">
        <v>2540</v>
      </c>
      <c r="J759" t="s">
        <v>2657</v>
      </c>
      <c r="K759" t="s">
        <v>2538</v>
      </c>
      <c r="L759">
        <v>1</v>
      </c>
      <c r="M759"/>
      <c r="N759" t="s">
        <v>2544</v>
      </c>
      <c r="O759" s="31" t="str">
        <f>HYPERLINK("https://b2b.kobi.pl/pl/product/9818,lampa-wiszaca-boho-bosu-1xe27-kobi-design?currency=PLN")</f>
        <v>https://b2b.kobi.pl/pl/product/9818,lampa-wiszaca-boho-bosu-1xe27-kobi-design?currency=PLN</v>
      </c>
      <c r="P759" t="s">
        <v>16</v>
      </c>
      <c r="Q759"/>
    </row>
    <row r="760" spans="1:17" ht="15" x14ac:dyDescent="0.25">
      <c r="A760" t="s">
        <v>5</v>
      </c>
      <c r="B760" t="s">
        <v>56</v>
      </c>
      <c r="C760" t="s">
        <v>889</v>
      </c>
      <c r="D760" t="s">
        <v>2513</v>
      </c>
      <c r="E760" t="s">
        <v>2514</v>
      </c>
      <c r="F760" t="s">
        <v>942</v>
      </c>
      <c r="G760" s="30">
        <v>342.6</v>
      </c>
      <c r="H760" s="29">
        <f>G760*(1-IFERROR(VLOOKUP(F760,Rabat!$D$10:$E$41,2,FALSE),0))</f>
        <v>342.6</v>
      </c>
      <c r="I760" t="s">
        <v>2540</v>
      </c>
      <c r="J760" t="s">
        <v>2680</v>
      </c>
      <c r="K760" t="s">
        <v>2538</v>
      </c>
      <c r="L760">
        <v>1</v>
      </c>
      <c r="M760"/>
      <c r="N760" t="s">
        <v>2544</v>
      </c>
      <c r="O760" s="31" t="str">
        <f>HYPERLINK("https://b2b.kobi.pl/pl/product/9819,lampa-wiszaca-boho-bonti-1xe27-kobi-design?currency=PLN")</f>
        <v>https://b2b.kobi.pl/pl/product/9819,lampa-wiszaca-boho-bonti-1xe27-kobi-design?currency=PLN</v>
      </c>
      <c r="P760" t="s">
        <v>16</v>
      </c>
      <c r="Q760"/>
    </row>
    <row r="761" spans="1:17" ht="15" x14ac:dyDescent="0.25">
      <c r="A761" t="s">
        <v>5</v>
      </c>
      <c r="B761" t="s">
        <v>56</v>
      </c>
      <c r="C761" t="s">
        <v>889</v>
      </c>
      <c r="D761" t="s">
        <v>2515</v>
      </c>
      <c r="E761" t="s">
        <v>2516</v>
      </c>
      <c r="F761" t="s">
        <v>942</v>
      </c>
      <c r="G761" s="30">
        <v>502.73</v>
      </c>
      <c r="H761" s="29">
        <f>G761*(1-IFERROR(VLOOKUP(F761,Rabat!$D$10:$E$41,2,FALSE),0))</f>
        <v>502.73</v>
      </c>
      <c r="I761" t="s">
        <v>2540</v>
      </c>
      <c r="J761" t="s">
        <v>2681</v>
      </c>
      <c r="K761" t="s">
        <v>2538</v>
      </c>
      <c r="L761">
        <v>1</v>
      </c>
      <c r="M761"/>
      <c r="N761" t="s">
        <v>2544</v>
      </c>
      <c r="O761" s="31" t="str">
        <f>HYPERLINK("https://b2b.kobi.pl/pl/product/9820,lampa-wiszaca-boho-bindum-1xe27-kobi-design?currency=PLN")</f>
        <v>https://b2b.kobi.pl/pl/product/9820,lampa-wiszaca-boho-bindum-1xe27-kobi-design?currency=PLN</v>
      </c>
      <c r="P761" t="s">
        <v>16</v>
      </c>
      <c r="Q761"/>
    </row>
    <row r="762" spans="1:17" ht="15" x14ac:dyDescent="0.25">
      <c r="A762" t="s">
        <v>5</v>
      </c>
      <c r="B762" t="s">
        <v>56</v>
      </c>
      <c r="C762" t="s">
        <v>889</v>
      </c>
      <c r="D762" t="s">
        <v>2460</v>
      </c>
      <c r="E762" t="s">
        <v>2461</v>
      </c>
      <c r="F762" t="s">
        <v>942</v>
      </c>
      <c r="G762" s="30">
        <v>380.95</v>
      </c>
      <c r="H762" s="29">
        <f>G762*(1-IFERROR(VLOOKUP(F762,Rabat!$D$10:$E$41,2,FALSE),0))</f>
        <v>380.95</v>
      </c>
      <c r="I762" t="s">
        <v>2540</v>
      </c>
      <c r="J762" t="s">
        <v>2658</v>
      </c>
      <c r="K762" t="s">
        <v>2538</v>
      </c>
      <c r="L762">
        <v>1</v>
      </c>
      <c r="M762"/>
      <c r="N762" t="s">
        <v>2544</v>
      </c>
      <c r="O762" s="31" t="str">
        <f>HYPERLINK("https://b2b.kobi.pl/pl/product/9821,lampa-wiszaca-boho-renni-n-1xe27-kobi-design?currency=PLN")</f>
        <v>https://b2b.kobi.pl/pl/product/9821,lampa-wiszaca-boho-renni-n-1xe27-kobi-design?currency=PLN</v>
      </c>
      <c r="P762" t="s">
        <v>16</v>
      </c>
      <c r="Q762"/>
    </row>
    <row r="763" spans="1:17" ht="15" x14ac:dyDescent="0.25">
      <c r="A763" t="s">
        <v>5</v>
      </c>
      <c r="B763" t="s">
        <v>56</v>
      </c>
      <c r="C763" t="s">
        <v>889</v>
      </c>
      <c r="D763" t="s">
        <v>2462</v>
      </c>
      <c r="E763" t="s">
        <v>2463</v>
      </c>
      <c r="F763" t="s">
        <v>942</v>
      </c>
      <c r="G763" s="30">
        <v>353.7</v>
      </c>
      <c r="H763" s="29">
        <f>G763*(1-IFERROR(VLOOKUP(F763,Rabat!$D$10:$E$41,2,FALSE),0))</f>
        <v>353.7</v>
      </c>
      <c r="I763" t="s">
        <v>2540</v>
      </c>
      <c r="J763" t="s">
        <v>2659</v>
      </c>
      <c r="K763" t="s">
        <v>2538</v>
      </c>
      <c r="L763">
        <v>1</v>
      </c>
      <c r="M763"/>
      <c r="N763" t="s">
        <v>2544</v>
      </c>
      <c r="O763" s="31" t="str">
        <f>HYPERLINK("https://b2b.kobi.pl/pl/product/9822,lampa-wiszaca-boho-bayos-1xe27-kobi-design?currency=PLN")</f>
        <v>https://b2b.kobi.pl/pl/product/9822,lampa-wiszaca-boho-bayos-1xe27-kobi-design?currency=PLN</v>
      </c>
      <c r="P763" t="s">
        <v>16</v>
      </c>
      <c r="Q763"/>
    </row>
    <row r="764" spans="1:17" ht="15" x14ac:dyDescent="0.25">
      <c r="A764" t="s">
        <v>5</v>
      </c>
      <c r="B764" t="s">
        <v>56</v>
      </c>
      <c r="C764" t="s">
        <v>889</v>
      </c>
      <c r="D764" t="s">
        <v>2517</v>
      </c>
      <c r="E764" t="s">
        <v>2518</v>
      </c>
      <c r="F764" t="s">
        <v>942</v>
      </c>
      <c r="G764" s="30">
        <v>276.93</v>
      </c>
      <c r="H764" s="29">
        <f>G764*(1-IFERROR(VLOOKUP(F764,Rabat!$D$10:$E$41,2,FALSE),0))</f>
        <v>276.93</v>
      </c>
      <c r="I764" t="s">
        <v>2540</v>
      </c>
      <c r="J764" t="s">
        <v>2682</v>
      </c>
      <c r="K764" t="s">
        <v>2538</v>
      </c>
      <c r="L764">
        <v>1</v>
      </c>
      <c r="M764"/>
      <c r="N764" t="s">
        <v>2544</v>
      </c>
      <c r="O764" s="31" t="str">
        <f>HYPERLINK("https://b2b.kobi.pl/pl/product/9823,lampa-wiszaca-boho-bandigo-1xe27-kobi-design?currency=PLN")</f>
        <v>https://b2b.kobi.pl/pl/product/9823,lampa-wiszaca-boho-bandigo-1xe27-kobi-design?currency=PLN</v>
      </c>
      <c r="P764" t="s">
        <v>16</v>
      </c>
      <c r="Q764"/>
    </row>
    <row r="765" spans="1:17" ht="15" x14ac:dyDescent="0.25">
      <c r="A765" t="s">
        <v>5</v>
      </c>
      <c r="B765" t="s">
        <v>56</v>
      </c>
      <c r="C765" t="s">
        <v>889</v>
      </c>
      <c r="D765" t="s">
        <v>2464</v>
      </c>
      <c r="E765" t="s">
        <v>2465</v>
      </c>
      <c r="F765" t="s">
        <v>942</v>
      </c>
      <c r="G765" s="30">
        <v>410.6</v>
      </c>
      <c r="H765" s="29">
        <f>G765*(1-IFERROR(VLOOKUP(F765,Rabat!$D$10:$E$41,2,FALSE),0))</f>
        <v>410.6</v>
      </c>
      <c r="I765" t="s">
        <v>2540</v>
      </c>
      <c r="J765" t="s">
        <v>2660</v>
      </c>
      <c r="K765" t="s">
        <v>2538</v>
      </c>
      <c r="L765">
        <v>1</v>
      </c>
      <c r="M765"/>
      <c r="N765" t="s">
        <v>2544</v>
      </c>
      <c r="O765" s="31" t="str">
        <f>HYPERLINK("https://b2b.kobi.pl/pl/product/9824,lampa-wiszaca-boho-barso-1xe27-kobi-design?currency=PLN")</f>
        <v>https://b2b.kobi.pl/pl/product/9824,lampa-wiszaca-boho-barso-1xe27-kobi-design?currency=PLN</v>
      </c>
      <c r="P765" t="s">
        <v>16</v>
      </c>
      <c r="Q765"/>
    </row>
    <row r="766" spans="1:17" ht="15" x14ac:dyDescent="0.25">
      <c r="A766" t="s">
        <v>5</v>
      </c>
      <c r="B766" t="s">
        <v>56</v>
      </c>
      <c r="C766" t="s">
        <v>889</v>
      </c>
      <c r="D766" t="s">
        <v>1105</v>
      </c>
      <c r="E766" t="s">
        <v>1106</v>
      </c>
      <c r="F766" t="s">
        <v>942</v>
      </c>
      <c r="G766" s="30">
        <v>337.67</v>
      </c>
      <c r="H766" s="29">
        <f>G766*(1-IFERROR(VLOOKUP(F766,Rabat!$D$10:$E$41,2,FALSE),0))</f>
        <v>337.67</v>
      </c>
      <c r="I766" t="s">
        <v>2540</v>
      </c>
      <c r="J766" t="s">
        <v>2568</v>
      </c>
      <c r="K766" t="s">
        <v>2538</v>
      </c>
      <c r="L766">
        <v>1</v>
      </c>
      <c r="M766"/>
      <c r="N766" t="s">
        <v>2544</v>
      </c>
      <c r="O766" s="31" t="str">
        <f>HYPERLINK("https://b2b.kobi.pl/pl/product/9825,lampa-sufitowa-boho-buli-s-1xe27-kobi-design?currency=PLN")</f>
        <v>https://b2b.kobi.pl/pl/product/9825,lampa-sufitowa-boho-buli-s-1xe27-kobi-design?currency=PLN</v>
      </c>
      <c r="P766" t="s">
        <v>16</v>
      </c>
      <c r="Q766"/>
    </row>
    <row r="767" spans="1:17" ht="15" x14ac:dyDescent="0.25">
      <c r="A767" t="s">
        <v>5</v>
      </c>
      <c r="B767" t="s">
        <v>56</v>
      </c>
      <c r="C767" t="s">
        <v>889</v>
      </c>
      <c r="D767" t="s">
        <v>2466</v>
      </c>
      <c r="E767" t="s">
        <v>2467</v>
      </c>
      <c r="F767" t="s">
        <v>942</v>
      </c>
      <c r="G767" s="30">
        <v>418.93</v>
      </c>
      <c r="H767" s="29">
        <f>G767*(1-IFERROR(VLOOKUP(F767,Rabat!$D$10:$E$41,2,FALSE),0))</f>
        <v>418.93</v>
      </c>
      <c r="I767" t="s">
        <v>2540</v>
      </c>
      <c r="J767" t="s">
        <v>2661</v>
      </c>
      <c r="K767" t="s">
        <v>2538</v>
      </c>
      <c r="L767">
        <v>1</v>
      </c>
      <c r="M767"/>
      <c r="N767" t="s">
        <v>2544</v>
      </c>
      <c r="O767"/>
      <c r="P767" t="s">
        <v>16</v>
      </c>
      <c r="Q767"/>
    </row>
    <row r="768" spans="1:17" ht="15" x14ac:dyDescent="0.25">
      <c r="A768" t="s">
        <v>5</v>
      </c>
      <c r="B768" t="s">
        <v>56</v>
      </c>
      <c r="C768" t="s">
        <v>889</v>
      </c>
      <c r="D768" t="s">
        <v>2468</v>
      </c>
      <c r="E768" t="s">
        <v>2469</v>
      </c>
      <c r="F768" t="s">
        <v>942</v>
      </c>
      <c r="G768" s="30">
        <v>290.55</v>
      </c>
      <c r="H768" s="29">
        <f>G768*(1-IFERROR(VLOOKUP(F768,Rabat!$D$10:$E$41,2,FALSE),0))</f>
        <v>290.55</v>
      </c>
      <c r="I768" t="s">
        <v>2540</v>
      </c>
      <c r="J768" t="s">
        <v>2662</v>
      </c>
      <c r="K768" t="s">
        <v>2538</v>
      </c>
      <c r="L768">
        <v>1</v>
      </c>
      <c r="M768"/>
      <c r="N768" t="s">
        <v>2544</v>
      </c>
      <c r="O768" s="31" t="str">
        <f>HYPERLINK("https://b2b.kobi.pl/pl/product/9827,lampa-wiszaca-boho-bemidi-s-1xe27-kobi-design?currency=PLN")</f>
        <v>https://b2b.kobi.pl/pl/product/9827,lampa-wiszaca-boho-bemidi-s-1xe27-kobi-design?currency=PLN</v>
      </c>
      <c r="P768" t="s">
        <v>16</v>
      </c>
      <c r="Q768"/>
    </row>
    <row r="769" spans="1:17" ht="15" x14ac:dyDescent="0.25">
      <c r="A769" t="s">
        <v>5</v>
      </c>
      <c r="B769" t="s">
        <v>56</v>
      </c>
      <c r="C769" t="s">
        <v>889</v>
      </c>
      <c r="D769" t="s">
        <v>2519</v>
      </c>
      <c r="E769" t="s">
        <v>2520</v>
      </c>
      <c r="F769" t="s">
        <v>942</v>
      </c>
      <c r="G769" s="30">
        <v>383.33</v>
      </c>
      <c r="H769" s="29">
        <f>G769*(1-IFERROR(VLOOKUP(F769,Rabat!$D$10:$E$41,2,FALSE),0))</f>
        <v>383.33</v>
      </c>
      <c r="I769" t="s">
        <v>2540</v>
      </c>
      <c r="J769" t="s">
        <v>2683</v>
      </c>
      <c r="K769" t="s">
        <v>2538</v>
      </c>
      <c r="L769">
        <v>1</v>
      </c>
      <c r="M769"/>
      <c r="N769" t="s">
        <v>2544</v>
      </c>
      <c r="O769" s="31" t="str">
        <f>HYPERLINK("https://b2b.kobi.pl/pl/product/9828,lampa-wiszaca-boho-bemidi-m-1xe27-kobi-design?currency=PLN")</f>
        <v>https://b2b.kobi.pl/pl/product/9828,lampa-wiszaca-boho-bemidi-m-1xe27-kobi-design?currency=PLN</v>
      </c>
      <c r="P769" t="s">
        <v>16</v>
      </c>
      <c r="Q769"/>
    </row>
    <row r="770" spans="1:17" ht="15" x14ac:dyDescent="0.25">
      <c r="A770" t="s">
        <v>5</v>
      </c>
      <c r="B770" t="s">
        <v>56</v>
      </c>
      <c r="C770" t="s">
        <v>889</v>
      </c>
      <c r="D770" t="s">
        <v>1111</v>
      </c>
      <c r="E770" t="s">
        <v>1112</v>
      </c>
      <c r="F770" t="s">
        <v>942</v>
      </c>
      <c r="G770" s="30">
        <v>312.95999999999998</v>
      </c>
      <c r="H770" s="29">
        <f>G770*(1-IFERROR(VLOOKUP(F770,Rabat!$D$10:$E$41,2,FALSE),0))</f>
        <v>312.95999999999998</v>
      </c>
      <c r="I770" t="s">
        <v>2540</v>
      </c>
      <c r="J770" t="s">
        <v>2571</v>
      </c>
      <c r="K770" t="s">
        <v>2538</v>
      </c>
      <c r="L770">
        <v>1</v>
      </c>
      <c r="M770"/>
      <c r="N770" t="s">
        <v>2544</v>
      </c>
      <c r="O770" s="31" t="str">
        <f>HYPERLINK("https://b2b.kobi.pl/pl/product/9829,lampa-sufitowa-boho-rovno-1xe27-kobi-design?currency=PLN")</f>
        <v>https://b2b.kobi.pl/pl/product/9829,lampa-sufitowa-boho-rovno-1xe27-kobi-design?currency=PLN</v>
      </c>
      <c r="P770" t="s">
        <v>16</v>
      </c>
      <c r="Q770"/>
    </row>
    <row r="771" spans="1:17" ht="15" x14ac:dyDescent="0.25">
      <c r="A771" t="s">
        <v>5</v>
      </c>
      <c r="B771" t="s">
        <v>56</v>
      </c>
      <c r="C771" t="s">
        <v>889</v>
      </c>
      <c r="D771" t="s">
        <v>2470</v>
      </c>
      <c r="E771" t="s">
        <v>2471</v>
      </c>
      <c r="F771" t="s">
        <v>942</v>
      </c>
      <c r="G771" s="30">
        <v>380.95</v>
      </c>
      <c r="H771" s="29">
        <f>G771*(1-IFERROR(VLOOKUP(F771,Rabat!$D$10:$E$41,2,FALSE),0))</f>
        <v>380.95</v>
      </c>
      <c r="I771" t="s">
        <v>2540</v>
      </c>
      <c r="J771" t="s">
        <v>2663</v>
      </c>
      <c r="K771" t="s">
        <v>2538</v>
      </c>
      <c r="L771">
        <v>1</v>
      </c>
      <c r="M771"/>
      <c r="N771" t="s">
        <v>2544</v>
      </c>
      <c r="O771" s="31" t="str">
        <f>HYPERLINK("https://b2b.kobi.pl/pl/product/9830,lampa-sufitowa-boho-renni-b-1xe27-kobi-design?currency=PLN")</f>
        <v>https://b2b.kobi.pl/pl/product/9830,lampa-sufitowa-boho-renni-b-1xe27-kobi-design?currency=PLN</v>
      </c>
      <c r="P771" t="s">
        <v>16</v>
      </c>
      <c r="Q771"/>
    </row>
    <row r="772" spans="1:17" ht="15" x14ac:dyDescent="0.25">
      <c r="A772" t="s">
        <v>5</v>
      </c>
      <c r="B772" t="s">
        <v>56</v>
      </c>
      <c r="C772" t="s">
        <v>889</v>
      </c>
      <c r="D772" t="s">
        <v>2521</v>
      </c>
      <c r="E772" t="s">
        <v>2522</v>
      </c>
      <c r="F772" t="s">
        <v>942</v>
      </c>
      <c r="G772" s="30">
        <v>335.1</v>
      </c>
      <c r="H772" s="29">
        <f>G772*(1-IFERROR(VLOOKUP(F772,Rabat!$D$10:$E$41,2,FALSE),0))</f>
        <v>335.1</v>
      </c>
      <c r="I772" t="s">
        <v>2540</v>
      </c>
      <c r="J772" t="s">
        <v>2684</v>
      </c>
      <c r="K772" t="s">
        <v>2538</v>
      </c>
      <c r="L772">
        <v>1</v>
      </c>
      <c r="M772"/>
      <c r="N772" t="s">
        <v>2544</v>
      </c>
      <c r="O772" s="31" t="str">
        <f>HYPERLINK("https://b2b.kobi.pl/pl/product/9831,lampa-sufitowa-boho-reddi-1xe27-kobi-design?currency=PLN")</f>
        <v>https://b2b.kobi.pl/pl/product/9831,lampa-sufitowa-boho-reddi-1xe27-kobi-design?currency=PLN</v>
      </c>
      <c r="P772" t="s">
        <v>16</v>
      </c>
      <c r="Q772"/>
    </row>
    <row r="773" spans="1:17" ht="15" x14ac:dyDescent="0.25">
      <c r="A773" t="s">
        <v>5</v>
      </c>
      <c r="B773" t="s">
        <v>56</v>
      </c>
      <c r="C773" t="s">
        <v>889</v>
      </c>
      <c r="D773" t="s">
        <v>2472</v>
      </c>
      <c r="E773" t="s">
        <v>2473</v>
      </c>
      <c r="F773" t="s">
        <v>942</v>
      </c>
      <c r="G773" s="30">
        <v>246.68</v>
      </c>
      <c r="H773" s="29">
        <f>G773*(1-IFERROR(VLOOKUP(F773,Rabat!$D$10:$E$41,2,FALSE),0))</f>
        <v>246.68</v>
      </c>
      <c r="I773" t="s">
        <v>2540</v>
      </c>
      <c r="J773" t="s">
        <v>2664</v>
      </c>
      <c r="K773" t="s">
        <v>2538</v>
      </c>
      <c r="L773">
        <v>1</v>
      </c>
      <c r="M773"/>
      <c r="N773" t="s">
        <v>2544</v>
      </c>
      <c r="O773" s="31" t="str">
        <f>HYPERLINK("https://b2b.kobi.pl/pl/product/9832,lampa-sufitowa-boho-sibu-long-1xe27-kobi-design?currency=PLN")</f>
        <v>https://b2b.kobi.pl/pl/product/9832,lampa-sufitowa-boho-sibu-long-1xe27-kobi-design?currency=PLN</v>
      </c>
      <c r="P773" t="s">
        <v>16</v>
      </c>
      <c r="Q773"/>
    </row>
    <row r="774" spans="1:17" ht="15" x14ac:dyDescent="0.25">
      <c r="A774" t="s">
        <v>5</v>
      </c>
      <c r="B774" t="s">
        <v>56</v>
      </c>
      <c r="C774" t="s">
        <v>889</v>
      </c>
      <c r="D774" t="s">
        <v>2474</v>
      </c>
      <c r="E774" t="s">
        <v>2475</v>
      </c>
      <c r="F774" t="s">
        <v>942</v>
      </c>
      <c r="G774" s="30">
        <v>265.85000000000002</v>
      </c>
      <c r="H774" s="29">
        <f>G774*(1-IFERROR(VLOOKUP(F774,Rabat!$D$10:$E$41,2,FALSE),0))</f>
        <v>265.85000000000002</v>
      </c>
      <c r="I774" t="s">
        <v>2540</v>
      </c>
      <c r="J774" t="s">
        <v>2665</v>
      </c>
      <c r="K774" t="s">
        <v>2538</v>
      </c>
      <c r="L774">
        <v>1</v>
      </c>
      <c r="M774"/>
      <c r="N774" t="s">
        <v>2544</v>
      </c>
      <c r="O774" s="31" t="str">
        <f>HYPERLINK("https://b2b.kobi.pl/pl/product/9833,kinkiet-boho-sibu-wall-1xe27-kobi-design?currency=PLN")</f>
        <v>https://b2b.kobi.pl/pl/product/9833,kinkiet-boho-sibu-wall-1xe27-kobi-design?currency=PLN</v>
      </c>
      <c r="P774" t="s">
        <v>16</v>
      </c>
      <c r="Q774"/>
    </row>
    <row r="775" spans="1:17" ht="15" x14ac:dyDescent="0.25">
      <c r="A775" t="s">
        <v>5</v>
      </c>
      <c r="B775" t="s">
        <v>56</v>
      </c>
      <c r="C775" t="s">
        <v>889</v>
      </c>
      <c r="D775" t="s">
        <v>2523</v>
      </c>
      <c r="E775" t="s">
        <v>2524</v>
      </c>
      <c r="F775" t="s">
        <v>1082</v>
      </c>
      <c r="G775" s="30">
        <v>337.08</v>
      </c>
      <c r="H775" s="29">
        <f>G775*(1-IFERROR(VLOOKUP(F775,Rabat!$D$10:$E$41,2,FALSE),0))</f>
        <v>337.08</v>
      </c>
      <c r="I775" t="s">
        <v>2540</v>
      </c>
      <c r="J775" t="s">
        <v>2685</v>
      </c>
      <c r="K775" t="s">
        <v>2538</v>
      </c>
      <c r="L775">
        <v>1</v>
      </c>
      <c r="M775"/>
      <c r="N775" t="s">
        <v>2544</v>
      </c>
      <c r="O775" s="31" t="str">
        <f>HYPERLINK("https://b2b.kobi.pl/pl/product/9834,lampka-biurkowa-boho-simbu-hs-1xe27-kobi-design?currency=PLN")</f>
        <v>https://b2b.kobi.pl/pl/product/9834,lampka-biurkowa-boho-simbu-hs-1xe27-kobi-design?currency=PLN</v>
      </c>
      <c r="P775" t="s">
        <v>16</v>
      </c>
      <c r="Q775"/>
    </row>
    <row r="776" spans="1:17" ht="15" x14ac:dyDescent="0.25">
      <c r="A776" t="s">
        <v>5</v>
      </c>
      <c r="B776" t="s">
        <v>56</v>
      </c>
      <c r="C776" t="s">
        <v>889</v>
      </c>
      <c r="D776" t="s">
        <v>2476</v>
      </c>
      <c r="E776" t="s">
        <v>2477</v>
      </c>
      <c r="F776" t="s">
        <v>1082</v>
      </c>
      <c r="G776" s="30">
        <v>341.33</v>
      </c>
      <c r="H776" s="29">
        <f>G776*(1-IFERROR(VLOOKUP(F776,Rabat!$D$10:$E$41,2,FALSE),0))</f>
        <v>341.33</v>
      </c>
      <c r="I776" t="s">
        <v>2540</v>
      </c>
      <c r="J776" t="s">
        <v>2666</v>
      </c>
      <c r="K776" t="s">
        <v>2538</v>
      </c>
      <c r="L776">
        <v>1</v>
      </c>
      <c r="M776"/>
      <c r="N776" t="s">
        <v>2544</v>
      </c>
      <c r="O776" s="31" t="str">
        <f>HYPERLINK("https://b2b.kobi.pl/pl/product/9835,lampka-biurkowa-boho-simbu-ls-1xe27-kobi-design?currency=PLN")</f>
        <v>https://b2b.kobi.pl/pl/product/9835,lampka-biurkowa-boho-simbu-ls-1xe27-kobi-design?currency=PLN</v>
      </c>
      <c r="P776" t="s">
        <v>16</v>
      </c>
      <c r="Q776"/>
    </row>
    <row r="777" spans="1:17" ht="15" x14ac:dyDescent="0.25">
      <c r="A777" t="s">
        <v>5</v>
      </c>
      <c r="B777" t="s">
        <v>56</v>
      </c>
      <c r="C777" t="s">
        <v>889</v>
      </c>
      <c r="D777" t="s">
        <v>2525</v>
      </c>
      <c r="E777" t="s">
        <v>2526</v>
      </c>
      <c r="F777" t="s">
        <v>942</v>
      </c>
      <c r="G777" s="30">
        <v>241.1</v>
      </c>
      <c r="H777" s="29">
        <f>G777*(1-IFERROR(VLOOKUP(F777,Rabat!$D$10:$E$41,2,FALSE),0))</f>
        <v>241.1</v>
      </c>
      <c r="I777" t="s">
        <v>2540</v>
      </c>
      <c r="J777" t="s">
        <v>2686</v>
      </c>
      <c r="K777" t="s">
        <v>2538</v>
      </c>
      <c r="L777">
        <v>1</v>
      </c>
      <c r="M777"/>
      <c r="N777" t="s">
        <v>2544</v>
      </c>
      <c r="O777" s="31" t="str">
        <f>HYPERLINK("https://b2b.kobi.pl/pl/product/9836,lampa-wiszaca-boho-silvon-1xe27-kobi-design?currency=PLN")</f>
        <v>https://b2b.kobi.pl/pl/product/9836,lampa-wiszaca-boho-silvon-1xe27-kobi-design?currency=PLN</v>
      </c>
      <c r="P777" t="s">
        <v>16</v>
      </c>
      <c r="Q777"/>
    </row>
    <row r="778" spans="1:17" ht="15" x14ac:dyDescent="0.25">
      <c r="A778" t="s">
        <v>5</v>
      </c>
      <c r="B778" t="s">
        <v>56</v>
      </c>
      <c r="C778" t="s">
        <v>889</v>
      </c>
      <c r="D778" t="s">
        <v>2478</v>
      </c>
      <c r="E778" t="s">
        <v>2479</v>
      </c>
      <c r="F778" t="s">
        <v>1082</v>
      </c>
      <c r="G778" s="30">
        <v>290.55</v>
      </c>
      <c r="H778" s="29">
        <f>G778*(1-IFERROR(VLOOKUP(F778,Rabat!$D$10:$E$41,2,FALSE),0))</f>
        <v>290.55</v>
      </c>
      <c r="I778" t="s">
        <v>2540</v>
      </c>
      <c r="J778" t="s">
        <v>2667</v>
      </c>
      <c r="K778" t="s">
        <v>2538</v>
      </c>
      <c r="L778">
        <v>1</v>
      </c>
      <c r="M778"/>
      <c r="N778" t="s">
        <v>2544</v>
      </c>
      <c r="O778" s="31" t="str">
        <f>HYPERLINK("https://b2b.kobi.pl/pl/product/9837,lampka-biurkowa-boho-sibu-st-1xe27-kobi-design?currency=PLN")</f>
        <v>https://b2b.kobi.pl/pl/product/9837,lampka-biurkowa-boho-sibu-st-1xe27-kobi-design?currency=PLN</v>
      </c>
      <c r="P778" t="s">
        <v>16</v>
      </c>
      <c r="Q778"/>
    </row>
    <row r="779" spans="1:17" ht="15" x14ac:dyDescent="0.25">
      <c r="A779" t="s">
        <v>5</v>
      </c>
      <c r="B779" t="s">
        <v>56</v>
      </c>
      <c r="C779" t="s">
        <v>889</v>
      </c>
      <c r="D779" t="s">
        <v>1107</v>
      </c>
      <c r="E779" t="s">
        <v>1108</v>
      </c>
      <c r="F779" t="s">
        <v>942</v>
      </c>
      <c r="G779" s="30">
        <v>389.96</v>
      </c>
      <c r="H779" s="29">
        <f>G779*(1-IFERROR(VLOOKUP(F779,Rabat!$D$10:$E$41,2,FALSE),0))</f>
        <v>389.96</v>
      </c>
      <c r="I779" t="s">
        <v>2540</v>
      </c>
      <c r="J779" t="s">
        <v>2569</v>
      </c>
      <c r="K779" t="s">
        <v>2538</v>
      </c>
      <c r="L779">
        <v>1</v>
      </c>
      <c r="M779"/>
      <c r="N779" t="s">
        <v>2544</v>
      </c>
      <c r="O779" s="31" t="str">
        <f>HYPERLINK("https://b2b.kobi.pl/pl/product/9838,lampa-sufitowa-boho-floxen-round-1xe27-kobi-design?currency=PLN")</f>
        <v>https://b2b.kobi.pl/pl/product/9838,lampa-sufitowa-boho-floxen-round-1xe27-kobi-design?currency=PLN</v>
      </c>
      <c r="P779" t="s">
        <v>16</v>
      </c>
      <c r="Q779"/>
    </row>
    <row r="780" spans="1:17" ht="15" x14ac:dyDescent="0.25">
      <c r="A780" t="s">
        <v>5</v>
      </c>
      <c r="B780" t="s">
        <v>56</v>
      </c>
      <c r="C780" t="s">
        <v>889</v>
      </c>
      <c r="D780" t="s">
        <v>1109</v>
      </c>
      <c r="E780" t="s">
        <v>1110</v>
      </c>
      <c r="F780" t="s">
        <v>942</v>
      </c>
      <c r="G780" s="30">
        <v>396.21</v>
      </c>
      <c r="H780" s="29">
        <f>G780*(1-IFERROR(VLOOKUP(F780,Rabat!$D$10:$E$41,2,FALSE),0))</f>
        <v>396.21</v>
      </c>
      <c r="I780" t="s">
        <v>2540</v>
      </c>
      <c r="J780" t="s">
        <v>2570</v>
      </c>
      <c r="K780" t="s">
        <v>2538</v>
      </c>
      <c r="L780">
        <v>1</v>
      </c>
      <c r="M780"/>
      <c r="N780" t="s">
        <v>2544</v>
      </c>
      <c r="O780" s="31" t="str">
        <f>HYPERLINK("https://b2b.kobi.pl/pl/product/9839,lampa-sufitowa-boho-floxen-slant-1xe27-kobi-design?currency=PLN")</f>
        <v>https://b2b.kobi.pl/pl/product/9839,lampa-sufitowa-boho-floxen-slant-1xe27-kobi-design?currency=PLN</v>
      </c>
      <c r="P780" t="s">
        <v>16</v>
      </c>
      <c r="Q780"/>
    </row>
    <row r="781" spans="1:17" ht="15" x14ac:dyDescent="0.25">
      <c r="A781" t="s">
        <v>5</v>
      </c>
      <c r="B781" t="s">
        <v>56</v>
      </c>
      <c r="C781" t="s">
        <v>889</v>
      </c>
      <c r="D781" t="s">
        <v>2480</v>
      </c>
      <c r="E781" t="s">
        <v>2481</v>
      </c>
      <c r="F781" t="s">
        <v>942</v>
      </c>
      <c r="G781" s="30">
        <v>313.18</v>
      </c>
      <c r="H781" s="29">
        <f>G781*(1-IFERROR(VLOOKUP(F781,Rabat!$D$10:$E$41,2,FALSE),0))</f>
        <v>313.18</v>
      </c>
      <c r="I781" t="s">
        <v>2540</v>
      </c>
      <c r="J781" t="s">
        <v>2668</v>
      </c>
      <c r="K781" t="s">
        <v>2538</v>
      </c>
      <c r="L781">
        <v>1</v>
      </c>
      <c r="M781"/>
      <c r="N781" t="s">
        <v>2544</v>
      </c>
      <c r="O781"/>
      <c r="P781" t="s">
        <v>16</v>
      </c>
      <c r="Q781"/>
    </row>
    <row r="782" spans="1:17" ht="15" x14ac:dyDescent="0.25">
      <c r="A782" t="s">
        <v>4</v>
      </c>
      <c r="B782" t="s">
        <v>1373</v>
      </c>
      <c r="C782" t="s">
        <v>792</v>
      </c>
      <c r="D782" t="s">
        <v>1846</v>
      </c>
      <c r="E782" t="s">
        <v>1847</v>
      </c>
      <c r="F782" t="s">
        <v>1840</v>
      </c>
      <c r="G782" s="30">
        <v>149</v>
      </c>
      <c r="H782" s="29">
        <f>G782*(1-IFERROR(VLOOKUP(F782,Rabat!$D$10:$E$41,2,FALSE),0))</f>
        <v>149</v>
      </c>
      <c r="I782" t="s">
        <v>2540</v>
      </c>
      <c r="J782" t="s">
        <v>2610</v>
      </c>
      <c r="K782" t="s">
        <v>2538</v>
      </c>
      <c r="L782"/>
      <c r="M782">
        <v>500</v>
      </c>
      <c r="N782" t="s">
        <v>2539</v>
      </c>
      <c r="O782" s="31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782" s="31" t="str">
        <f>HYPERLINK("https://eprel.ec.europa.eu/qr/2173141")</f>
        <v>https://eprel.ec.europa.eu/qr/2173141</v>
      </c>
      <c r="Q782"/>
    </row>
    <row r="783" spans="1:17" ht="15" x14ac:dyDescent="0.25">
      <c r="A783" t="s">
        <v>4</v>
      </c>
      <c r="B783" t="s">
        <v>1373</v>
      </c>
      <c r="C783" t="s">
        <v>792</v>
      </c>
      <c r="D783" t="s">
        <v>1848</v>
      </c>
      <c r="E783" t="s">
        <v>1849</v>
      </c>
      <c r="F783" t="s">
        <v>1840</v>
      </c>
      <c r="G783" s="30">
        <v>149</v>
      </c>
      <c r="H783" s="29">
        <f>G783*(1-IFERROR(VLOOKUP(F783,Rabat!$D$10:$E$41,2,FALSE),0))</f>
        <v>149</v>
      </c>
      <c r="I783" t="s">
        <v>2540</v>
      </c>
      <c r="J783" t="s">
        <v>2611</v>
      </c>
      <c r="K783" t="s">
        <v>2538</v>
      </c>
      <c r="L783"/>
      <c r="M783">
        <v>500</v>
      </c>
      <c r="N783" t="s">
        <v>2539</v>
      </c>
      <c r="O783" s="31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783" s="31" t="str">
        <f>HYPERLINK("https://eprel.ec.europa.eu/qr/2173141")</f>
        <v>https://eprel.ec.europa.eu/qr/2173141</v>
      </c>
      <c r="Q783"/>
    </row>
    <row r="784" spans="1:17" ht="15" x14ac:dyDescent="0.25">
      <c r="A784" t="s">
        <v>4</v>
      </c>
      <c r="B784" t="s">
        <v>1373</v>
      </c>
      <c r="C784" t="s">
        <v>792</v>
      </c>
      <c r="D784" t="s">
        <v>1850</v>
      </c>
      <c r="E784" t="s">
        <v>1851</v>
      </c>
      <c r="F784" t="s">
        <v>1840</v>
      </c>
      <c r="G784" s="30">
        <v>160</v>
      </c>
      <c r="H784" s="29">
        <f>G784*(1-IFERROR(VLOOKUP(F784,Rabat!$D$10:$E$41,2,FALSE),0))</f>
        <v>160</v>
      </c>
      <c r="I784" t="s">
        <v>2540</v>
      </c>
      <c r="J784" t="s">
        <v>2612</v>
      </c>
      <c r="K784" t="s">
        <v>2538</v>
      </c>
      <c r="L784"/>
      <c r="M784">
        <v>500</v>
      </c>
      <c r="N784" t="s">
        <v>2539</v>
      </c>
      <c r="O784" s="31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784" s="31" t="str">
        <f>HYPERLINK("https://eprel.ec.europa.eu/qr/2178298")</f>
        <v>https://eprel.ec.europa.eu/qr/2178298</v>
      </c>
      <c r="Q784"/>
    </row>
    <row r="785" spans="1:17" ht="15" x14ac:dyDescent="0.25">
      <c r="A785" t="s">
        <v>4</v>
      </c>
      <c r="B785" t="s">
        <v>1373</v>
      </c>
      <c r="C785" t="s">
        <v>792</v>
      </c>
      <c r="D785" t="s">
        <v>1852</v>
      </c>
      <c r="E785" t="s">
        <v>1853</v>
      </c>
      <c r="F785" t="s">
        <v>1840</v>
      </c>
      <c r="G785" s="30">
        <v>160</v>
      </c>
      <c r="H785" s="29">
        <f>G785*(1-IFERROR(VLOOKUP(F785,Rabat!$D$10:$E$41,2,FALSE),0))</f>
        <v>160</v>
      </c>
      <c r="I785" t="s">
        <v>2540</v>
      </c>
      <c r="J785" t="s">
        <v>2613</v>
      </c>
      <c r="K785" t="s">
        <v>2538</v>
      </c>
      <c r="L785"/>
      <c r="M785">
        <v>500</v>
      </c>
      <c r="N785" t="s">
        <v>2539</v>
      </c>
      <c r="O785" s="31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785" s="31" t="str">
        <f>HYPERLINK("https://eprel.ec.europa.eu/qr/2178298")</f>
        <v>https://eprel.ec.europa.eu/qr/2178298</v>
      </c>
      <c r="Q785"/>
    </row>
    <row r="786" spans="1:17" ht="15" x14ac:dyDescent="0.25">
      <c r="A786" t="s">
        <v>4</v>
      </c>
      <c r="B786" t="s">
        <v>1373</v>
      </c>
      <c r="C786" t="s">
        <v>792</v>
      </c>
      <c r="D786" t="s">
        <v>1854</v>
      </c>
      <c r="E786" t="s">
        <v>1855</v>
      </c>
      <c r="F786" t="s">
        <v>1840</v>
      </c>
      <c r="G786" s="30">
        <v>200</v>
      </c>
      <c r="H786" s="29">
        <f>G786*(1-IFERROR(VLOOKUP(F786,Rabat!$D$10:$E$41,2,FALSE),0))</f>
        <v>200</v>
      </c>
      <c r="I786" t="s">
        <v>2540</v>
      </c>
      <c r="J786" t="s">
        <v>2614</v>
      </c>
      <c r="K786" t="s">
        <v>2538</v>
      </c>
      <c r="L786"/>
      <c r="M786">
        <v>240</v>
      </c>
      <c r="N786" t="s">
        <v>2539</v>
      </c>
      <c r="O786" s="31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786" s="31" t="str">
        <f>HYPERLINK("https://eprel.ec.europa.eu/qr/2190368")</f>
        <v>https://eprel.ec.europa.eu/qr/2190368</v>
      </c>
      <c r="Q786"/>
    </row>
    <row r="787" spans="1:17" ht="15" x14ac:dyDescent="0.25">
      <c r="A787" t="s">
        <v>4</v>
      </c>
      <c r="B787" t="s">
        <v>1373</v>
      </c>
      <c r="C787" t="s">
        <v>792</v>
      </c>
      <c r="D787" t="s">
        <v>1856</v>
      </c>
      <c r="E787" t="s">
        <v>1857</v>
      </c>
      <c r="F787" t="s">
        <v>1840</v>
      </c>
      <c r="G787" s="30">
        <v>200</v>
      </c>
      <c r="H787" s="29">
        <f>G787*(1-IFERROR(VLOOKUP(F787,Rabat!$D$10:$E$41,2,FALSE),0))</f>
        <v>200</v>
      </c>
      <c r="I787" t="s">
        <v>2540</v>
      </c>
      <c r="J787" t="s">
        <v>2615</v>
      </c>
      <c r="K787" t="s">
        <v>2538</v>
      </c>
      <c r="L787"/>
      <c r="M787">
        <v>240</v>
      </c>
      <c r="N787" t="s">
        <v>2539</v>
      </c>
      <c r="O787" s="31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787" s="31" t="str">
        <f>HYPERLINK("https://eprel.ec.europa.eu/qr/2190368")</f>
        <v>https://eprel.ec.europa.eu/qr/2190368</v>
      </c>
      <c r="Q787"/>
    </row>
    <row r="788" spans="1:17" ht="15" x14ac:dyDescent="0.25">
      <c r="A788" t="s">
        <v>4</v>
      </c>
      <c r="B788" t="s">
        <v>1373</v>
      </c>
      <c r="C788" t="s">
        <v>792</v>
      </c>
      <c r="D788" t="s">
        <v>1858</v>
      </c>
      <c r="E788" t="s">
        <v>1859</v>
      </c>
      <c r="F788" t="s">
        <v>1840</v>
      </c>
      <c r="G788" s="30">
        <v>210</v>
      </c>
      <c r="H788" s="29">
        <f>G788*(1-IFERROR(VLOOKUP(F788,Rabat!$D$10:$E$41,2,FALSE),0))</f>
        <v>210</v>
      </c>
      <c r="I788" t="s">
        <v>2540</v>
      </c>
      <c r="J788" t="s">
        <v>2616</v>
      </c>
      <c r="K788" t="s">
        <v>2538</v>
      </c>
      <c r="L788"/>
      <c r="M788">
        <v>460</v>
      </c>
      <c r="N788" t="s">
        <v>2539</v>
      </c>
      <c r="O788" s="31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788" s="31" t="str">
        <f>HYPERLINK("https://eprel.ec.europa.eu/qr/2190375")</f>
        <v>https://eprel.ec.europa.eu/qr/2190375</v>
      </c>
      <c r="Q788"/>
    </row>
    <row r="789" spans="1:17" ht="15" x14ac:dyDescent="0.25">
      <c r="A789" t="s">
        <v>4</v>
      </c>
      <c r="B789" t="s">
        <v>1373</v>
      </c>
      <c r="C789" t="s">
        <v>792</v>
      </c>
      <c r="D789" t="s">
        <v>1860</v>
      </c>
      <c r="E789" t="s">
        <v>1861</v>
      </c>
      <c r="F789" t="s">
        <v>1840</v>
      </c>
      <c r="G789" s="30">
        <v>210</v>
      </c>
      <c r="H789" s="29">
        <f>G789*(1-IFERROR(VLOOKUP(F789,Rabat!$D$10:$E$41,2,FALSE),0))</f>
        <v>210</v>
      </c>
      <c r="I789" t="s">
        <v>2540</v>
      </c>
      <c r="J789" t="s">
        <v>2617</v>
      </c>
      <c r="K789" t="s">
        <v>2538</v>
      </c>
      <c r="L789"/>
      <c r="M789">
        <v>460</v>
      </c>
      <c r="N789" t="s">
        <v>2539</v>
      </c>
      <c r="O789" s="31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789" s="31" t="str">
        <f>HYPERLINK("https://eprel.ec.europa.eu/qr/2190375")</f>
        <v>https://eprel.ec.europa.eu/qr/2190375</v>
      </c>
      <c r="Q789"/>
    </row>
    <row r="790" spans="1:17" ht="15" x14ac:dyDescent="0.25">
      <c r="A790" t="s">
        <v>4</v>
      </c>
      <c r="B790" t="s">
        <v>1373</v>
      </c>
      <c r="C790" t="s">
        <v>792</v>
      </c>
      <c r="D790" t="s">
        <v>1862</v>
      </c>
      <c r="E790" t="s">
        <v>1863</v>
      </c>
      <c r="F790" t="s">
        <v>1840</v>
      </c>
      <c r="G790" s="30">
        <v>249</v>
      </c>
      <c r="H790" s="29">
        <f>G790*(1-IFERROR(VLOOKUP(F790,Rabat!$D$10:$E$41,2,FALSE),0))</f>
        <v>249</v>
      </c>
      <c r="I790" t="s">
        <v>2540</v>
      </c>
      <c r="J790" t="s">
        <v>2618</v>
      </c>
      <c r="K790" t="s">
        <v>2538</v>
      </c>
      <c r="L790"/>
      <c r="M790">
        <v>320</v>
      </c>
      <c r="N790" t="s">
        <v>2539</v>
      </c>
      <c r="O790" s="31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790" s="31" t="str">
        <f>HYPERLINK("https://eprel.ec.europa.eu/qr/2190387")</f>
        <v>https://eprel.ec.europa.eu/qr/2190387</v>
      </c>
      <c r="Q790"/>
    </row>
    <row r="791" spans="1:17" ht="15" x14ac:dyDescent="0.25">
      <c r="A791" t="s">
        <v>4</v>
      </c>
      <c r="B791" t="s">
        <v>1373</v>
      </c>
      <c r="C791" t="s">
        <v>792</v>
      </c>
      <c r="D791" t="s">
        <v>1864</v>
      </c>
      <c r="E791" t="s">
        <v>1865</v>
      </c>
      <c r="F791" t="s">
        <v>1840</v>
      </c>
      <c r="G791" s="30">
        <v>249</v>
      </c>
      <c r="H791" s="29">
        <f>G791*(1-IFERROR(VLOOKUP(F791,Rabat!$D$10:$E$41,2,FALSE),0))</f>
        <v>249</v>
      </c>
      <c r="I791" t="s">
        <v>2540</v>
      </c>
      <c r="J791" t="s">
        <v>2619</v>
      </c>
      <c r="K791" t="s">
        <v>2538</v>
      </c>
      <c r="L791"/>
      <c r="M791">
        <v>320</v>
      </c>
      <c r="N791" t="s">
        <v>2539</v>
      </c>
      <c r="O791" s="31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791" s="31" t="str">
        <f>HYPERLINK("https://eprel.ec.europa.eu/qr/2190387")</f>
        <v>https://eprel.ec.europa.eu/qr/2190387</v>
      </c>
      <c r="Q791"/>
    </row>
    <row r="792" spans="1:17" ht="15" x14ac:dyDescent="0.25">
      <c r="A792" t="s">
        <v>4</v>
      </c>
      <c r="B792" t="s">
        <v>1373</v>
      </c>
      <c r="C792" t="s">
        <v>792</v>
      </c>
      <c r="D792" t="s">
        <v>1866</v>
      </c>
      <c r="E792" t="s">
        <v>1867</v>
      </c>
      <c r="F792" t="s">
        <v>1840</v>
      </c>
      <c r="G792" s="30">
        <v>275.56</v>
      </c>
      <c r="H792" s="29">
        <f>G792*(1-IFERROR(VLOOKUP(F792,Rabat!$D$10:$E$41,2,FALSE),0))</f>
        <v>275.56</v>
      </c>
      <c r="I792" t="s">
        <v>2540</v>
      </c>
      <c r="J792" t="s">
        <v>2620</v>
      </c>
      <c r="K792" t="s">
        <v>2538</v>
      </c>
      <c r="L792"/>
      <c r="M792">
        <v>320</v>
      </c>
      <c r="N792" t="s">
        <v>2539</v>
      </c>
      <c r="O792" s="31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792" s="31" t="str">
        <f>HYPERLINK("https://eprel.ec.europa.eu/qr/2190390")</f>
        <v>https://eprel.ec.europa.eu/qr/2190390</v>
      </c>
      <c r="Q792"/>
    </row>
    <row r="793" spans="1:17" ht="15" x14ac:dyDescent="0.25">
      <c r="A793" t="s">
        <v>4</v>
      </c>
      <c r="B793" t="s">
        <v>1373</v>
      </c>
      <c r="C793" t="s">
        <v>792</v>
      </c>
      <c r="D793" t="s">
        <v>1868</v>
      </c>
      <c r="E793" t="s">
        <v>1869</v>
      </c>
      <c r="F793" t="s">
        <v>1840</v>
      </c>
      <c r="G793" s="30">
        <v>275.56</v>
      </c>
      <c r="H793" s="29">
        <f>G793*(1-IFERROR(VLOOKUP(F793,Rabat!$D$10:$E$41,2,FALSE),0))</f>
        <v>275.56</v>
      </c>
      <c r="I793" t="s">
        <v>2540</v>
      </c>
      <c r="J793" t="s">
        <v>2621</v>
      </c>
      <c r="K793" t="s">
        <v>2538</v>
      </c>
      <c r="L793"/>
      <c r="M793">
        <v>320</v>
      </c>
      <c r="N793" t="s">
        <v>2539</v>
      </c>
      <c r="O793" s="31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793" s="31" t="str">
        <f>HYPERLINK("https://eprel.ec.europa.eu/qr/2190390")</f>
        <v>https://eprel.ec.europa.eu/qr/2190390</v>
      </c>
      <c r="Q793"/>
    </row>
    <row r="794" spans="1:17" ht="15" x14ac:dyDescent="0.25">
      <c r="A794" t="s">
        <v>4</v>
      </c>
      <c r="B794" t="s">
        <v>1373</v>
      </c>
      <c r="C794" t="s">
        <v>858</v>
      </c>
      <c r="D794" t="s">
        <v>1394</v>
      </c>
      <c r="E794" t="s">
        <v>1395</v>
      </c>
      <c r="F794" t="s">
        <v>860</v>
      </c>
      <c r="G794" s="30">
        <v>70.5</v>
      </c>
      <c r="H794" s="29">
        <f>G794*(1-IFERROR(VLOOKUP(F794,Rabat!$D$10:$E$41,2,FALSE),0))</f>
        <v>70.5</v>
      </c>
      <c r="I794" t="s">
        <v>2540</v>
      </c>
      <c r="J794" t="s">
        <v>724</v>
      </c>
      <c r="K794" t="s">
        <v>2538</v>
      </c>
      <c r="L794">
        <v>50</v>
      </c>
      <c r="M794"/>
      <c r="N794" t="s">
        <v>2544</v>
      </c>
      <c r="O794" s="31" t="str">
        <f>HYPERLINK("https://b2b.kobi.pl/pl/product/10689,miernik-poboru-energii-kobi-pmm-1-bialy-kobi?currency=PLN")</f>
        <v>https://b2b.kobi.pl/pl/product/10689,miernik-poboru-energii-kobi-pmm-1-bialy-kobi?currency=PLN</v>
      </c>
      <c r="P794" t="s">
        <v>16</v>
      </c>
      <c r="Q794"/>
    </row>
    <row r="795" spans="1:17" ht="15" x14ac:dyDescent="0.25">
      <c r="A795" t="s">
        <v>4</v>
      </c>
      <c r="B795" t="s">
        <v>1373</v>
      </c>
      <c r="C795" t="s">
        <v>858</v>
      </c>
      <c r="D795" t="s">
        <v>1398</v>
      </c>
      <c r="E795" t="s">
        <v>1399</v>
      </c>
      <c r="F795" t="s">
        <v>860</v>
      </c>
      <c r="G795" s="30">
        <v>74.75</v>
      </c>
      <c r="H795" s="29">
        <f>G795*(1-IFERROR(VLOOKUP(F795,Rabat!$D$10:$E$41,2,FALSE),0))</f>
        <v>74.75</v>
      </c>
      <c r="I795" t="s">
        <v>2540</v>
      </c>
      <c r="J795" t="s">
        <v>725</v>
      </c>
      <c r="K795" t="s">
        <v>2538</v>
      </c>
      <c r="L795">
        <v>50</v>
      </c>
      <c r="M795"/>
      <c r="N795" t="s">
        <v>2544</v>
      </c>
      <c r="O795" s="31" t="str">
        <f>HYPERLINK("https://b2b.kobi.pl/pl/product/10690,miernik-poboru-energii-kobi-pmm-2-czarny-kobi?currency=PLN")</f>
        <v>https://b2b.kobi.pl/pl/product/10690,miernik-poboru-energii-kobi-pmm-2-czarny-kobi?currency=PLN</v>
      </c>
      <c r="P795" t="s">
        <v>16</v>
      </c>
      <c r="Q795"/>
    </row>
    <row r="796" spans="1:17" ht="15" x14ac:dyDescent="0.25">
      <c r="A796" t="s">
        <v>4</v>
      </c>
      <c r="B796" t="s">
        <v>1373</v>
      </c>
      <c r="C796" t="s">
        <v>858</v>
      </c>
      <c r="D796" t="s">
        <v>1402</v>
      </c>
      <c r="E796" t="s">
        <v>1403</v>
      </c>
      <c r="F796" t="s">
        <v>860</v>
      </c>
      <c r="G796" s="30">
        <v>74.75</v>
      </c>
      <c r="H796" s="29">
        <f>G796*(1-IFERROR(VLOOKUP(F796,Rabat!$D$10:$E$41,2,FALSE),0))</f>
        <v>74.75</v>
      </c>
      <c r="I796" t="s">
        <v>2540</v>
      </c>
      <c r="J796" t="s">
        <v>726</v>
      </c>
      <c r="K796" t="s">
        <v>2538</v>
      </c>
      <c r="L796">
        <v>50</v>
      </c>
      <c r="M796"/>
      <c r="N796" t="s">
        <v>2544</v>
      </c>
      <c r="O796" s="31" t="str">
        <f>HYPERLINK("https://b2b.kobi.pl/pl/product/10691,miernik-poboru-energii-kobi-pmm-3-bialy-kobi?currency=PLN")</f>
        <v>https://b2b.kobi.pl/pl/product/10691,miernik-poboru-energii-kobi-pmm-3-bialy-kobi?currency=PLN</v>
      </c>
      <c r="P796" t="s">
        <v>16</v>
      </c>
      <c r="Q796"/>
    </row>
    <row r="797" spans="1:17" ht="15" x14ac:dyDescent="0.25">
      <c r="A797" t="s">
        <v>861</v>
      </c>
      <c r="B797" t="s">
        <v>1373</v>
      </c>
      <c r="C797" t="s">
        <v>858</v>
      </c>
      <c r="D797" t="s">
        <v>1918</v>
      </c>
      <c r="E797" t="s">
        <v>1919</v>
      </c>
      <c r="F797" t="s">
        <v>860</v>
      </c>
      <c r="G797" s="30">
        <v>40</v>
      </c>
      <c r="H797" s="29">
        <f>G797*(1-IFERROR(VLOOKUP(F797,Rabat!$D$10:$E$41,2,FALSE),0))</f>
        <v>40</v>
      </c>
      <c r="I797" t="s">
        <v>2540</v>
      </c>
      <c r="J797" t="s">
        <v>577</v>
      </c>
      <c r="K797" t="s">
        <v>2538</v>
      </c>
      <c r="L797">
        <v>10</v>
      </c>
      <c r="M797"/>
      <c r="N797" t="s">
        <v>2544</v>
      </c>
      <c r="O797" s="31" t="str">
        <f>HYPERLINK("https://b2b.kobi.pl/pl/product/10724,sciemniacz-led-sc02dp-5-24v-6a-z-pilotem-kobi?currency=PLN")</f>
        <v>https://b2b.kobi.pl/pl/product/10724,sciemniacz-led-sc02dp-5-24v-6a-z-pilotem-kobi?currency=PLN</v>
      </c>
      <c r="P797" t="s">
        <v>16</v>
      </c>
      <c r="Q797"/>
    </row>
    <row r="798" spans="1:17" ht="15" x14ac:dyDescent="0.25">
      <c r="A798" t="s">
        <v>4</v>
      </c>
      <c r="B798" t="s">
        <v>1373</v>
      </c>
      <c r="C798" t="s">
        <v>858</v>
      </c>
      <c r="D798" t="s">
        <v>1374</v>
      </c>
      <c r="E798" t="s">
        <v>1375</v>
      </c>
      <c r="F798" t="s">
        <v>860</v>
      </c>
      <c r="G798" s="30">
        <v>10.89</v>
      </c>
      <c r="H798" s="29">
        <f>G798*(1-IFERROR(VLOOKUP(F798,Rabat!$D$10:$E$41,2,FALSE),0))</f>
        <v>10.89</v>
      </c>
      <c r="I798" t="s">
        <v>2540</v>
      </c>
      <c r="J798" t="s">
        <v>2584</v>
      </c>
      <c r="K798" t="s">
        <v>2538</v>
      </c>
      <c r="L798">
        <v>500</v>
      </c>
      <c r="M798"/>
      <c r="N798" t="s">
        <v>2544</v>
      </c>
      <c r="O798" s="31" t="str">
        <f>HYPERLINK("https://b2b.kobi.pl/pl/product/12158,lacznik-prosty-do-led-koline-k2-kobi?currency=PLN")</f>
        <v>https://b2b.kobi.pl/pl/product/12158,lacznik-prosty-do-led-koline-k2-kobi?currency=PLN</v>
      </c>
      <c r="P798" t="s">
        <v>16</v>
      </c>
      <c r="Q798"/>
    </row>
    <row r="799" spans="1:17" ht="15" x14ac:dyDescent="0.25">
      <c r="A799" t="s">
        <v>861</v>
      </c>
      <c r="B799" t="s">
        <v>1373</v>
      </c>
      <c r="C799" t="s">
        <v>858</v>
      </c>
      <c r="D799" t="s">
        <v>1908</v>
      </c>
      <c r="E799" t="s">
        <v>1909</v>
      </c>
      <c r="F799" t="s">
        <v>860</v>
      </c>
      <c r="G799" s="30">
        <v>66.2</v>
      </c>
      <c r="H799" s="29">
        <f>G799*(1-IFERROR(VLOOKUP(F799,Rabat!$D$10:$E$41,2,FALSE),0))</f>
        <v>66.2</v>
      </c>
      <c r="I799" t="s">
        <v>2540</v>
      </c>
      <c r="J799" t="s">
        <v>575</v>
      </c>
      <c r="K799" t="s">
        <v>2538</v>
      </c>
      <c r="L799">
        <v>10</v>
      </c>
      <c r="M799"/>
      <c r="N799" t="s">
        <v>2544</v>
      </c>
      <c r="O799" s="31" t="str">
        <f>HYPERLINK("https://b2b.kobi.pl/pl/product/10740,sterownik-led-st06fp-5-24v-6a-z-pilotem-kobi?currency=PLN")</f>
        <v>https://b2b.kobi.pl/pl/product/10740,sterownik-led-st06fp-5-24v-6a-z-pilotem-kobi?currency=PLN</v>
      </c>
      <c r="P799" t="s">
        <v>16</v>
      </c>
      <c r="Q799"/>
    </row>
    <row r="800" spans="1:17" ht="15" x14ac:dyDescent="0.25">
      <c r="A800" t="s">
        <v>861</v>
      </c>
      <c r="B800" t="s">
        <v>1373</v>
      </c>
      <c r="C800" t="s">
        <v>858</v>
      </c>
      <c r="D800" t="s">
        <v>2037</v>
      </c>
      <c r="E800" t="s">
        <v>2038</v>
      </c>
      <c r="F800" t="s">
        <v>860</v>
      </c>
      <c r="G800" s="30">
        <v>44.5</v>
      </c>
      <c r="H800" s="29">
        <f>G800*(1-IFERROR(VLOOKUP(F800,Rabat!$D$10:$E$41,2,FALSE),0))</f>
        <v>44.5</v>
      </c>
      <c r="I800" t="s">
        <v>2540</v>
      </c>
      <c r="J800" t="s">
        <v>576</v>
      </c>
      <c r="K800" t="s">
        <v>2538</v>
      </c>
      <c r="L800">
        <v>12</v>
      </c>
      <c r="M800"/>
      <c r="N800" t="s">
        <v>2544</v>
      </c>
      <c r="O800" s="31" t="str">
        <f>HYPERLINK("https://b2b.kobi.pl/pl/product/10741,wzmacniacz-led-st07f-5-24v-12a-z-pilotem-kobi?currency=PLN")</f>
        <v>https://b2b.kobi.pl/pl/product/10741,wzmacniacz-led-st07f-5-24v-12a-z-pilotem-kobi?currency=PLN</v>
      </c>
      <c r="P800" t="s">
        <v>16</v>
      </c>
      <c r="Q800" t="s">
        <v>2700</v>
      </c>
    </row>
    <row r="801" spans="1:17" ht="15" x14ac:dyDescent="0.25">
      <c r="A801" t="s">
        <v>861</v>
      </c>
      <c r="B801" t="s">
        <v>1905</v>
      </c>
      <c r="C801" t="s">
        <v>858</v>
      </c>
      <c r="D801" t="s">
        <v>1906</v>
      </c>
      <c r="E801" t="s">
        <v>1907</v>
      </c>
      <c r="F801" t="s">
        <v>860</v>
      </c>
      <c r="G801" s="30">
        <v>2.2200000000000002</v>
      </c>
      <c r="H801" s="29">
        <f>G801*(1-IFERROR(VLOOKUP(F801,Rabat!$D$10:$E$41,2,FALSE),0))</f>
        <v>2.2200000000000002</v>
      </c>
      <c r="I801" t="s">
        <v>2540</v>
      </c>
      <c r="J801" t="s">
        <v>594</v>
      </c>
      <c r="K801" t="s">
        <v>2538</v>
      </c>
      <c r="L801">
        <v>25</v>
      </c>
      <c r="M801"/>
      <c r="N801" t="s">
        <v>2544</v>
      </c>
      <c r="O801" s="31" t="str">
        <f>HYPERLINK("https://b2b.kobi.pl/pl/product/10738,starter-do-led-t8-kobi?currency=PLN")</f>
        <v>https://b2b.kobi.pl/pl/product/10738,starter-do-led-t8-kobi?currency=PLN</v>
      </c>
      <c r="P801" t="s">
        <v>16</v>
      </c>
      <c r="Q801"/>
    </row>
    <row r="802" spans="1:17" ht="15" x14ac:dyDescent="0.25">
      <c r="A802" t="s">
        <v>13</v>
      </c>
      <c r="B802" t="s">
        <v>939</v>
      </c>
      <c r="C802" t="s">
        <v>858</v>
      </c>
      <c r="D802" t="s">
        <v>2024</v>
      </c>
      <c r="E802" t="s">
        <v>2025</v>
      </c>
      <c r="F802" t="s">
        <v>2026</v>
      </c>
      <c r="G802" s="30">
        <v>23.06</v>
      </c>
      <c r="H802" s="29">
        <f>G802*(1-IFERROR(VLOOKUP(F802,Rabat!$D$10:$E$41,2,FALSE),0))</f>
        <v>23.06</v>
      </c>
      <c r="I802" t="s">
        <v>2542</v>
      </c>
      <c r="J802" t="s">
        <v>208</v>
      </c>
      <c r="K802" t="s">
        <v>2538</v>
      </c>
      <c r="L802">
        <v>100</v>
      </c>
      <c r="M802">
        <v>7200</v>
      </c>
      <c r="N802" t="s">
        <v>2544</v>
      </c>
      <c r="O802" s="31" t="str">
        <f>HYPERLINK("https://b2b.kobi.pl/pl/product/9576,wklad-led-insert-5w-3000k-mleczny-kobi?currency=PLN")</f>
        <v>https://b2b.kobi.pl/pl/product/9576,wklad-led-insert-5w-3000k-mleczny-kobi?currency=PLN</v>
      </c>
      <c r="P802" s="31" t="str">
        <f>HYPERLINK("https://eprel.ec.europa.eu/qr/660155")</f>
        <v>https://eprel.ec.europa.eu/qr/660155</v>
      </c>
      <c r="Q802"/>
    </row>
    <row r="803" spans="1:17" ht="15" x14ac:dyDescent="0.25">
      <c r="A803" t="s">
        <v>13</v>
      </c>
      <c r="B803" t="s">
        <v>939</v>
      </c>
      <c r="C803" t="s">
        <v>858</v>
      </c>
      <c r="D803" t="s">
        <v>2027</v>
      </c>
      <c r="E803" t="s">
        <v>2028</v>
      </c>
      <c r="F803" t="s">
        <v>2026</v>
      </c>
      <c r="G803" s="30">
        <v>23.06</v>
      </c>
      <c r="H803" s="29">
        <f>G803*(1-IFERROR(VLOOKUP(F803,Rabat!$D$10:$E$41,2,FALSE),0))</f>
        <v>23.06</v>
      </c>
      <c r="I803" t="s">
        <v>2542</v>
      </c>
      <c r="J803" t="s">
        <v>209</v>
      </c>
      <c r="K803" t="s">
        <v>2538</v>
      </c>
      <c r="L803">
        <v>100</v>
      </c>
      <c r="M803">
        <v>7200</v>
      </c>
      <c r="N803" t="s">
        <v>2544</v>
      </c>
      <c r="O803" s="31" t="str">
        <f>HYPERLINK("https://b2b.kobi.pl/pl/product/9577,wklad-led-insert-5w-4000k-mleczny-kobi?currency=PLN")</f>
        <v>https://b2b.kobi.pl/pl/product/9577,wklad-led-insert-5w-4000k-mleczny-kobi?currency=PLN</v>
      </c>
      <c r="P803" s="31" t="str">
        <f>HYPERLINK("https://eprel.ec.europa.eu/qr/660157")</f>
        <v>https://eprel.ec.europa.eu/qr/660157</v>
      </c>
      <c r="Q803"/>
    </row>
    <row r="804" spans="1:17" ht="15" x14ac:dyDescent="0.25">
      <c r="A804" t="s">
        <v>13</v>
      </c>
      <c r="B804" t="s">
        <v>939</v>
      </c>
      <c r="C804" t="s">
        <v>858</v>
      </c>
      <c r="D804" t="s">
        <v>2029</v>
      </c>
      <c r="E804" t="s">
        <v>2030</v>
      </c>
      <c r="F804" t="s">
        <v>2026</v>
      </c>
      <c r="G804" s="30">
        <v>23.06</v>
      </c>
      <c r="H804" s="29">
        <f>G804*(1-IFERROR(VLOOKUP(F804,Rabat!$D$10:$E$41,2,FALSE),0))</f>
        <v>23.06</v>
      </c>
      <c r="I804" t="s">
        <v>2542</v>
      </c>
      <c r="J804" t="s">
        <v>210</v>
      </c>
      <c r="K804" t="s">
        <v>2538</v>
      </c>
      <c r="L804">
        <v>100</v>
      </c>
      <c r="M804">
        <v>6000</v>
      </c>
      <c r="N804" t="s">
        <v>2544</v>
      </c>
      <c r="O804" s="31" t="str">
        <f>HYPERLINK("https://b2b.kobi.pl/pl/product/9578,wklad-led-insert-5w-6000k-mleczny-kobi?currency=PLN")</f>
        <v>https://b2b.kobi.pl/pl/product/9578,wklad-led-insert-5w-6000k-mleczny-kobi?currency=PLN</v>
      </c>
      <c r="P804" s="31" t="str">
        <f>HYPERLINK("https://eprel.ec.europa.eu/qr/660159")</f>
        <v>https://eprel.ec.europa.eu/qr/660159</v>
      </c>
      <c r="Q804"/>
    </row>
    <row r="805" spans="1:17" ht="15" x14ac:dyDescent="0.25">
      <c r="A805" t="s">
        <v>13</v>
      </c>
      <c r="B805" t="s">
        <v>939</v>
      </c>
      <c r="C805" t="s">
        <v>858</v>
      </c>
      <c r="D805" t="s">
        <v>2031</v>
      </c>
      <c r="E805" t="s">
        <v>2032</v>
      </c>
      <c r="F805" t="s">
        <v>2026</v>
      </c>
      <c r="G805" s="30">
        <v>24.12</v>
      </c>
      <c r="H805" s="29">
        <f>G805*(1-IFERROR(VLOOKUP(F805,Rabat!$D$10:$E$41,2,FALSE),0))</f>
        <v>24.12</v>
      </c>
      <c r="I805" t="s">
        <v>2542</v>
      </c>
      <c r="J805" t="s">
        <v>211</v>
      </c>
      <c r="K805" t="s">
        <v>2538</v>
      </c>
      <c r="L805">
        <v>100</v>
      </c>
      <c r="M805">
        <v>7200</v>
      </c>
      <c r="N805" t="s">
        <v>2544</v>
      </c>
      <c r="O805" s="31" t="str">
        <f>HYPERLINK("https://b2b.kobi.pl/pl/product/9579,wklad-led-insert-6-5w-3000k-mleczny-kobi?currency=PLN")</f>
        <v>https://b2b.kobi.pl/pl/product/9579,wklad-led-insert-6-5w-3000k-mleczny-kobi?currency=PLN</v>
      </c>
      <c r="P805" s="31" t="str">
        <f>HYPERLINK("https://eprel.ec.europa.eu/qr/660163")</f>
        <v>https://eprel.ec.europa.eu/qr/660163</v>
      </c>
      <c r="Q805"/>
    </row>
    <row r="806" spans="1:17" ht="15" x14ac:dyDescent="0.25">
      <c r="A806" t="s">
        <v>13</v>
      </c>
      <c r="B806" t="s">
        <v>939</v>
      </c>
      <c r="C806" t="s">
        <v>858</v>
      </c>
      <c r="D806" t="s">
        <v>2033</v>
      </c>
      <c r="E806" t="s">
        <v>2034</v>
      </c>
      <c r="F806" t="s">
        <v>2026</v>
      </c>
      <c r="G806" s="30">
        <v>24.12</v>
      </c>
      <c r="H806" s="29">
        <f>G806*(1-IFERROR(VLOOKUP(F806,Rabat!$D$10:$E$41,2,FALSE),0))</f>
        <v>24.12</v>
      </c>
      <c r="I806" t="s">
        <v>2542</v>
      </c>
      <c r="J806" t="s">
        <v>212</v>
      </c>
      <c r="K806" t="s">
        <v>2538</v>
      </c>
      <c r="L806">
        <v>100</v>
      </c>
      <c r="M806">
        <v>7200</v>
      </c>
      <c r="N806" t="s">
        <v>2544</v>
      </c>
      <c r="O806" s="31" t="str">
        <f>HYPERLINK("https://b2b.kobi.pl/pl/product/9580,wklad-led-insert-6-5w-4000k-mleczny-kobi?currency=PLN")</f>
        <v>https://b2b.kobi.pl/pl/product/9580,wklad-led-insert-6-5w-4000k-mleczny-kobi?currency=PLN</v>
      </c>
      <c r="P806" s="31" t="str">
        <f>HYPERLINK("https://eprel.ec.europa.eu/qr/660165")</f>
        <v>https://eprel.ec.europa.eu/qr/660165</v>
      </c>
      <c r="Q806"/>
    </row>
    <row r="807" spans="1:17" ht="15" x14ac:dyDescent="0.25">
      <c r="A807" t="s">
        <v>13</v>
      </c>
      <c r="B807" t="s">
        <v>939</v>
      </c>
      <c r="C807" t="s">
        <v>858</v>
      </c>
      <c r="D807" t="s">
        <v>2035</v>
      </c>
      <c r="E807" t="s">
        <v>2036</v>
      </c>
      <c r="F807" t="s">
        <v>2026</v>
      </c>
      <c r="G807" s="30">
        <v>24.12</v>
      </c>
      <c r="H807" s="29">
        <f>G807*(1-IFERROR(VLOOKUP(F807,Rabat!$D$10:$E$41,2,FALSE),0))</f>
        <v>24.12</v>
      </c>
      <c r="I807" t="s">
        <v>2542</v>
      </c>
      <c r="J807" t="s">
        <v>213</v>
      </c>
      <c r="K807" t="s">
        <v>2538</v>
      </c>
      <c r="L807">
        <v>100</v>
      </c>
      <c r="M807">
        <v>6000</v>
      </c>
      <c r="N807" t="s">
        <v>2544</v>
      </c>
      <c r="O807" s="31" t="str">
        <f>HYPERLINK("https://b2b.kobi.pl/pl/product/9581,wklad-led-insert-6-5w-6000k-mleczny-kobi?currency=PLN")</f>
        <v>https://b2b.kobi.pl/pl/product/9581,wklad-led-insert-6-5w-6000k-mleczny-kobi?currency=PLN</v>
      </c>
      <c r="P807" s="31" t="str">
        <f>HYPERLINK("https://eprel.ec.europa.eu/qr/660168")</f>
        <v>https://eprel.ec.europa.eu/qr/660168</v>
      </c>
      <c r="Q807"/>
    </row>
    <row r="808" spans="1:17" ht="15" x14ac:dyDescent="0.25">
      <c r="A808" t="s">
        <v>13</v>
      </c>
      <c r="B808" t="s">
        <v>939</v>
      </c>
      <c r="C808" t="s">
        <v>2412</v>
      </c>
      <c r="D808" t="s">
        <v>2413</v>
      </c>
      <c r="E808" t="s">
        <v>2414</v>
      </c>
      <c r="F808" t="s">
        <v>2026</v>
      </c>
      <c r="G808" s="30">
        <v>65</v>
      </c>
      <c r="H808" s="29">
        <f>G808*(1-IFERROR(VLOOKUP(F808,Rabat!$D$10:$E$41,2,FALSE),0))</f>
        <v>65</v>
      </c>
      <c r="I808" t="s">
        <v>2542</v>
      </c>
      <c r="J808" t="s">
        <v>96</v>
      </c>
      <c r="K808" t="s">
        <v>2538</v>
      </c>
      <c r="L808">
        <v>100</v>
      </c>
      <c r="M808"/>
      <c r="N808" t="s">
        <v>2544</v>
      </c>
      <c r="O808"/>
      <c r="P808" s="31" t="str">
        <f>HYPERLINK("https://eprel.ec.europa.eu/qr/766232")</f>
        <v>https://eprel.ec.europa.eu/qr/766232</v>
      </c>
      <c r="Q808" t="s">
        <v>2700</v>
      </c>
    </row>
    <row r="809" spans="1:17" ht="15" x14ac:dyDescent="0.25">
      <c r="A809" t="s">
        <v>5</v>
      </c>
      <c r="B809" t="s">
        <v>939</v>
      </c>
      <c r="C809" t="s">
        <v>889</v>
      </c>
      <c r="D809" t="s">
        <v>943</v>
      </c>
      <c r="E809" t="s">
        <v>944</v>
      </c>
      <c r="F809" t="s">
        <v>942</v>
      </c>
      <c r="G809" s="30">
        <v>88.38</v>
      </c>
      <c r="H809" s="29">
        <f>G809*(1-IFERROR(VLOOKUP(F809,Rabat!$D$10:$E$41,2,FALSE),0))</f>
        <v>88.38</v>
      </c>
      <c r="I809" t="s">
        <v>2540</v>
      </c>
      <c r="J809" t="s">
        <v>761</v>
      </c>
      <c r="K809" t="s">
        <v>2538</v>
      </c>
      <c r="L809"/>
      <c r="M809"/>
      <c r="N809" t="s">
        <v>2544</v>
      </c>
      <c r="O809" s="31" t="str">
        <f>HYPERLINK("https://b2b.kobi.pl/pl/product/9860,kinkiet-globe-elegance-amber-k-1xe14-kobi-design?currency=PLN")</f>
        <v>https://b2b.kobi.pl/pl/product/9860,kinkiet-globe-elegance-amber-k-1xe14-kobi-design?currency=PLN</v>
      </c>
      <c r="P809" t="s">
        <v>16</v>
      </c>
      <c r="Q809"/>
    </row>
    <row r="810" spans="1:17" ht="15" x14ac:dyDescent="0.25">
      <c r="A810" t="s">
        <v>5</v>
      </c>
      <c r="B810" t="s">
        <v>939</v>
      </c>
      <c r="C810" t="s">
        <v>889</v>
      </c>
      <c r="D810" t="s">
        <v>949</v>
      </c>
      <c r="E810" t="s">
        <v>950</v>
      </c>
      <c r="F810" t="s">
        <v>942</v>
      </c>
      <c r="G810" s="30">
        <v>88.38</v>
      </c>
      <c r="H810" s="29">
        <f>G810*(1-IFERROR(VLOOKUP(F810,Rabat!$D$10:$E$41,2,FALSE),0))</f>
        <v>88.38</v>
      </c>
      <c r="I810" t="s">
        <v>2540</v>
      </c>
      <c r="J810" t="s">
        <v>775</v>
      </c>
      <c r="K810" t="s">
        <v>2538</v>
      </c>
      <c r="L810"/>
      <c r="M810"/>
      <c r="N810" t="s">
        <v>2544</v>
      </c>
      <c r="O810" s="31" t="str">
        <f>HYPERLINK("https://b2b.kobi.pl/pl/product/9861,kinkiet-globe-elegance-smoke-k-1xe14-kobi-design?currency=PLN")</f>
        <v>https://b2b.kobi.pl/pl/product/9861,kinkiet-globe-elegance-smoke-k-1xe14-kobi-design?currency=PLN</v>
      </c>
      <c r="P810" t="s">
        <v>16</v>
      </c>
      <c r="Q810"/>
    </row>
    <row r="811" spans="1:17" ht="15" x14ac:dyDescent="0.25">
      <c r="A811" t="s">
        <v>5</v>
      </c>
      <c r="B811" t="s">
        <v>939</v>
      </c>
      <c r="C811" t="s">
        <v>889</v>
      </c>
      <c r="D811" t="s">
        <v>1119</v>
      </c>
      <c r="E811" t="s">
        <v>1120</v>
      </c>
      <c r="F811" t="s">
        <v>942</v>
      </c>
      <c r="G811" s="30">
        <v>291.77999999999997</v>
      </c>
      <c r="H811" s="29">
        <f>G811*(1-IFERROR(VLOOKUP(F811,Rabat!$D$10:$E$41,2,FALSE),0))</f>
        <v>291.77999999999997</v>
      </c>
      <c r="I811" t="s">
        <v>2540</v>
      </c>
      <c r="J811" t="s">
        <v>762</v>
      </c>
      <c r="K811" t="s">
        <v>2538</v>
      </c>
      <c r="L811"/>
      <c r="M811"/>
      <c r="N811" t="s">
        <v>2544</v>
      </c>
      <c r="O811" s="31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811" t="s">
        <v>16</v>
      </c>
      <c r="Q811"/>
    </row>
    <row r="812" spans="1:17" ht="15" x14ac:dyDescent="0.25">
      <c r="A812" t="s">
        <v>5</v>
      </c>
      <c r="B812" t="s">
        <v>939</v>
      </c>
      <c r="C812" t="s">
        <v>889</v>
      </c>
      <c r="D812" t="s">
        <v>1125</v>
      </c>
      <c r="E812" t="s">
        <v>1126</v>
      </c>
      <c r="F812" t="s">
        <v>942</v>
      </c>
      <c r="G812" s="30">
        <v>291.68</v>
      </c>
      <c r="H812" s="29">
        <f>G812*(1-IFERROR(VLOOKUP(F812,Rabat!$D$10:$E$41,2,FALSE),0))</f>
        <v>291.68</v>
      </c>
      <c r="I812" t="s">
        <v>2540</v>
      </c>
      <c r="J812" t="s">
        <v>776</v>
      </c>
      <c r="K812" t="s">
        <v>2538</v>
      </c>
      <c r="L812"/>
      <c r="M812"/>
      <c r="N812" t="s">
        <v>2544</v>
      </c>
      <c r="O812" s="31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812" t="s">
        <v>16</v>
      </c>
      <c r="Q812"/>
    </row>
    <row r="813" spans="1:17" ht="15" x14ac:dyDescent="0.25">
      <c r="A813" t="s">
        <v>5</v>
      </c>
      <c r="B813" t="s">
        <v>939</v>
      </c>
      <c r="C813" t="s">
        <v>889</v>
      </c>
      <c r="D813" t="s">
        <v>1127</v>
      </c>
      <c r="E813" t="s">
        <v>1128</v>
      </c>
      <c r="F813" t="s">
        <v>942</v>
      </c>
      <c r="G813" s="30">
        <v>441.38</v>
      </c>
      <c r="H813" s="29">
        <f>G813*(1-IFERROR(VLOOKUP(F813,Rabat!$D$10:$E$41,2,FALSE),0))</f>
        <v>441.38</v>
      </c>
      <c r="I813" t="s">
        <v>2540</v>
      </c>
      <c r="J813" t="s">
        <v>777</v>
      </c>
      <c r="K813" t="s">
        <v>2538</v>
      </c>
      <c r="L813"/>
      <c r="M813"/>
      <c r="N813" t="s">
        <v>2544</v>
      </c>
      <c r="O813" s="31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813" t="s">
        <v>16</v>
      </c>
      <c r="Q813"/>
    </row>
    <row r="814" spans="1:17" ht="15" x14ac:dyDescent="0.25">
      <c r="A814" t="s">
        <v>5</v>
      </c>
      <c r="B814" t="s">
        <v>939</v>
      </c>
      <c r="C814" t="s">
        <v>889</v>
      </c>
      <c r="D814" t="s">
        <v>1199</v>
      </c>
      <c r="E814" t="s">
        <v>1200</v>
      </c>
      <c r="F814" t="s">
        <v>942</v>
      </c>
      <c r="G814" s="30">
        <v>93.06</v>
      </c>
      <c r="H814" s="29">
        <f>G814*(1-IFERROR(VLOOKUP(F814,Rabat!$D$10:$E$41,2,FALSE),0))</f>
        <v>93.06</v>
      </c>
      <c r="I814" t="s">
        <v>2540</v>
      </c>
      <c r="J814" t="s">
        <v>766</v>
      </c>
      <c r="K814" t="s">
        <v>2538</v>
      </c>
      <c r="L814"/>
      <c r="M814"/>
      <c r="N814" t="s">
        <v>2544</v>
      </c>
      <c r="O814" s="31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814" t="s">
        <v>16</v>
      </c>
      <c r="Q814"/>
    </row>
    <row r="815" spans="1:17" ht="15" x14ac:dyDescent="0.25">
      <c r="A815" t="s">
        <v>5</v>
      </c>
      <c r="B815" t="s">
        <v>939</v>
      </c>
      <c r="C815" t="s">
        <v>889</v>
      </c>
      <c r="D815" t="s">
        <v>951</v>
      </c>
      <c r="E815" t="s">
        <v>952</v>
      </c>
      <c r="F815" t="s">
        <v>942</v>
      </c>
      <c r="G815" s="30">
        <v>90.26</v>
      </c>
      <c r="H815" s="29">
        <f>G815*(1-IFERROR(VLOOKUP(F815,Rabat!$D$10:$E$41,2,FALSE),0))</f>
        <v>90.26</v>
      </c>
      <c r="I815" t="s">
        <v>2540</v>
      </c>
      <c r="J815" t="s">
        <v>763</v>
      </c>
      <c r="K815" t="s">
        <v>2538</v>
      </c>
      <c r="L815"/>
      <c r="M815"/>
      <c r="N815" t="s">
        <v>2544</v>
      </c>
      <c r="O815" s="31" t="str">
        <f>HYPERLINK("https://b2b.kobi.pl/pl/product/9866,kinkiet-globe-elgance-ash-k-1xg9-kobi-design?currency=PLN")</f>
        <v>https://b2b.kobi.pl/pl/product/9866,kinkiet-globe-elgance-ash-k-1xg9-kobi-design?currency=PLN</v>
      </c>
      <c r="P815" t="s">
        <v>16</v>
      </c>
      <c r="Q815"/>
    </row>
    <row r="816" spans="1:17" ht="15" x14ac:dyDescent="0.25">
      <c r="A816" t="s">
        <v>5</v>
      </c>
      <c r="B816" t="s">
        <v>939</v>
      </c>
      <c r="C816" t="s">
        <v>889</v>
      </c>
      <c r="D816" t="s">
        <v>1121</v>
      </c>
      <c r="E816" t="s">
        <v>1122</v>
      </c>
      <c r="F816" t="s">
        <v>942</v>
      </c>
      <c r="G816" s="30">
        <v>223.47</v>
      </c>
      <c r="H816" s="29">
        <f>G816*(1-IFERROR(VLOOKUP(F816,Rabat!$D$10:$E$41,2,FALSE),0))</f>
        <v>223.47</v>
      </c>
      <c r="I816" t="s">
        <v>2540</v>
      </c>
      <c r="J816" t="s">
        <v>764</v>
      </c>
      <c r="K816" t="s">
        <v>2538</v>
      </c>
      <c r="L816"/>
      <c r="M816"/>
      <c r="N816" t="s">
        <v>2544</v>
      </c>
      <c r="O816" s="31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816" t="s">
        <v>16</v>
      </c>
      <c r="Q816"/>
    </row>
    <row r="817" spans="1:17" ht="15" x14ac:dyDescent="0.25">
      <c r="A817" t="s">
        <v>5</v>
      </c>
      <c r="B817" t="s">
        <v>939</v>
      </c>
      <c r="C817" t="s">
        <v>889</v>
      </c>
      <c r="D817" t="s">
        <v>1123</v>
      </c>
      <c r="E817" t="s">
        <v>1124</v>
      </c>
      <c r="F817" t="s">
        <v>942</v>
      </c>
      <c r="G817" s="30">
        <v>307.22000000000003</v>
      </c>
      <c r="H817" s="29">
        <f>G817*(1-IFERROR(VLOOKUP(F817,Rabat!$D$10:$E$41,2,FALSE),0))</f>
        <v>307.22000000000003</v>
      </c>
      <c r="I817" t="s">
        <v>2540</v>
      </c>
      <c r="J817" t="s">
        <v>765</v>
      </c>
      <c r="K817" t="s">
        <v>2538</v>
      </c>
      <c r="L817"/>
      <c r="M817"/>
      <c r="N817" t="s">
        <v>2544</v>
      </c>
      <c r="O817" s="31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817" t="s">
        <v>16</v>
      </c>
      <c r="Q817"/>
    </row>
    <row r="818" spans="1:17" ht="15" x14ac:dyDescent="0.25">
      <c r="A818" t="s">
        <v>5</v>
      </c>
      <c r="B818" t="s">
        <v>939</v>
      </c>
      <c r="C818" t="s">
        <v>889</v>
      </c>
      <c r="D818" t="s">
        <v>1223</v>
      </c>
      <c r="E818" t="s">
        <v>1224</v>
      </c>
      <c r="F818" t="s">
        <v>1082</v>
      </c>
      <c r="G818" s="30">
        <v>114.05</v>
      </c>
      <c r="H818" s="29">
        <f>G818*(1-IFERROR(VLOOKUP(F818,Rabat!$D$10:$E$41,2,FALSE),0))</f>
        <v>114.05</v>
      </c>
      <c r="I818" t="s">
        <v>2540</v>
      </c>
      <c r="J818" t="s">
        <v>767</v>
      </c>
      <c r="K818" t="s">
        <v>2538</v>
      </c>
      <c r="L818"/>
      <c r="M818"/>
      <c r="N818" t="s">
        <v>2544</v>
      </c>
      <c r="O818" s="31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818" t="s">
        <v>16</v>
      </c>
      <c r="Q818"/>
    </row>
    <row r="819" spans="1:17" ht="15" x14ac:dyDescent="0.25">
      <c r="A819" t="s">
        <v>5</v>
      </c>
      <c r="B819" t="s">
        <v>939</v>
      </c>
      <c r="C819" t="s">
        <v>889</v>
      </c>
      <c r="D819" t="s">
        <v>1205</v>
      </c>
      <c r="E819" t="s">
        <v>1206</v>
      </c>
      <c r="F819" t="s">
        <v>942</v>
      </c>
      <c r="G819" s="30">
        <v>419.43</v>
      </c>
      <c r="H819" s="29">
        <f>G819*(1-IFERROR(VLOOKUP(F819,Rabat!$D$10:$E$41,2,FALSE),0))</f>
        <v>419.43</v>
      </c>
      <c r="I819" t="s">
        <v>2540</v>
      </c>
      <c r="J819" t="s">
        <v>771</v>
      </c>
      <c r="K819" t="s">
        <v>2538</v>
      </c>
      <c r="L819"/>
      <c r="M819"/>
      <c r="N819" t="s">
        <v>2544</v>
      </c>
      <c r="O819" s="31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819" t="s">
        <v>16</v>
      </c>
      <c r="Q819"/>
    </row>
    <row r="820" spans="1:17" ht="15" x14ac:dyDescent="0.25">
      <c r="A820" t="s">
        <v>5</v>
      </c>
      <c r="B820" t="s">
        <v>939</v>
      </c>
      <c r="C820" t="s">
        <v>889</v>
      </c>
      <c r="D820" t="s">
        <v>1225</v>
      </c>
      <c r="E820" t="s">
        <v>1226</v>
      </c>
      <c r="F820" t="s">
        <v>1082</v>
      </c>
      <c r="G820" s="30">
        <v>136.77000000000001</v>
      </c>
      <c r="H820" s="29">
        <f>G820*(1-IFERROR(VLOOKUP(F820,Rabat!$D$10:$E$41,2,FALSE),0))</f>
        <v>136.77000000000001</v>
      </c>
      <c r="I820" t="s">
        <v>2540</v>
      </c>
      <c r="J820" t="s">
        <v>772</v>
      </c>
      <c r="K820" t="s">
        <v>2538</v>
      </c>
      <c r="L820"/>
      <c r="M820"/>
      <c r="N820" t="s">
        <v>2544</v>
      </c>
      <c r="O820" s="31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820" t="s">
        <v>16</v>
      </c>
      <c r="Q820"/>
    </row>
    <row r="821" spans="1:17" ht="15" x14ac:dyDescent="0.25">
      <c r="A821" t="s">
        <v>5</v>
      </c>
      <c r="B821" t="s">
        <v>939</v>
      </c>
      <c r="C821" t="s">
        <v>889</v>
      </c>
      <c r="D821" t="s">
        <v>947</v>
      </c>
      <c r="E821" t="s">
        <v>948</v>
      </c>
      <c r="F821" t="s">
        <v>942</v>
      </c>
      <c r="G821" s="30">
        <v>89.3</v>
      </c>
      <c r="H821" s="29">
        <f>G821*(1-IFERROR(VLOOKUP(F821,Rabat!$D$10:$E$41,2,FALSE),0))</f>
        <v>89.3</v>
      </c>
      <c r="I821" t="s">
        <v>2540</v>
      </c>
      <c r="J821" t="s">
        <v>768</v>
      </c>
      <c r="K821" t="s">
        <v>2538</v>
      </c>
      <c r="L821"/>
      <c r="M821"/>
      <c r="N821" t="s">
        <v>2544</v>
      </c>
      <c r="O821" s="31" t="str">
        <f>HYPERLINK("https://b2b.kobi.pl/pl/product/9872,kinkiet-globe-elegance-gold-k-1xg9-kobi-design?currency=PLN")</f>
        <v>https://b2b.kobi.pl/pl/product/9872,kinkiet-globe-elegance-gold-k-1xg9-kobi-design?currency=PLN</v>
      </c>
      <c r="P821" t="s">
        <v>16</v>
      </c>
      <c r="Q821"/>
    </row>
    <row r="822" spans="1:17" ht="15" x14ac:dyDescent="0.25">
      <c r="A822" t="s">
        <v>5</v>
      </c>
      <c r="B822" t="s">
        <v>939</v>
      </c>
      <c r="C822" t="s">
        <v>889</v>
      </c>
      <c r="D822" t="s">
        <v>945</v>
      </c>
      <c r="E822" t="s">
        <v>946</v>
      </c>
      <c r="F822" t="s">
        <v>942</v>
      </c>
      <c r="G822" s="30">
        <v>94.59</v>
      </c>
      <c r="H822" s="29">
        <f>G822*(1-IFERROR(VLOOKUP(F822,Rabat!$D$10:$E$41,2,FALSE),0))</f>
        <v>94.59</v>
      </c>
      <c r="I822" t="s">
        <v>2540</v>
      </c>
      <c r="J822" t="s">
        <v>774</v>
      </c>
      <c r="K822" t="s">
        <v>2538</v>
      </c>
      <c r="L822"/>
      <c r="M822"/>
      <c r="N822" t="s">
        <v>2544</v>
      </c>
      <c r="O822" s="31" t="str">
        <f>HYPERLINK("https://b2b.kobi.pl/pl/product/9873,kinkiet-globe-elegance-bl-gold-k-1xg9-kobi-design?currency=PLN")</f>
        <v>https://b2b.kobi.pl/pl/product/9873,kinkiet-globe-elegance-bl-gold-k-1xg9-kobi-design?currency=PLN</v>
      </c>
      <c r="P822" t="s">
        <v>16</v>
      </c>
      <c r="Q822"/>
    </row>
    <row r="823" spans="1:17" ht="15" x14ac:dyDescent="0.25">
      <c r="A823" t="s">
        <v>5</v>
      </c>
      <c r="B823" t="s">
        <v>939</v>
      </c>
      <c r="C823" t="s">
        <v>889</v>
      </c>
      <c r="D823" t="s">
        <v>1201</v>
      </c>
      <c r="E823" t="s">
        <v>1202</v>
      </c>
      <c r="F823" t="s">
        <v>942</v>
      </c>
      <c r="G823" s="30">
        <v>107.54</v>
      </c>
      <c r="H823" s="29">
        <f>G823*(1-IFERROR(VLOOKUP(F823,Rabat!$D$10:$E$41,2,FALSE),0))</f>
        <v>107.54</v>
      </c>
      <c r="I823" t="s">
        <v>2540</v>
      </c>
      <c r="J823" t="s">
        <v>769</v>
      </c>
      <c r="K823" t="s">
        <v>2538</v>
      </c>
      <c r="L823"/>
      <c r="M823"/>
      <c r="N823" t="s">
        <v>2544</v>
      </c>
      <c r="O823" s="31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823" t="s">
        <v>16</v>
      </c>
      <c r="Q823"/>
    </row>
    <row r="824" spans="1:17" ht="15" x14ac:dyDescent="0.25">
      <c r="A824" t="s">
        <v>5</v>
      </c>
      <c r="B824" t="s">
        <v>939</v>
      </c>
      <c r="C824" t="s">
        <v>889</v>
      </c>
      <c r="D824" t="s">
        <v>1203</v>
      </c>
      <c r="E824" t="s">
        <v>1204</v>
      </c>
      <c r="F824" t="s">
        <v>942</v>
      </c>
      <c r="G824" s="30">
        <v>198.72</v>
      </c>
      <c r="H824" s="29">
        <f>G824*(1-IFERROR(VLOOKUP(F824,Rabat!$D$10:$E$41,2,FALSE),0))</f>
        <v>198.72</v>
      </c>
      <c r="I824" t="s">
        <v>2540</v>
      </c>
      <c r="J824" t="s">
        <v>770</v>
      </c>
      <c r="K824" t="s">
        <v>2538</v>
      </c>
      <c r="L824"/>
      <c r="M824"/>
      <c r="N824" t="s">
        <v>2544</v>
      </c>
      <c r="O824" s="31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824" t="s">
        <v>16</v>
      </c>
      <c r="Q824"/>
    </row>
    <row r="825" spans="1:17" ht="15" x14ac:dyDescent="0.25">
      <c r="A825" t="s">
        <v>5</v>
      </c>
      <c r="B825" t="s">
        <v>939</v>
      </c>
      <c r="C825" t="s">
        <v>889</v>
      </c>
      <c r="D825" t="s">
        <v>1231</v>
      </c>
      <c r="E825" t="s">
        <v>1232</v>
      </c>
      <c r="F825" t="s">
        <v>1082</v>
      </c>
      <c r="G825" s="30">
        <v>138.27000000000001</v>
      </c>
      <c r="H825" s="29">
        <f>G825*(1-IFERROR(VLOOKUP(F825,Rabat!$D$10:$E$41,2,FALSE),0))</f>
        <v>138.27000000000001</v>
      </c>
      <c r="I825" t="s">
        <v>2540</v>
      </c>
      <c r="J825" t="s">
        <v>773</v>
      </c>
      <c r="K825" t="s">
        <v>2538</v>
      </c>
      <c r="L825"/>
      <c r="M825"/>
      <c r="N825" t="s">
        <v>2544</v>
      </c>
      <c r="O825" s="31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825" t="s">
        <v>16</v>
      </c>
      <c r="Q825"/>
    </row>
    <row r="826" spans="1:17" ht="15" x14ac:dyDescent="0.25">
      <c r="A826" t="s">
        <v>5</v>
      </c>
      <c r="B826" t="s">
        <v>939</v>
      </c>
      <c r="C826" t="s">
        <v>889</v>
      </c>
      <c r="D826" t="s">
        <v>1197</v>
      </c>
      <c r="E826" t="s">
        <v>1198</v>
      </c>
      <c r="F826" t="s">
        <v>942</v>
      </c>
      <c r="G826" s="30">
        <v>102.18</v>
      </c>
      <c r="H826" s="29">
        <f>G826*(1-IFERROR(VLOOKUP(F826,Rabat!$D$10:$E$41,2,FALSE),0))</f>
        <v>102.18</v>
      </c>
      <c r="I826" t="s">
        <v>2540</v>
      </c>
      <c r="J826" t="s">
        <v>759</v>
      </c>
      <c r="K826" t="s">
        <v>2538</v>
      </c>
      <c r="L826"/>
      <c r="M826"/>
      <c r="N826" t="s">
        <v>2544</v>
      </c>
      <c r="O826" s="31" t="str">
        <f>HYPERLINK("https://b2b.kobi.pl/pl/product/9877,lampa-wiszaca-elipse-elegance-s-1xg9-kobi-design?currency=PLN")</f>
        <v>https://b2b.kobi.pl/pl/product/9877,lampa-wiszaca-elipse-elegance-s-1xg9-kobi-design?currency=PLN</v>
      </c>
      <c r="P826" t="s">
        <v>16</v>
      </c>
      <c r="Q826"/>
    </row>
    <row r="827" spans="1:17" ht="15" x14ac:dyDescent="0.25">
      <c r="A827" t="s">
        <v>5</v>
      </c>
      <c r="B827" t="s">
        <v>939</v>
      </c>
      <c r="C827" t="s">
        <v>889</v>
      </c>
      <c r="D827" t="s">
        <v>940</v>
      </c>
      <c r="E827" t="s">
        <v>941</v>
      </c>
      <c r="F827" t="s">
        <v>942</v>
      </c>
      <c r="G827" s="30">
        <v>138.07</v>
      </c>
      <c r="H827" s="29">
        <f>G827*(1-IFERROR(VLOOKUP(F827,Rabat!$D$10:$E$41,2,FALSE),0))</f>
        <v>138.07</v>
      </c>
      <c r="I827" t="s">
        <v>2540</v>
      </c>
      <c r="J827" t="s">
        <v>758</v>
      </c>
      <c r="K827" t="s">
        <v>2538</v>
      </c>
      <c r="L827"/>
      <c r="M827"/>
      <c r="N827" t="s">
        <v>2544</v>
      </c>
      <c r="O827" s="31" t="str">
        <f>HYPERLINK("https://b2b.kobi.pl/pl/product/9878,kinkiet-elipse-elegance-k-2xg9-kobi-design?currency=PLN")</f>
        <v>https://b2b.kobi.pl/pl/product/9878,kinkiet-elipse-elegance-k-2xg9-kobi-design?currency=PLN</v>
      </c>
      <c r="P827" t="s">
        <v>16</v>
      </c>
      <c r="Q827"/>
    </row>
    <row r="828" spans="1:17" ht="15" x14ac:dyDescent="0.25">
      <c r="A828" t="s">
        <v>5</v>
      </c>
      <c r="B828" t="s">
        <v>939</v>
      </c>
      <c r="C828" t="s">
        <v>889</v>
      </c>
      <c r="D828" t="s">
        <v>1115</v>
      </c>
      <c r="E828" t="s">
        <v>1116</v>
      </c>
      <c r="F828" t="s">
        <v>942</v>
      </c>
      <c r="G828" s="30">
        <v>246</v>
      </c>
      <c r="H828" s="29">
        <f>G828*(1-IFERROR(VLOOKUP(F828,Rabat!$D$10:$E$41,2,FALSE),0))</f>
        <v>246</v>
      </c>
      <c r="I828" t="s">
        <v>2540</v>
      </c>
      <c r="J828" t="s">
        <v>760</v>
      </c>
      <c r="K828" t="s">
        <v>2538</v>
      </c>
      <c r="L828"/>
      <c r="M828"/>
      <c r="N828" t="s">
        <v>2544</v>
      </c>
      <c r="O828" s="31" t="str">
        <f>HYPERLINK("https://b2b.kobi.pl/pl/product/9879,lampa-sufitowa-elipse-elegance-s3-3xg9-kobi-design?currency=PLN")</f>
        <v>https://b2b.kobi.pl/pl/product/9879,lampa-sufitowa-elipse-elegance-s3-3xg9-kobi-design?currency=PLN</v>
      </c>
      <c r="P828" t="s">
        <v>16</v>
      </c>
      <c r="Q828"/>
    </row>
    <row r="829" spans="1:17" ht="15" x14ac:dyDescent="0.25">
      <c r="A829" t="s">
        <v>4</v>
      </c>
      <c r="B829" t="s">
        <v>939</v>
      </c>
      <c r="C829" t="s">
        <v>858</v>
      </c>
      <c r="D829" t="s">
        <v>1798</v>
      </c>
      <c r="E829" t="s">
        <v>1799</v>
      </c>
      <c r="F829" t="s">
        <v>860</v>
      </c>
      <c r="G829" s="30">
        <v>89</v>
      </c>
      <c r="H829" s="29">
        <f>G829*(1-IFERROR(VLOOKUP(F829,Rabat!$D$10:$E$41,2,FALSE),0))</f>
        <v>89</v>
      </c>
      <c r="I829" t="s">
        <v>2540</v>
      </c>
      <c r="J829" t="s">
        <v>2604</v>
      </c>
      <c r="K829" t="s">
        <v>2538</v>
      </c>
      <c r="L829"/>
      <c r="M829"/>
      <c r="N829" t="s">
        <v>2544</v>
      </c>
      <c r="O829" s="31" t="str">
        <f>HYPERLINK("https://b2b.kobi.pl/pl/product/12117,oslona-do-led-anica-100w-kobi?currency=PLN")</f>
        <v>https://b2b.kobi.pl/pl/product/12117,oslona-do-led-anica-100w-kobi?currency=PLN</v>
      </c>
      <c r="P829" t="s">
        <v>16</v>
      </c>
      <c r="Q829"/>
    </row>
    <row r="830" spans="1:17" ht="15" x14ac:dyDescent="0.25">
      <c r="A830" t="s">
        <v>5</v>
      </c>
      <c r="B830" t="s">
        <v>939</v>
      </c>
      <c r="C830" t="s">
        <v>858</v>
      </c>
      <c r="D830" t="s">
        <v>1802</v>
      </c>
      <c r="E830" t="s">
        <v>1803</v>
      </c>
      <c r="F830" t="s">
        <v>860</v>
      </c>
      <c r="G830" s="30">
        <v>93</v>
      </c>
      <c r="H830" s="29">
        <f>G830*(1-IFERROR(VLOOKUP(F830,Rabat!$D$10:$E$41,2,FALSE),0))</f>
        <v>93</v>
      </c>
      <c r="I830" t="s">
        <v>2540</v>
      </c>
      <c r="J830" t="s">
        <v>2606</v>
      </c>
      <c r="K830" t="s">
        <v>2538</v>
      </c>
      <c r="L830"/>
      <c r="M830"/>
      <c r="N830" t="s">
        <v>2544</v>
      </c>
      <c r="O830" s="31" t="str">
        <f>HYPERLINK("https://b2b.kobi.pl/pl/product/12118,oslona-do-led-anica-150w-kobi?currency=PLN")</f>
        <v>https://b2b.kobi.pl/pl/product/12118,oslona-do-led-anica-150w-kobi?currency=PLN</v>
      </c>
      <c r="P830" t="s">
        <v>16</v>
      </c>
      <c r="Q830"/>
    </row>
    <row r="831" spans="1:17" ht="15" x14ac:dyDescent="0.25">
      <c r="A831" t="s">
        <v>4</v>
      </c>
      <c r="B831" t="s">
        <v>939</v>
      </c>
      <c r="C831" t="s">
        <v>858</v>
      </c>
      <c r="D831" t="s">
        <v>1806</v>
      </c>
      <c r="E831" t="s">
        <v>1807</v>
      </c>
      <c r="F831" t="s">
        <v>860</v>
      </c>
      <c r="G831" s="30">
        <v>105</v>
      </c>
      <c r="H831" s="29">
        <f>G831*(1-IFERROR(VLOOKUP(F831,Rabat!$D$10:$E$41,2,FALSE),0))</f>
        <v>105</v>
      </c>
      <c r="I831" t="s">
        <v>2540</v>
      </c>
      <c r="J831" t="s">
        <v>2607</v>
      </c>
      <c r="K831" t="s">
        <v>2538</v>
      </c>
      <c r="L831"/>
      <c r="M831"/>
      <c r="N831" t="s">
        <v>2544</v>
      </c>
      <c r="O831" s="31" t="str">
        <f>HYPERLINK("https://b2b.kobi.pl/pl/product/12119,oslona-do-led-anica-200w-kobi?currency=PLN")</f>
        <v>https://b2b.kobi.pl/pl/product/12119,oslona-do-led-anica-200w-kobi?currency=PLN</v>
      </c>
      <c r="P831" t="s">
        <v>16</v>
      </c>
      <c r="Q831"/>
    </row>
    <row r="832" spans="1:17" ht="15" x14ac:dyDescent="0.25">
      <c r="A832" t="s">
        <v>861</v>
      </c>
      <c r="B832" t="s">
        <v>25</v>
      </c>
      <c r="C832" t="s">
        <v>858</v>
      </c>
      <c r="D832" t="s">
        <v>1818</v>
      </c>
      <c r="E832" t="s">
        <v>1819</v>
      </c>
      <c r="F832" t="s">
        <v>860</v>
      </c>
      <c r="G832" s="30">
        <v>24.75</v>
      </c>
      <c r="H832" s="29">
        <f>G832*(1-IFERROR(VLOOKUP(F832,Rabat!$D$10:$E$41,2,FALSE),0))</f>
        <v>24.75</v>
      </c>
      <c r="I832" t="s">
        <v>2540</v>
      </c>
      <c r="J832" t="s">
        <v>580</v>
      </c>
      <c r="K832" t="s">
        <v>2538</v>
      </c>
      <c r="L832">
        <v>48</v>
      </c>
      <c r="M832"/>
      <c r="N832" t="s">
        <v>2544</v>
      </c>
      <c r="O832" s="31" t="str">
        <f>HYPERLINK("https://b2b.kobi.pl/pl/product/10687,programator-pc24-kobi?currency=PLN")</f>
        <v>https://b2b.kobi.pl/pl/product/10687,programator-pc24-kobi?currency=PLN</v>
      </c>
      <c r="P832" t="s">
        <v>16</v>
      </c>
      <c r="Q832"/>
    </row>
    <row r="833" spans="1:17" ht="15" x14ac:dyDescent="0.25">
      <c r="A833" t="s">
        <v>5</v>
      </c>
      <c r="B833" t="s">
        <v>55</v>
      </c>
      <c r="C833" t="s">
        <v>44</v>
      </c>
      <c r="D833" t="s">
        <v>963</v>
      </c>
      <c r="E833" t="s">
        <v>964</v>
      </c>
      <c r="F833" t="s">
        <v>962</v>
      </c>
      <c r="G833" s="30">
        <v>96.25</v>
      </c>
      <c r="H833" s="29">
        <f>G833*(1-IFERROR(VLOOKUP(F833,Rabat!$D$10:$E$41,2,FALSE),0))</f>
        <v>96.25</v>
      </c>
      <c r="I833" t="s">
        <v>2540</v>
      </c>
      <c r="J833" t="s">
        <v>2552</v>
      </c>
      <c r="K833" t="s">
        <v>2538</v>
      </c>
      <c r="L833">
        <v>20</v>
      </c>
      <c r="M833">
        <v>840</v>
      </c>
      <c r="N833" t="s">
        <v>2544</v>
      </c>
      <c r="O833" s="31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833" s="31" t="str">
        <f>HYPERLINK("https://eprel.ec.europa.eu/qr/2176619")</f>
        <v>https://eprel.ec.europa.eu/qr/2176619</v>
      </c>
      <c r="Q833"/>
    </row>
    <row r="834" spans="1:17" ht="15" x14ac:dyDescent="0.25">
      <c r="A834" t="s">
        <v>4</v>
      </c>
      <c r="B834" t="s">
        <v>43</v>
      </c>
      <c r="C834" t="s">
        <v>840</v>
      </c>
      <c r="D834" t="s">
        <v>1536</v>
      </c>
      <c r="E834" t="s">
        <v>1537</v>
      </c>
      <c r="F834" t="s">
        <v>803</v>
      </c>
      <c r="G834" s="30">
        <v>504</v>
      </c>
      <c r="H834" s="29">
        <f>G834*(1-IFERROR(VLOOKUP(F834,Rabat!$D$10:$E$41,2,FALSE),0))</f>
        <v>504</v>
      </c>
      <c r="I834" t="s">
        <v>2540</v>
      </c>
      <c r="J834" t="s">
        <v>751</v>
      </c>
      <c r="K834" t="s">
        <v>2538</v>
      </c>
      <c r="L834">
        <v>8</v>
      </c>
      <c r="M834"/>
      <c r="N834" t="s">
        <v>2545</v>
      </c>
      <c r="O834" s="31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834" t="s">
        <v>16</v>
      </c>
      <c r="Q834"/>
    </row>
    <row r="835" spans="1:17" ht="15" x14ac:dyDescent="0.25">
      <c r="A835" t="s">
        <v>861</v>
      </c>
      <c r="B835" t="s">
        <v>1820</v>
      </c>
      <c r="C835" t="s">
        <v>858</v>
      </c>
      <c r="D835" t="s">
        <v>1821</v>
      </c>
      <c r="E835" t="s">
        <v>1822</v>
      </c>
      <c r="F835" t="s">
        <v>860</v>
      </c>
      <c r="G835" s="30">
        <v>77.56</v>
      </c>
      <c r="H835" s="29">
        <f>G835*(1-IFERROR(VLOOKUP(F835,Rabat!$D$10:$E$41,2,FALSE),0))</f>
        <v>77.56</v>
      </c>
      <c r="I835" t="s">
        <v>2540</v>
      </c>
      <c r="J835" t="s">
        <v>567</v>
      </c>
      <c r="K835" t="s">
        <v>2538</v>
      </c>
      <c r="L835">
        <v>50</v>
      </c>
      <c r="M835">
        <v>2000</v>
      </c>
      <c r="N835" t="s">
        <v>2544</v>
      </c>
      <c r="O835" s="31" t="str">
        <f>HYPERLINK("https://b2b.kobi.pl/pl/product/10692,programator-smart-socket-16a-wifi-kobi?currency=PLN")</f>
        <v>https://b2b.kobi.pl/pl/product/10692,programator-smart-socket-16a-wifi-kobi?currency=PLN</v>
      </c>
      <c r="P835" t="s">
        <v>16</v>
      </c>
      <c r="Q835" t="s">
        <v>2700</v>
      </c>
    </row>
    <row r="836" spans="1:17" ht="15" x14ac:dyDescent="0.25">
      <c r="A836" t="s">
        <v>4</v>
      </c>
      <c r="B836" t="s">
        <v>53</v>
      </c>
      <c r="C836" t="s">
        <v>858</v>
      </c>
      <c r="D836" t="s">
        <v>1680</v>
      </c>
      <c r="E836" t="s">
        <v>1681</v>
      </c>
      <c r="F836" t="s">
        <v>1682</v>
      </c>
      <c r="G836" s="30">
        <v>32</v>
      </c>
      <c r="H836" s="29">
        <f>G836*(1-IFERROR(VLOOKUP(F836,Rabat!$D$10:$E$41,2,FALSE),0))</f>
        <v>32</v>
      </c>
      <c r="I836" t="s">
        <v>2540</v>
      </c>
      <c r="J836" t="s">
        <v>379</v>
      </c>
      <c r="K836" t="s">
        <v>2538</v>
      </c>
      <c r="L836">
        <v>12</v>
      </c>
      <c r="M836"/>
      <c r="N836" t="s">
        <v>2544</v>
      </c>
      <c r="O836" s="31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836" t="s">
        <v>16</v>
      </c>
      <c r="Q836"/>
    </row>
    <row r="837" spans="1:17" ht="15" x14ac:dyDescent="0.25">
      <c r="A837" t="s">
        <v>4</v>
      </c>
      <c r="B837" t="s">
        <v>53</v>
      </c>
      <c r="C837" t="s">
        <v>858</v>
      </c>
      <c r="D837" t="s">
        <v>1683</v>
      </c>
      <c r="E837" t="s">
        <v>1684</v>
      </c>
      <c r="F837" t="s">
        <v>1682</v>
      </c>
      <c r="G837" s="30">
        <v>28.5</v>
      </c>
      <c r="H837" s="29">
        <f>G837*(1-IFERROR(VLOOKUP(F837,Rabat!$D$10:$E$41,2,FALSE),0))</f>
        <v>28.5</v>
      </c>
      <c r="I837" t="s">
        <v>2540</v>
      </c>
      <c r="J837" t="s">
        <v>380</v>
      </c>
      <c r="K837" t="s">
        <v>2538</v>
      </c>
      <c r="L837">
        <v>12</v>
      </c>
      <c r="M837"/>
      <c r="N837" t="s">
        <v>2544</v>
      </c>
      <c r="O837" s="31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837" t="s">
        <v>16</v>
      </c>
      <c r="Q837"/>
    </row>
    <row r="838" spans="1:17" ht="15" x14ac:dyDescent="0.25">
      <c r="A838" t="s">
        <v>4</v>
      </c>
      <c r="B838" t="s">
        <v>53</v>
      </c>
      <c r="C838" t="s">
        <v>858</v>
      </c>
      <c r="D838" t="s">
        <v>1685</v>
      </c>
      <c r="E838" t="s">
        <v>1686</v>
      </c>
      <c r="F838" t="s">
        <v>1682</v>
      </c>
      <c r="G838" s="30">
        <v>39.5</v>
      </c>
      <c r="H838" s="29">
        <f>G838*(1-IFERROR(VLOOKUP(F838,Rabat!$D$10:$E$41,2,FALSE),0))</f>
        <v>39.5</v>
      </c>
      <c r="I838" t="s">
        <v>2540</v>
      </c>
      <c r="J838" t="s">
        <v>378</v>
      </c>
      <c r="K838" t="s">
        <v>2538</v>
      </c>
      <c r="L838">
        <v>10</v>
      </c>
      <c r="M838"/>
      <c r="N838" t="s">
        <v>2544</v>
      </c>
      <c r="O838" s="31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838" t="s">
        <v>16</v>
      </c>
      <c r="Q838"/>
    </row>
    <row r="839" spans="1:17" ht="15" x14ac:dyDescent="0.25">
      <c r="A839" t="s">
        <v>4</v>
      </c>
      <c r="B839" t="s">
        <v>53</v>
      </c>
      <c r="C839" t="s">
        <v>858</v>
      </c>
      <c r="D839" t="s">
        <v>1689</v>
      </c>
      <c r="E839" t="s">
        <v>1690</v>
      </c>
      <c r="F839" t="s">
        <v>1682</v>
      </c>
      <c r="G839" s="30">
        <v>33.5</v>
      </c>
      <c r="H839" s="29">
        <f>G839*(1-IFERROR(VLOOKUP(F839,Rabat!$D$10:$E$41,2,FALSE),0))</f>
        <v>33.5</v>
      </c>
      <c r="I839" t="s">
        <v>2540</v>
      </c>
      <c r="J839" t="s">
        <v>377</v>
      </c>
      <c r="K839" t="s">
        <v>2538</v>
      </c>
      <c r="L839">
        <v>10</v>
      </c>
      <c r="M839"/>
      <c r="N839" t="s">
        <v>2544</v>
      </c>
      <c r="O839" s="31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839" t="s">
        <v>16</v>
      </c>
      <c r="Q839"/>
    </row>
    <row r="840" spans="1:17" ht="15" x14ac:dyDescent="0.25">
      <c r="A840" t="s">
        <v>4</v>
      </c>
      <c r="B840" t="s">
        <v>53</v>
      </c>
      <c r="C840" t="s">
        <v>858</v>
      </c>
      <c r="D840" t="s">
        <v>1691</v>
      </c>
      <c r="E840" t="s">
        <v>1692</v>
      </c>
      <c r="F840" t="s">
        <v>1682</v>
      </c>
      <c r="G840" s="30">
        <v>64</v>
      </c>
      <c r="H840" s="29">
        <f>G840*(1-IFERROR(VLOOKUP(F840,Rabat!$D$10:$E$41,2,FALSE),0))</f>
        <v>64</v>
      </c>
      <c r="I840" t="s">
        <v>2540</v>
      </c>
      <c r="J840" t="s">
        <v>249</v>
      </c>
      <c r="K840" t="s">
        <v>2538</v>
      </c>
      <c r="L840">
        <v>5</v>
      </c>
      <c r="M840">
        <v>180</v>
      </c>
      <c r="N840" t="s">
        <v>2544</v>
      </c>
      <c r="O840" s="31" t="str">
        <f>HYPERLINK("https://b2b.kobi.pl/pl/product/10280,plafon-ruto-1xe27-bialy-kobi?currency=PLN")</f>
        <v>https://b2b.kobi.pl/pl/product/10280,plafon-ruto-1xe27-bialy-kobi?currency=PLN</v>
      </c>
      <c r="P840" t="s">
        <v>16</v>
      </c>
      <c r="Q840"/>
    </row>
    <row r="841" spans="1:17" ht="15" x14ac:dyDescent="0.25">
      <c r="A841" t="s">
        <v>4</v>
      </c>
      <c r="B841" t="s">
        <v>53</v>
      </c>
      <c r="C841" t="s">
        <v>858</v>
      </c>
      <c r="D841" t="s">
        <v>1701</v>
      </c>
      <c r="E841" t="s">
        <v>1702</v>
      </c>
      <c r="F841" t="s">
        <v>1682</v>
      </c>
      <c r="G841" s="30">
        <v>42</v>
      </c>
      <c r="H841" s="29">
        <f>G841*(1-IFERROR(VLOOKUP(F841,Rabat!$D$10:$E$41,2,FALSE),0))</f>
        <v>42</v>
      </c>
      <c r="I841" t="s">
        <v>2540</v>
      </c>
      <c r="J841" t="s">
        <v>237</v>
      </c>
      <c r="K841" t="s">
        <v>2538</v>
      </c>
      <c r="L841">
        <v>5</v>
      </c>
      <c r="M841">
        <v>200</v>
      </c>
      <c r="N841" t="s">
        <v>2544</v>
      </c>
      <c r="O841" s="31" t="str">
        <f>HYPERLINK("https://b2b.kobi.pl/pl/product/10290,plafon-wega-pc-1xe27-biala-kobi?currency=PLN")</f>
        <v>https://b2b.kobi.pl/pl/product/10290,plafon-wega-pc-1xe27-biala-kobi?currency=PLN</v>
      </c>
      <c r="P841" t="s">
        <v>16</v>
      </c>
      <c r="Q841"/>
    </row>
    <row r="842" spans="1:17" ht="15" x14ac:dyDescent="0.25">
      <c r="A842" t="s">
        <v>861</v>
      </c>
      <c r="B842" t="s">
        <v>17</v>
      </c>
      <c r="C842" t="s">
        <v>858</v>
      </c>
      <c r="D842" t="s">
        <v>50</v>
      </c>
      <c r="E842" t="s">
        <v>2039</v>
      </c>
      <c r="F842" t="s">
        <v>860</v>
      </c>
      <c r="G842" s="30">
        <v>52</v>
      </c>
      <c r="H842" s="29">
        <f>G842*(1-IFERROR(VLOOKUP(F842,Rabat!$D$10:$E$41,2,FALSE),0))</f>
        <v>52</v>
      </c>
      <c r="I842" t="s">
        <v>2540</v>
      </c>
      <c r="J842" t="s">
        <v>595</v>
      </c>
      <c r="K842" t="s">
        <v>2538</v>
      </c>
      <c r="L842">
        <v>1</v>
      </c>
      <c r="M842"/>
      <c r="N842" t="s">
        <v>2544</v>
      </c>
      <c r="O842" s="31" t="str">
        <f>HYPERLINK("https://b2b.kobi.pl/pl/product/10742,zasilacz-desktop-12v-24w-2-0a?currency=PLN")</f>
        <v>https://b2b.kobi.pl/pl/product/10742,zasilacz-desktop-12v-24w-2-0a?currency=PLN</v>
      </c>
      <c r="P842" t="s">
        <v>16</v>
      </c>
      <c r="Q842"/>
    </row>
    <row r="843" spans="1:17" ht="15" x14ac:dyDescent="0.25">
      <c r="A843" t="s">
        <v>861</v>
      </c>
      <c r="B843" t="s">
        <v>17</v>
      </c>
      <c r="C843" t="s">
        <v>858</v>
      </c>
      <c r="D843" t="s">
        <v>47</v>
      </c>
      <c r="E843" t="s">
        <v>2040</v>
      </c>
      <c r="F843" t="s">
        <v>860</v>
      </c>
      <c r="G843" s="30">
        <v>59.5</v>
      </c>
      <c r="H843" s="29">
        <f>G843*(1-IFERROR(VLOOKUP(F843,Rabat!$D$10:$E$41,2,FALSE),0))</f>
        <v>59.5</v>
      </c>
      <c r="I843" t="s">
        <v>2540</v>
      </c>
      <c r="J843" t="s">
        <v>597</v>
      </c>
      <c r="K843" t="s">
        <v>2538</v>
      </c>
      <c r="L843">
        <v>1</v>
      </c>
      <c r="M843"/>
      <c r="N843" t="s">
        <v>2544</v>
      </c>
      <c r="O843" s="31" t="str">
        <f>HYPERLINK("https://b2b.kobi.pl/pl/product/10747,zasilacz-desktop-12v-36w-3-0a?currency=PLN")</f>
        <v>https://b2b.kobi.pl/pl/product/10747,zasilacz-desktop-12v-36w-3-0a?currency=PLN</v>
      </c>
      <c r="P843" t="s">
        <v>16</v>
      </c>
      <c r="Q843"/>
    </row>
    <row r="844" spans="1:17" ht="15" x14ac:dyDescent="0.25">
      <c r="A844" t="s">
        <v>861</v>
      </c>
      <c r="B844" t="s">
        <v>17</v>
      </c>
      <c r="C844" t="s">
        <v>858</v>
      </c>
      <c r="D844" t="s">
        <v>49</v>
      </c>
      <c r="E844" t="s">
        <v>2041</v>
      </c>
      <c r="F844" t="s">
        <v>860</v>
      </c>
      <c r="G844" s="30">
        <v>62.5</v>
      </c>
      <c r="H844" s="29">
        <f>G844*(1-IFERROR(VLOOKUP(F844,Rabat!$D$10:$E$41,2,FALSE),0))</f>
        <v>62.5</v>
      </c>
      <c r="I844" t="s">
        <v>2540</v>
      </c>
      <c r="J844" t="s">
        <v>598</v>
      </c>
      <c r="K844" t="s">
        <v>2538</v>
      </c>
      <c r="L844">
        <v>1</v>
      </c>
      <c r="M844"/>
      <c r="N844" t="s">
        <v>2544</v>
      </c>
      <c r="O844" s="31" t="str">
        <f>HYPERLINK("https://b2b.kobi.pl/pl/product/10748,zasilacz-desktop-12v-42w-3-5a?currency=PLN")</f>
        <v>https://b2b.kobi.pl/pl/product/10748,zasilacz-desktop-12v-42w-3-5a?currency=PLN</v>
      </c>
      <c r="P844" t="s">
        <v>16</v>
      </c>
      <c r="Q844"/>
    </row>
    <row r="845" spans="1:17" ht="15" x14ac:dyDescent="0.25">
      <c r="A845" t="s">
        <v>861</v>
      </c>
      <c r="B845" t="s">
        <v>17</v>
      </c>
      <c r="C845" t="s">
        <v>858</v>
      </c>
      <c r="D845" t="s">
        <v>48</v>
      </c>
      <c r="E845" t="s">
        <v>2042</v>
      </c>
      <c r="F845" t="s">
        <v>860</v>
      </c>
      <c r="G845" s="30">
        <v>77.5</v>
      </c>
      <c r="H845" s="29">
        <f>G845*(1-IFERROR(VLOOKUP(F845,Rabat!$D$10:$E$41,2,FALSE),0))</f>
        <v>77.5</v>
      </c>
      <c r="I845" t="s">
        <v>2540</v>
      </c>
      <c r="J845" t="s">
        <v>599</v>
      </c>
      <c r="K845" t="s">
        <v>2538</v>
      </c>
      <c r="L845">
        <v>1</v>
      </c>
      <c r="M845"/>
      <c r="N845" t="s">
        <v>2544</v>
      </c>
      <c r="O845" s="31" t="str">
        <f>HYPERLINK("https://b2b.kobi.pl/pl/product/10750,zasilacz-desktop-12v-60w-5-0a?currency=PLN")</f>
        <v>https://b2b.kobi.pl/pl/product/10750,zasilacz-desktop-12v-60w-5-0a?currency=PLN</v>
      </c>
      <c r="P845" t="s">
        <v>16</v>
      </c>
      <c r="Q845"/>
    </row>
    <row r="846" spans="1:17" ht="15" x14ac:dyDescent="0.25">
      <c r="A846" t="s">
        <v>861</v>
      </c>
      <c r="B846" t="s">
        <v>17</v>
      </c>
      <c r="C846" t="s">
        <v>858</v>
      </c>
      <c r="D846" t="s">
        <v>18</v>
      </c>
      <c r="E846" t="s">
        <v>2043</v>
      </c>
      <c r="F846" t="s">
        <v>860</v>
      </c>
      <c r="G846" s="30">
        <v>97</v>
      </c>
      <c r="H846" s="29">
        <f>G846*(1-IFERROR(VLOOKUP(F846,Rabat!$D$10:$E$41,2,FALSE),0))</f>
        <v>97</v>
      </c>
      <c r="I846" t="s">
        <v>2540</v>
      </c>
      <c r="J846" t="s">
        <v>600</v>
      </c>
      <c r="K846" t="s">
        <v>2538</v>
      </c>
      <c r="L846">
        <v>1</v>
      </c>
      <c r="M846"/>
      <c r="N846" t="s">
        <v>2544</v>
      </c>
      <c r="O846" s="31" t="str">
        <f>HYPERLINK("https://b2b.kobi.pl/pl/product/10735,zasilacz-desktop-12v-72w-6-0a?currency=PLN")</f>
        <v>https://b2b.kobi.pl/pl/product/10735,zasilacz-desktop-12v-72w-6-0a?currency=PLN</v>
      </c>
      <c r="P846" t="s">
        <v>16</v>
      </c>
      <c r="Q846"/>
    </row>
    <row r="847" spans="1:17" ht="15" x14ac:dyDescent="0.25">
      <c r="A847" t="s">
        <v>861</v>
      </c>
      <c r="B847" t="s">
        <v>17</v>
      </c>
      <c r="C847" t="s">
        <v>858</v>
      </c>
      <c r="D847" t="s">
        <v>33</v>
      </c>
      <c r="E847" t="s">
        <v>2044</v>
      </c>
      <c r="F847" t="s">
        <v>860</v>
      </c>
      <c r="G847" s="30">
        <v>179</v>
      </c>
      <c r="H847" s="29">
        <f>G847*(1-IFERROR(VLOOKUP(F847,Rabat!$D$10:$E$41,2,FALSE),0))</f>
        <v>179</v>
      </c>
      <c r="I847" t="s">
        <v>2540</v>
      </c>
      <c r="J847" t="s">
        <v>601</v>
      </c>
      <c r="K847" t="s">
        <v>2538</v>
      </c>
      <c r="L847">
        <v>1</v>
      </c>
      <c r="M847"/>
      <c r="N847" t="s">
        <v>2544</v>
      </c>
      <c r="O847" s="31" t="str">
        <f>HYPERLINK("https://b2b.kobi.pl/pl/product/10736,zasilacz-desktop-12v-90w-7-5a?currency=PLN")</f>
        <v>https://b2b.kobi.pl/pl/product/10736,zasilacz-desktop-12v-90w-7-5a?currency=PLN</v>
      </c>
      <c r="P847" t="s">
        <v>16</v>
      </c>
      <c r="Q847"/>
    </row>
    <row r="848" spans="1:17" ht="15" x14ac:dyDescent="0.25">
      <c r="A848" t="s">
        <v>861</v>
      </c>
      <c r="B848" t="s">
        <v>17</v>
      </c>
      <c r="C848" t="s">
        <v>858</v>
      </c>
      <c r="D848" t="s">
        <v>2045</v>
      </c>
      <c r="E848" t="s">
        <v>2046</v>
      </c>
      <c r="F848" t="s">
        <v>860</v>
      </c>
      <c r="G848" s="30">
        <v>57</v>
      </c>
      <c r="H848" s="29">
        <f>G848*(1-IFERROR(VLOOKUP(F848,Rabat!$D$10:$E$41,2,FALSE),0))</f>
        <v>57</v>
      </c>
      <c r="I848" t="s">
        <v>2540</v>
      </c>
      <c r="J848" t="s">
        <v>596</v>
      </c>
      <c r="K848" t="s">
        <v>2538</v>
      </c>
      <c r="L848">
        <v>1</v>
      </c>
      <c r="M848"/>
      <c r="N848" t="s">
        <v>2544</v>
      </c>
      <c r="O848" s="31" t="str">
        <f>HYPERLINK("https://b2b.kobi.pl/pl/product/10746,zasilacz-desktop-12v-30w-2-5a?currency=PLN")</f>
        <v>https://b2b.kobi.pl/pl/product/10746,zasilacz-desktop-12v-30w-2-5a?currency=PLN</v>
      </c>
      <c r="P848" t="s">
        <v>16</v>
      </c>
      <c r="Q848"/>
    </row>
    <row r="849" spans="1:17" ht="15" x14ac:dyDescent="0.25">
      <c r="A849" t="s">
        <v>861</v>
      </c>
      <c r="B849" t="s">
        <v>17</v>
      </c>
      <c r="C849" t="s">
        <v>858</v>
      </c>
      <c r="D849" t="s">
        <v>42</v>
      </c>
      <c r="E849" t="s">
        <v>2047</v>
      </c>
      <c r="F849" t="s">
        <v>860</v>
      </c>
      <c r="G849" s="30">
        <v>212</v>
      </c>
      <c r="H849" s="29">
        <f>G849*(1-IFERROR(VLOOKUP(F849,Rabat!$D$10:$E$41,2,FALSE),0))</f>
        <v>212</v>
      </c>
      <c r="I849" t="s">
        <v>2540</v>
      </c>
      <c r="J849" t="s">
        <v>602</v>
      </c>
      <c r="K849" t="s">
        <v>2538</v>
      </c>
      <c r="L849">
        <v>1</v>
      </c>
      <c r="M849"/>
      <c r="N849" t="s">
        <v>2544</v>
      </c>
      <c r="O849" s="31" t="str">
        <f>HYPERLINK("https://b2b.kobi.pl/pl/product/10727,zasilacz-desktop-12v-120w-10-0a?currency=PLN")</f>
        <v>https://b2b.kobi.pl/pl/product/10727,zasilacz-desktop-12v-120w-10-0a?currency=PLN</v>
      </c>
      <c r="P849" t="s">
        <v>16</v>
      </c>
      <c r="Q849"/>
    </row>
    <row r="850" spans="1:17" ht="15" x14ac:dyDescent="0.25">
      <c r="A850" t="s">
        <v>861</v>
      </c>
      <c r="B850" t="s">
        <v>17</v>
      </c>
      <c r="C850" t="s">
        <v>858</v>
      </c>
      <c r="D850" t="s">
        <v>2052</v>
      </c>
      <c r="E850" t="s">
        <v>2053</v>
      </c>
      <c r="F850" t="s">
        <v>860</v>
      </c>
      <c r="G850" s="30">
        <v>58.5</v>
      </c>
      <c r="H850" s="29">
        <f>G850*(1-IFERROR(VLOOKUP(F850,Rabat!$D$10:$E$41,2,FALSE),0))</f>
        <v>58.5</v>
      </c>
      <c r="I850" t="s">
        <v>2540</v>
      </c>
      <c r="J850" t="s">
        <v>603</v>
      </c>
      <c r="K850" t="s">
        <v>2538</v>
      </c>
      <c r="L850">
        <v>1</v>
      </c>
      <c r="M850"/>
      <c r="N850" t="s">
        <v>2544</v>
      </c>
      <c r="O850" s="31" t="str">
        <f>HYPERLINK("https://b2b.kobi.pl/pl/product/10751,zasilacz-hermetyczny-ip67-12v-10w-0-83a?currency=PLN")</f>
        <v>https://b2b.kobi.pl/pl/product/10751,zasilacz-hermetyczny-ip67-12v-10w-0-83a?currency=PLN</v>
      </c>
      <c r="P850" t="s">
        <v>16</v>
      </c>
      <c r="Q850"/>
    </row>
    <row r="851" spans="1:17" ht="15" x14ac:dyDescent="0.25">
      <c r="A851" t="s">
        <v>861</v>
      </c>
      <c r="B851" t="s">
        <v>17</v>
      </c>
      <c r="C851" t="s">
        <v>858</v>
      </c>
      <c r="D851" t="s">
        <v>23</v>
      </c>
      <c r="E851" t="s">
        <v>2054</v>
      </c>
      <c r="F851" t="s">
        <v>860</v>
      </c>
      <c r="G851" s="30">
        <v>63</v>
      </c>
      <c r="H851" s="29">
        <f>G851*(1-IFERROR(VLOOKUP(F851,Rabat!$D$10:$E$41,2,FALSE),0))</f>
        <v>63</v>
      </c>
      <c r="I851" t="s">
        <v>2540</v>
      </c>
      <c r="J851" t="s">
        <v>604</v>
      </c>
      <c r="K851" t="s">
        <v>2538</v>
      </c>
      <c r="L851">
        <v>1</v>
      </c>
      <c r="M851"/>
      <c r="N851" t="s">
        <v>2544</v>
      </c>
      <c r="O851" s="31" t="str">
        <f>HYPERLINK("https://b2b.kobi.pl/pl/product/10721,zasilacz-instalacyjn-12v-20w-1-67a-ip67?currency=PLN")</f>
        <v>https://b2b.kobi.pl/pl/product/10721,zasilacz-instalacyjn-12v-20w-1-67a-ip67?currency=PLN</v>
      </c>
      <c r="P851" t="s">
        <v>16</v>
      </c>
      <c r="Q851"/>
    </row>
    <row r="852" spans="1:17" ht="15" x14ac:dyDescent="0.25">
      <c r="A852" t="s">
        <v>861</v>
      </c>
      <c r="B852" t="s">
        <v>17</v>
      </c>
      <c r="C852" t="s">
        <v>858</v>
      </c>
      <c r="D852" t="s">
        <v>22</v>
      </c>
      <c r="E852" t="s">
        <v>2055</v>
      </c>
      <c r="F852" t="s">
        <v>860</v>
      </c>
      <c r="G852" s="30">
        <v>77</v>
      </c>
      <c r="H852" s="29">
        <f>G852*(1-IFERROR(VLOOKUP(F852,Rabat!$D$10:$E$41,2,FALSE),0))</f>
        <v>77</v>
      </c>
      <c r="I852" t="s">
        <v>2540</v>
      </c>
      <c r="J852" t="s">
        <v>605</v>
      </c>
      <c r="K852" t="s">
        <v>2538</v>
      </c>
      <c r="L852">
        <v>1</v>
      </c>
      <c r="M852"/>
      <c r="N852" t="s">
        <v>2544</v>
      </c>
      <c r="O852" s="31" t="str">
        <f>HYPERLINK("https://b2b.kobi.pl/pl/product/10719,zasilacz-instalacyjn-12v-30w-2-5a-ip67?currency=PLN")</f>
        <v>https://b2b.kobi.pl/pl/product/10719,zasilacz-instalacyjn-12v-30w-2-5a-ip67?currency=PLN</v>
      </c>
      <c r="P852" t="s">
        <v>16</v>
      </c>
      <c r="Q852"/>
    </row>
    <row r="853" spans="1:17" ht="15" x14ac:dyDescent="0.25">
      <c r="A853" t="s">
        <v>861</v>
      </c>
      <c r="B853" t="s">
        <v>17</v>
      </c>
      <c r="C853" t="s">
        <v>858</v>
      </c>
      <c r="D853" t="s">
        <v>30</v>
      </c>
      <c r="E853" t="s">
        <v>2056</v>
      </c>
      <c r="F853" t="s">
        <v>860</v>
      </c>
      <c r="G853" s="30">
        <v>110.5</v>
      </c>
      <c r="H853" s="29">
        <f>G853*(1-IFERROR(VLOOKUP(F853,Rabat!$D$10:$E$41,2,FALSE),0))</f>
        <v>110.5</v>
      </c>
      <c r="I853" t="s">
        <v>2540</v>
      </c>
      <c r="J853" t="s">
        <v>606</v>
      </c>
      <c r="K853" t="s">
        <v>2538</v>
      </c>
      <c r="L853">
        <v>1</v>
      </c>
      <c r="M853"/>
      <c r="N853" t="s">
        <v>2544</v>
      </c>
      <c r="O853" s="31" t="str">
        <f>HYPERLINK("https://b2b.kobi.pl/pl/product/10714,zasilacz-instalacyjn-12v-50w-4-16a-ip67?currency=PLN")</f>
        <v>https://b2b.kobi.pl/pl/product/10714,zasilacz-instalacyjn-12v-50w-4-16a-ip67?currency=PLN</v>
      </c>
      <c r="P853" t="s">
        <v>16</v>
      </c>
      <c r="Q853"/>
    </row>
    <row r="854" spans="1:17" ht="15" x14ac:dyDescent="0.25">
      <c r="A854" t="s">
        <v>861</v>
      </c>
      <c r="B854" t="s">
        <v>17</v>
      </c>
      <c r="C854" t="s">
        <v>858</v>
      </c>
      <c r="D854" t="s">
        <v>19</v>
      </c>
      <c r="E854" t="s">
        <v>2057</v>
      </c>
      <c r="F854" t="s">
        <v>860</v>
      </c>
      <c r="G854" s="30">
        <v>184.5</v>
      </c>
      <c r="H854" s="29">
        <f>G854*(1-IFERROR(VLOOKUP(F854,Rabat!$D$10:$E$41,2,FALSE),0))</f>
        <v>184.5</v>
      </c>
      <c r="I854" t="s">
        <v>2540</v>
      </c>
      <c r="J854" t="s">
        <v>608</v>
      </c>
      <c r="K854" t="s">
        <v>2538</v>
      </c>
      <c r="L854">
        <v>1</v>
      </c>
      <c r="M854"/>
      <c r="N854" t="s">
        <v>2544</v>
      </c>
      <c r="O854" s="31" t="str">
        <f>HYPERLINK("https://b2b.kobi.pl/pl/product/10715,zasilacz-instalacyjn-12v-80w-6-67a-ip67?currency=PLN")</f>
        <v>https://b2b.kobi.pl/pl/product/10715,zasilacz-instalacyjn-12v-80w-6-67a-ip67?currency=PLN</v>
      </c>
      <c r="P854" t="s">
        <v>16</v>
      </c>
      <c r="Q854"/>
    </row>
    <row r="855" spans="1:17" ht="15" x14ac:dyDescent="0.25">
      <c r="A855" t="s">
        <v>861</v>
      </c>
      <c r="B855" t="s">
        <v>17</v>
      </c>
      <c r="C855" t="s">
        <v>858</v>
      </c>
      <c r="D855" t="s">
        <v>20</v>
      </c>
      <c r="E855" t="s">
        <v>2058</v>
      </c>
      <c r="F855" t="s">
        <v>860</v>
      </c>
      <c r="G855" s="30">
        <v>270</v>
      </c>
      <c r="H855" s="29">
        <f>G855*(1-IFERROR(VLOOKUP(F855,Rabat!$D$10:$E$41,2,FALSE),0))</f>
        <v>270</v>
      </c>
      <c r="I855" t="s">
        <v>2540</v>
      </c>
      <c r="J855" t="s">
        <v>610</v>
      </c>
      <c r="K855" t="s">
        <v>2538</v>
      </c>
      <c r="L855">
        <v>1</v>
      </c>
      <c r="M855"/>
      <c r="N855" t="s">
        <v>2544</v>
      </c>
      <c r="O855" s="31" t="str">
        <f>HYPERLINK("https://b2b.kobi.pl/pl/product/10716,zasilacz-instalacyjn-12v-120w-10-0a-ip67?currency=PLN")</f>
        <v>https://b2b.kobi.pl/pl/product/10716,zasilacz-instalacyjn-12v-120w-10-0a-ip67?currency=PLN</v>
      </c>
      <c r="P855" t="s">
        <v>16</v>
      </c>
      <c r="Q855"/>
    </row>
    <row r="856" spans="1:17" ht="15" x14ac:dyDescent="0.25">
      <c r="A856" t="s">
        <v>861</v>
      </c>
      <c r="B856" t="s">
        <v>17</v>
      </c>
      <c r="C856" t="s">
        <v>858</v>
      </c>
      <c r="D856" t="s">
        <v>21</v>
      </c>
      <c r="E856" t="s">
        <v>2059</v>
      </c>
      <c r="F856" t="s">
        <v>860</v>
      </c>
      <c r="G856" s="30">
        <v>338</v>
      </c>
      <c r="H856" s="29">
        <f>G856*(1-IFERROR(VLOOKUP(F856,Rabat!$D$10:$E$41,2,FALSE),0))</f>
        <v>338</v>
      </c>
      <c r="I856" t="s">
        <v>2540</v>
      </c>
      <c r="J856" t="s">
        <v>611</v>
      </c>
      <c r="K856" t="s">
        <v>2538</v>
      </c>
      <c r="L856">
        <v>1</v>
      </c>
      <c r="M856"/>
      <c r="N856" t="s">
        <v>2544</v>
      </c>
      <c r="O856" s="31" t="str">
        <f>HYPERLINK("https://b2b.kobi.pl/pl/product/10718,zasilacz-instalacyjn-12v-150w-12-5a-ip67?currency=PLN")</f>
        <v>https://b2b.kobi.pl/pl/product/10718,zasilacz-instalacyjn-12v-150w-12-5a-ip67?currency=PLN</v>
      </c>
      <c r="P856" t="s">
        <v>16</v>
      </c>
      <c r="Q856"/>
    </row>
    <row r="857" spans="1:17" ht="15" x14ac:dyDescent="0.25">
      <c r="A857" t="s">
        <v>861</v>
      </c>
      <c r="B857" t="s">
        <v>17</v>
      </c>
      <c r="C857" t="s">
        <v>858</v>
      </c>
      <c r="D857" t="s">
        <v>37</v>
      </c>
      <c r="E857" t="s">
        <v>2060</v>
      </c>
      <c r="F857" t="s">
        <v>860</v>
      </c>
      <c r="G857" s="30">
        <v>399</v>
      </c>
      <c r="H857" s="29">
        <f>G857*(1-IFERROR(VLOOKUP(F857,Rabat!$D$10:$E$41,2,FALSE),0))</f>
        <v>399</v>
      </c>
      <c r="I857" t="s">
        <v>2540</v>
      </c>
      <c r="J857" t="s">
        <v>612</v>
      </c>
      <c r="K857" t="s">
        <v>2538</v>
      </c>
      <c r="L857">
        <v>1</v>
      </c>
      <c r="M857"/>
      <c r="N857" t="s">
        <v>2544</v>
      </c>
      <c r="O857" s="31" t="str">
        <f>HYPERLINK("https://b2b.kobi.pl/pl/product/9756,zasilacz-instalacyjn-12v-200w-16-7a-ip67?currency=PLN")</f>
        <v>https://b2b.kobi.pl/pl/product/9756,zasilacz-instalacyjn-12v-200w-16-7a-ip67?currency=PLN</v>
      </c>
      <c r="P857" t="s">
        <v>16</v>
      </c>
      <c r="Q857"/>
    </row>
    <row r="858" spans="1:17" ht="15" x14ac:dyDescent="0.25">
      <c r="A858" t="s">
        <v>861</v>
      </c>
      <c r="B858" t="s">
        <v>17</v>
      </c>
      <c r="C858" t="s">
        <v>858</v>
      </c>
      <c r="D858" t="s">
        <v>51</v>
      </c>
      <c r="E858" t="s">
        <v>2061</v>
      </c>
      <c r="F858" t="s">
        <v>860</v>
      </c>
      <c r="G858" s="30">
        <v>137</v>
      </c>
      <c r="H858" s="29">
        <f>G858*(1-IFERROR(VLOOKUP(F858,Rabat!$D$10:$E$41,2,FALSE),0))</f>
        <v>137</v>
      </c>
      <c r="I858" t="s">
        <v>2540</v>
      </c>
      <c r="J858" t="s">
        <v>607</v>
      </c>
      <c r="K858" t="s">
        <v>2538</v>
      </c>
      <c r="L858">
        <v>1</v>
      </c>
      <c r="M858"/>
      <c r="N858" t="s">
        <v>2544</v>
      </c>
      <c r="O858" s="31" t="str">
        <f>HYPERLINK("https://b2b.kobi.pl/pl/product/10752,zasilacz-instalacyjny-12v-60w-5-0a-ip67?currency=PLN")</f>
        <v>https://b2b.kobi.pl/pl/product/10752,zasilacz-instalacyjny-12v-60w-5-0a-ip67?currency=PLN</v>
      </c>
      <c r="P858" t="s">
        <v>16</v>
      </c>
      <c r="Q858"/>
    </row>
    <row r="859" spans="1:17" ht="15" x14ac:dyDescent="0.25">
      <c r="A859" t="s">
        <v>861</v>
      </c>
      <c r="B859" t="s">
        <v>17</v>
      </c>
      <c r="C859" t="s">
        <v>858</v>
      </c>
      <c r="D859" t="s">
        <v>29</v>
      </c>
      <c r="E859" t="s">
        <v>2066</v>
      </c>
      <c r="F859" t="s">
        <v>860</v>
      </c>
      <c r="G859" s="30">
        <v>44.5</v>
      </c>
      <c r="H859" s="29">
        <f>G859*(1-IFERROR(VLOOKUP(F859,Rabat!$D$10:$E$41,2,FALSE),0))</f>
        <v>44.5</v>
      </c>
      <c r="I859" t="s">
        <v>2540</v>
      </c>
      <c r="J859" t="s">
        <v>613</v>
      </c>
      <c r="K859" t="s">
        <v>2538</v>
      </c>
      <c r="L859">
        <v>1</v>
      </c>
      <c r="M859"/>
      <c r="N859" t="s">
        <v>2544</v>
      </c>
      <c r="O859" s="31" t="str">
        <f>HYPERLINK("https://b2b.kobi.pl/pl/product/10734,zasilacz-montazowy-12v-6w-0-5a?currency=PLN")</f>
        <v>https://b2b.kobi.pl/pl/product/10734,zasilacz-montazowy-12v-6w-0-5a?currency=PLN</v>
      </c>
      <c r="P859" t="s">
        <v>16</v>
      </c>
      <c r="Q859"/>
    </row>
    <row r="860" spans="1:17" ht="15" x14ac:dyDescent="0.25">
      <c r="A860" t="s">
        <v>861</v>
      </c>
      <c r="B860" t="s">
        <v>17</v>
      </c>
      <c r="C860" t="s">
        <v>858</v>
      </c>
      <c r="D860" t="s">
        <v>39</v>
      </c>
      <c r="E860" t="s">
        <v>2067</v>
      </c>
      <c r="F860" t="s">
        <v>860</v>
      </c>
      <c r="G860" s="30">
        <v>54</v>
      </c>
      <c r="H860" s="29">
        <f>G860*(1-IFERROR(VLOOKUP(F860,Rabat!$D$10:$E$41,2,FALSE),0))</f>
        <v>54</v>
      </c>
      <c r="I860" t="s">
        <v>2540</v>
      </c>
      <c r="J860" t="s">
        <v>614</v>
      </c>
      <c r="K860" t="s">
        <v>2538</v>
      </c>
      <c r="L860">
        <v>1</v>
      </c>
      <c r="M860"/>
      <c r="N860" t="s">
        <v>2544</v>
      </c>
      <c r="O860" s="31" t="str">
        <f>HYPERLINK("https://b2b.kobi.pl/pl/product/10730,zasilacz-montazowy-12v-25w-2-1a?currency=PLN")</f>
        <v>https://b2b.kobi.pl/pl/product/10730,zasilacz-montazowy-12v-25w-2-1a?currency=PLN</v>
      </c>
      <c r="P860" t="s">
        <v>16</v>
      </c>
      <c r="Q860"/>
    </row>
    <row r="861" spans="1:17" ht="15" x14ac:dyDescent="0.25">
      <c r="A861" t="s">
        <v>861</v>
      </c>
      <c r="B861" t="s">
        <v>17</v>
      </c>
      <c r="C861" t="s">
        <v>858</v>
      </c>
      <c r="D861" t="s">
        <v>40</v>
      </c>
      <c r="E861" t="s">
        <v>2068</v>
      </c>
      <c r="F861" t="s">
        <v>860</v>
      </c>
      <c r="G861" s="30">
        <v>57</v>
      </c>
      <c r="H861" s="29">
        <f>G861*(1-IFERROR(VLOOKUP(F861,Rabat!$D$10:$E$41,2,FALSE),0))</f>
        <v>57</v>
      </c>
      <c r="I861" t="s">
        <v>2540</v>
      </c>
      <c r="J861" t="s">
        <v>615</v>
      </c>
      <c r="K861" t="s">
        <v>2538</v>
      </c>
      <c r="L861">
        <v>1</v>
      </c>
      <c r="M861"/>
      <c r="N861" t="s">
        <v>2544</v>
      </c>
      <c r="O861" s="31" t="str">
        <f>HYPERLINK("https://b2b.kobi.pl/pl/product/10732,zasilacz-montazowy-12v-35w-2-9a?currency=PLN")</f>
        <v>https://b2b.kobi.pl/pl/product/10732,zasilacz-montazowy-12v-35w-2-9a?currency=PLN</v>
      </c>
      <c r="P861" t="s">
        <v>16</v>
      </c>
      <c r="Q861"/>
    </row>
    <row r="862" spans="1:17" ht="15" x14ac:dyDescent="0.25">
      <c r="A862" t="s">
        <v>861</v>
      </c>
      <c r="B862" t="s">
        <v>17</v>
      </c>
      <c r="C862" t="s">
        <v>858</v>
      </c>
      <c r="D862" t="s">
        <v>41</v>
      </c>
      <c r="E862" t="s">
        <v>2069</v>
      </c>
      <c r="F862" t="s">
        <v>860</v>
      </c>
      <c r="G862" s="30">
        <v>68</v>
      </c>
      <c r="H862" s="29">
        <f>G862*(1-IFERROR(VLOOKUP(F862,Rabat!$D$10:$E$41,2,FALSE),0))</f>
        <v>68</v>
      </c>
      <c r="I862" t="s">
        <v>2540</v>
      </c>
      <c r="J862" t="s">
        <v>616</v>
      </c>
      <c r="K862" t="s">
        <v>2538</v>
      </c>
      <c r="L862">
        <v>1</v>
      </c>
      <c r="M862"/>
      <c r="N862" t="s">
        <v>2544</v>
      </c>
      <c r="O862" s="31" t="str">
        <f>HYPERLINK("https://b2b.kobi.pl/pl/product/10733,zasilacz-montazowy-12v-60w-5-0a?currency=PLN")</f>
        <v>https://b2b.kobi.pl/pl/product/10733,zasilacz-montazowy-12v-60w-5-0a?currency=PLN</v>
      </c>
      <c r="P862" t="s">
        <v>16</v>
      </c>
      <c r="Q862"/>
    </row>
    <row r="863" spans="1:17" ht="15" x14ac:dyDescent="0.25">
      <c r="A863" t="s">
        <v>861</v>
      </c>
      <c r="B863" t="s">
        <v>17</v>
      </c>
      <c r="C863" t="s">
        <v>858</v>
      </c>
      <c r="D863" t="s">
        <v>27</v>
      </c>
      <c r="E863" t="s">
        <v>2070</v>
      </c>
      <c r="F863" t="s">
        <v>860</v>
      </c>
      <c r="G863" s="30">
        <v>125</v>
      </c>
      <c r="H863" s="29">
        <f>G863*(1-IFERROR(VLOOKUP(F863,Rabat!$D$10:$E$41,2,FALSE),0))</f>
        <v>125</v>
      </c>
      <c r="I863" t="s">
        <v>2540</v>
      </c>
      <c r="J863" t="s">
        <v>617</v>
      </c>
      <c r="K863" t="s">
        <v>2538</v>
      </c>
      <c r="L863">
        <v>1</v>
      </c>
      <c r="M863"/>
      <c r="N863" t="s">
        <v>2544</v>
      </c>
      <c r="O863" s="31" t="str">
        <f>HYPERLINK("https://b2b.kobi.pl/pl/product/10725,zasilacz-montazowy-12v-100w-8-3a?currency=PLN")</f>
        <v>https://b2b.kobi.pl/pl/product/10725,zasilacz-montazowy-12v-100w-8-3a?currency=PLN</v>
      </c>
      <c r="P863" t="s">
        <v>16</v>
      </c>
      <c r="Q863"/>
    </row>
    <row r="864" spans="1:17" ht="15" x14ac:dyDescent="0.25">
      <c r="A864" t="s">
        <v>861</v>
      </c>
      <c r="B864" t="s">
        <v>17</v>
      </c>
      <c r="C864" t="s">
        <v>858</v>
      </c>
      <c r="D864" t="s">
        <v>2071</v>
      </c>
      <c r="E864" t="s">
        <v>2072</v>
      </c>
      <c r="F864" t="s">
        <v>860</v>
      </c>
      <c r="G864" s="30">
        <v>155</v>
      </c>
      <c r="H864" s="29">
        <f>G864*(1-IFERROR(VLOOKUP(F864,Rabat!$D$10:$E$41,2,FALSE),0))</f>
        <v>155</v>
      </c>
      <c r="I864" t="s">
        <v>2540</v>
      </c>
      <c r="J864" t="s">
        <v>618</v>
      </c>
      <c r="K864" t="s">
        <v>2538</v>
      </c>
      <c r="L864">
        <v>1</v>
      </c>
      <c r="M864"/>
      <c r="N864" t="s">
        <v>2544</v>
      </c>
      <c r="O864" s="31" t="str">
        <f>HYPERLINK("https://b2b.kobi.pl/pl/product/10728,zasilacz-montazowy-12v-150w-12-5a?currency=PLN")</f>
        <v>https://b2b.kobi.pl/pl/product/10728,zasilacz-montazowy-12v-150w-12-5a?currency=PLN</v>
      </c>
      <c r="P864" t="s">
        <v>16</v>
      </c>
      <c r="Q864"/>
    </row>
    <row r="865" spans="1:17" ht="15" x14ac:dyDescent="0.25">
      <c r="A865" t="s">
        <v>861</v>
      </c>
      <c r="B865" t="s">
        <v>17</v>
      </c>
      <c r="C865" t="s">
        <v>858</v>
      </c>
      <c r="D865" t="s">
        <v>31</v>
      </c>
      <c r="E865" t="s">
        <v>2073</v>
      </c>
      <c r="F865" t="s">
        <v>860</v>
      </c>
      <c r="G865" s="30">
        <v>179</v>
      </c>
      <c r="H865" s="29">
        <f>G865*(1-IFERROR(VLOOKUP(F865,Rabat!$D$10:$E$41,2,FALSE),0))</f>
        <v>179</v>
      </c>
      <c r="I865" t="s">
        <v>2540</v>
      </c>
      <c r="J865" t="s">
        <v>619</v>
      </c>
      <c r="K865" t="s">
        <v>2538</v>
      </c>
      <c r="L865">
        <v>1</v>
      </c>
      <c r="M865"/>
      <c r="N865" t="s">
        <v>2544</v>
      </c>
      <c r="O865" s="31" t="str">
        <f>HYPERLINK("https://b2b.kobi.pl/pl/product/10720,zasilacz-montazowy-12v-200w-16-6a?currency=PLN")</f>
        <v>https://b2b.kobi.pl/pl/product/10720,zasilacz-montazowy-12v-200w-16-6a?currency=PLN</v>
      </c>
      <c r="P865" t="s">
        <v>16</v>
      </c>
      <c r="Q865"/>
    </row>
    <row r="866" spans="1:17" ht="15" x14ac:dyDescent="0.25">
      <c r="A866" t="s">
        <v>861</v>
      </c>
      <c r="B866" t="s">
        <v>17</v>
      </c>
      <c r="C866" t="s">
        <v>858</v>
      </c>
      <c r="D866" t="s">
        <v>28</v>
      </c>
      <c r="E866" t="s">
        <v>2074</v>
      </c>
      <c r="F866" t="s">
        <v>860</v>
      </c>
      <c r="G866" s="30">
        <v>210</v>
      </c>
      <c r="H866" s="29">
        <f>G866*(1-IFERROR(VLOOKUP(F866,Rabat!$D$10:$E$41,2,FALSE),0))</f>
        <v>210</v>
      </c>
      <c r="I866" t="s">
        <v>2540</v>
      </c>
      <c r="J866" t="s">
        <v>620</v>
      </c>
      <c r="K866" t="s">
        <v>2538</v>
      </c>
      <c r="L866">
        <v>1</v>
      </c>
      <c r="M866"/>
      <c r="N866" t="s">
        <v>2544</v>
      </c>
      <c r="O866" s="31" t="str">
        <f>HYPERLINK("https://b2b.kobi.pl/pl/product/10729,zasilacz-montazowy-12v-250w-20-8a?currency=PLN")</f>
        <v>https://b2b.kobi.pl/pl/product/10729,zasilacz-montazowy-12v-250w-20-8a?currency=PLN</v>
      </c>
      <c r="P866" t="s">
        <v>16</v>
      </c>
      <c r="Q866"/>
    </row>
    <row r="867" spans="1:17" ht="15" x14ac:dyDescent="0.25">
      <c r="A867" t="s">
        <v>861</v>
      </c>
      <c r="B867" t="s">
        <v>17</v>
      </c>
      <c r="C867" t="s">
        <v>858</v>
      </c>
      <c r="D867" t="s">
        <v>34</v>
      </c>
      <c r="E867" t="s">
        <v>2075</v>
      </c>
      <c r="F867" t="s">
        <v>860</v>
      </c>
      <c r="G867" s="30">
        <v>224</v>
      </c>
      <c r="H867" s="29">
        <f>G867*(1-IFERROR(VLOOKUP(F867,Rabat!$D$10:$E$41,2,FALSE),0))</f>
        <v>224</v>
      </c>
      <c r="I867" t="s">
        <v>2540</v>
      </c>
      <c r="J867" t="s">
        <v>621</v>
      </c>
      <c r="K867" t="s">
        <v>2538</v>
      </c>
      <c r="L867">
        <v>1</v>
      </c>
      <c r="M867"/>
      <c r="N867" t="s">
        <v>2544</v>
      </c>
      <c r="O867" s="31" t="str">
        <f>HYPERLINK("https://b2b.kobi.pl/pl/product/10731,zasilacz-montazowy-12v-350w-29-0a?currency=PLN")</f>
        <v>https://b2b.kobi.pl/pl/product/10731,zasilacz-montazowy-12v-350w-29-0a?currency=PLN</v>
      </c>
      <c r="P867" t="s">
        <v>16</v>
      </c>
      <c r="Q867"/>
    </row>
    <row r="868" spans="1:17" ht="15" x14ac:dyDescent="0.25">
      <c r="A868" t="s">
        <v>861</v>
      </c>
      <c r="B868" t="s">
        <v>17</v>
      </c>
      <c r="C868" t="s">
        <v>858</v>
      </c>
      <c r="D868" t="s">
        <v>35</v>
      </c>
      <c r="E868" t="s">
        <v>2510</v>
      </c>
      <c r="F868" t="s">
        <v>860</v>
      </c>
      <c r="G868" s="30">
        <v>211</v>
      </c>
      <c r="H868" s="29">
        <f>G868*(1-IFERROR(VLOOKUP(F868,Rabat!$D$10:$E$41,2,FALSE),0))</f>
        <v>211</v>
      </c>
      <c r="I868" t="s">
        <v>2540</v>
      </c>
      <c r="J868" t="s">
        <v>609</v>
      </c>
      <c r="K868" t="s">
        <v>2538</v>
      </c>
      <c r="L868">
        <v>1</v>
      </c>
      <c r="M868"/>
      <c r="N868" t="s">
        <v>2544</v>
      </c>
      <c r="O868"/>
      <c r="P868" t="s">
        <v>16</v>
      </c>
      <c r="Q868"/>
    </row>
    <row r="869" spans="1:17" ht="15" x14ac:dyDescent="0.25">
      <c r="A869" t="s">
        <v>4</v>
      </c>
      <c r="B869" t="s">
        <v>45</v>
      </c>
      <c r="C869" t="s">
        <v>44</v>
      </c>
      <c r="D869" t="s">
        <v>2788</v>
      </c>
      <c r="E869" t="s">
        <v>2789</v>
      </c>
      <c r="F869" t="s">
        <v>1393</v>
      </c>
      <c r="G869" s="30">
        <v>27.91</v>
      </c>
      <c r="H869" s="29">
        <f>G869*(1-IFERROR(VLOOKUP(F869,Rabat!$D$10:$E$41,2,FALSE),0))</f>
        <v>27.91</v>
      </c>
      <c r="I869" t="s">
        <v>2542</v>
      </c>
      <c r="J869" t="s">
        <v>2837</v>
      </c>
      <c r="K869" t="s">
        <v>2538</v>
      </c>
      <c r="L869">
        <v>60</v>
      </c>
      <c r="M869">
        <v>1600</v>
      </c>
      <c r="N869" t="s">
        <v>2544</v>
      </c>
      <c r="O869" s="31" t="str">
        <f>HYPERLINK("https://b2b.kobi.pl/pl/product/9985,naswietlacz-led-mh-20w-4000k-ip65-czarny-led2b?currency=PLN")</f>
        <v>https://b2b.kobi.pl/pl/product/9985,naswietlacz-led-mh-20w-4000k-ip65-czarny-led2b?currency=PLN</v>
      </c>
      <c r="P869" s="31" t="str">
        <f>HYPERLINK("https://eprel.ec.europa.eu/qr/760359")</f>
        <v>https://eprel.ec.europa.eu/qr/760359</v>
      </c>
      <c r="Q869"/>
    </row>
    <row r="870" spans="1:17" ht="15" x14ac:dyDescent="0.25">
      <c r="A870" t="s">
        <v>4</v>
      </c>
      <c r="B870" t="s">
        <v>45</v>
      </c>
      <c r="C870" t="s">
        <v>44</v>
      </c>
      <c r="D870" t="s">
        <v>2790</v>
      </c>
      <c r="E870" t="s">
        <v>2791</v>
      </c>
      <c r="F870" t="s">
        <v>1393</v>
      </c>
      <c r="G870" s="30">
        <v>35.64</v>
      </c>
      <c r="H870" s="29">
        <f>G870*(1-IFERROR(VLOOKUP(F870,Rabat!$D$10:$E$41,2,FALSE),0))</f>
        <v>35.64</v>
      </c>
      <c r="I870" t="s">
        <v>2542</v>
      </c>
      <c r="J870" t="s">
        <v>2838</v>
      </c>
      <c r="K870" t="s">
        <v>2538</v>
      </c>
      <c r="L870">
        <v>40</v>
      </c>
      <c r="M870">
        <v>960</v>
      </c>
      <c r="N870" t="s">
        <v>2544</v>
      </c>
      <c r="O870" s="31" t="str">
        <f>HYPERLINK("https://b2b.kobi.pl/pl/product/9990,naswietlacz-led-mh-30w-4000k-ip65-czarny-led2b?currency=PLN")</f>
        <v>https://b2b.kobi.pl/pl/product/9990,naswietlacz-led-mh-30w-4000k-ip65-czarny-led2b?currency=PLN</v>
      </c>
      <c r="P870" s="31" t="str">
        <f>HYPERLINK("https://eprel.ec.europa.eu/qr/760363")</f>
        <v>https://eprel.ec.europa.eu/qr/760363</v>
      </c>
      <c r="Q870"/>
    </row>
    <row r="871" spans="1:17" ht="15" x14ac:dyDescent="0.25">
      <c r="A871" t="s">
        <v>4</v>
      </c>
      <c r="B871" t="s">
        <v>45</v>
      </c>
      <c r="C871" t="s">
        <v>44</v>
      </c>
      <c r="D871" t="s">
        <v>2792</v>
      </c>
      <c r="E871" t="s">
        <v>2793</v>
      </c>
      <c r="F871" t="s">
        <v>1393</v>
      </c>
      <c r="G871" s="30">
        <v>35.64</v>
      </c>
      <c r="H871" s="29">
        <f>G871*(1-IFERROR(VLOOKUP(F871,Rabat!$D$10:$E$41,2,FALSE),0))</f>
        <v>35.64</v>
      </c>
      <c r="I871" t="s">
        <v>2542</v>
      </c>
      <c r="J871" t="s">
        <v>2839</v>
      </c>
      <c r="K871" t="s">
        <v>2538</v>
      </c>
      <c r="L871">
        <v>40</v>
      </c>
      <c r="M871">
        <v>960</v>
      </c>
      <c r="N871" t="s">
        <v>2544</v>
      </c>
      <c r="O871" s="31" t="str">
        <f>HYPERLINK("https://b2b.kobi.pl/pl/product/9992,naswietlacz-led-mh-30w-6500k-ip65-czarny-led2b?currency=PLN")</f>
        <v>https://b2b.kobi.pl/pl/product/9992,naswietlacz-led-mh-30w-6500k-ip65-czarny-led2b?currency=PLN</v>
      </c>
      <c r="P871" s="31" t="str">
        <f>HYPERLINK("https://eprel.ec.europa.eu/qr/760365")</f>
        <v>https://eprel.ec.europa.eu/qr/760365</v>
      </c>
      <c r="Q871"/>
    </row>
    <row r="872" spans="1:17" ht="15" x14ac:dyDescent="0.25">
      <c r="A872" t="s">
        <v>4</v>
      </c>
      <c r="B872" t="s">
        <v>45</v>
      </c>
      <c r="C872" t="s">
        <v>44</v>
      </c>
      <c r="D872" t="s">
        <v>2794</v>
      </c>
      <c r="E872" t="s">
        <v>2795</v>
      </c>
      <c r="F872" t="s">
        <v>1393</v>
      </c>
      <c r="G872" s="30">
        <v>49.07</v>
      </c>
      <c r="H872" s="29">
        <f>G872*(1-IFERROR(VLOOKUP(F872,Rabat!$D$10:$E$41,2,FALSE),0))</f>
        <v>49.07</v>
      </c>
      <c r="I872" t="s">
        <v>2542</v>
      </c>
      <c r="J872" t="s">
        <v>2840</v>
      </c>
      <c r="K872" t="s">
        <v>2538</v>
      </c>
      <c r="L872">
        <v>30</v>
      </c>
      <c r="M872">
        <v>840</v>
      </c>
      <c r="N872" t="s">
        <v>2544</v>
      </c>
      <c r="O872" s="31" t="str">
        <f>HYPERLINK("https://b2b.kobi.pl/pl/product/9995,naswietlacz-led-mh-50w-4000k-ip65-czarny-led2b?currency=PLN")</f>
        <v>https://b2b.kobi.pl/pl/product/9995,naswietlacz-led-mh-50w-4000k-ip65-czarny-led2b?currency=PLN</v>
      </c>
      <c r="P872" s="31" t="str">
        <f>HYPERLINK("https://eprel.ec.europa.eu/qr/760369")</f>
        <v>https://eprel.ec.europa.eu/qr/760369</v>
      </c>
      <c r="Q872"/>
    </row>
    <row r="873" spans="1:17" ht="15" x14ac:dyDescent="0.25">
      <c r="A873" t="s">
        <v>4</v>
      </c>
      <c r="B873" t="s">
        <v>45</v>
      </c>
      <c r="C873" t="s">
        <v>44</v>
      </c>
      <c r="D873" t="s">
        <v>2796</v>
      </c>
      <c r="E873" t="s">
        <v>2797</v>
      </c>
      <c r="F873" t="s">
        <v>1393</v>
      </c>
      <c r="G873" s="30">
        <v>49.07</v>
      </c>
      <c r="H873" s="29">
        <f>G873*(1-IFERROR(VLOOKUP(F873,Rabat!$D$10:$E$41,2,FALSE),0))</f>
        <v>49.07</v>
      </c>
      <c r="I873" t="s">
        <v>2542</v>
      </c>
      <c r="J873" t="s">
        <v>2841</v>
      </c>
      <c r="K873" t="s">
        <v>2538</v>
      </c>
      <c r="L873">
        <v>30</v>
      </c>
      <c r="M873">
        <v>840</v>
      </c>
      <c r="N873" t="s">
        <v>2544</v>
      </c>
      <c r="O873" s="31" t="str">
        <f>HYPERLINK("https://b2b.kobi.pl/pl/product/9997,naswietlacz-led-mh-50w-6500k-ip65-czarny-led2b?currency=PLN")</f>
        <v>https://b2b.kobi.pl/pl/product/9997,naswietlacz-led-mh-50w-6500k-ip65-czarny-led2b?currency=PLN</v>
      </c>
      <c r="P873" s="31" t="str">
        <f>HYPERLINK("https://eprel.ec.europa.eu/qr/760371")</f>
        <v>https://eprel.ec.europa.eu/qr/760371</v>
      </c>
      <c r="Q873"/>
    </row>
    <row r="874" spans="1:17" ht="15" x14ac:dyDescent="0.25">
      <c r="A874" t="s">
        <v>4</v>
      </c>
      <c r="B874" t="s">
        <v>45</v>
      </c>
      <c r="C874" t="s">
        <v>44</v>
      </c>
      <c r="D874" t="s">
        <v>2798</v>
      </c>
      <c r="E874" t="s">
        <v>2799</v>
      </c>
      <c r="F874" t="s">
        <v>1393</v>
      </c>
      <c r="G874" s="30">
        <v>93.33</v>
      </c>
      <c r="H874" s="29">
        <f>G874*(1-IFERROR(VLOOKUP(F874,Rabat!$D$10:$E$41,2,FALSE),0))</f>
        <v>93.33</v>
      </c>
      <c r="I874" t="s">
        <v>2542</v>
      </c>
      <c r="J874" t="s">
        <v>2842</v>
      </c>
      <c r="K874" t="s">
        <v>2538</v>
      </c>
      <c r="L874">
        <v>10</v>
      </c>
      <c r="M874">
        <v>400</v>
      </c>
      <c r="N874" t="s">
        <v>2544</v>
      </c>
      <c r="O874" s="31" t="str">
        <f>HYPERLINK("https://b2b.kobi.pl/pl/product/9975,naswietlacz-led-mh-100w-4000k-ip65-czarny-led2b?currency=PLN")</f>
        <v>https://b2b.kobi.pl/pl/product/9975,naswietlacz-led-mh-100w-4000k-ip65-czarny-led2b?currency=PLN</v>
      </c>
      <c r="P874" s="31" t="str">
        <f>HYPERLINK("https://eprel.ec.europa.eu/qr/760373")</f>
        <v>https://eprel.ec.europa.eu/qr/760373</v>
      </c>
      <c r="Q874"/>
    </row>
    <row r="875" spans="1:17" ht="15" x14ac:dyDescent="0.25">
      <c r="A875" t="s">
        <v>4</v>
      </c>
      <c r="B875" t="s">
        <v>45</v>
      </c>
      <c r="C875" t="s">
        <v>44</v>
      </c>
      <c r="D875" t="s">
        <v>2800</v>
      </c>
      <c r="E875" t="s">
        <v>2801</v>
      </c>
      <c r="F875" t="s">
        <v>1393</v>
      </c>
      <c r="G875" s="30">
        <v>93.33</v>
      </c>
      <c r="H875" s="29">
        <f>G875*(1-IFERROR(VLOOKUP(F875,Rabat!$D$10:$E$41,2,FALSE),0))</f>
        <v>93.33</v>
      </c>
      <c r="I875" t="s">
        <v>2542</v>
      </c>
      <c r="J875" t="s">
        <v>2843</v>
      </c>
      <c r="K875" t="s">
        <v>2538</v>
      </c>
      <c r="L875">
        <v>10</v>
      </c>
      <c r="M875">
        <v>400</v>
      </c>
      <c r="N875" t="s">
        <v>2544</v>
      </c>
      <c r="O875" s="31" t="str">
        <f>HYPERLINK("https://b2b.kobi.pl/pl/product/9977,naswietlacz-led-mh-100w-6500k-ip65-czarny-led2b?currency=PLN")</f>
        <v>https://b2b.kobi.pl/pl/product/9977,naswietlacz-led-mh-100w-6500k-ip65-czarny-led2b?currency=PLN</v>
      </c>
      <c r="P875" s="31" t="str">
        <f>HYPERLINK("https://eprel.ec.europa.eu/qr/760374")</f>
        <v>https://eprel.ec.europa.eu/qr/760374</v>
      </c>
      <c r="Q875"/>
    </row>
    <row r="876" spans="1:17" ht="15" x14ac:dyDescent="0.25">
      <c r="A876" t="s">
        <v>4</v>
      </c>
      <c r="B876" t="s">
        <v>45</v>
      </c>
      <c r="C876" t="s">
        <v>44</v>
      </c>
      <c r="D876" t="s">
        <v>2802</v>
      </c>
      <c r="E876" t="s">
        <v>2803</v>
      </c>
      <c r="F876" t="s">
        <v>1393</v>
      </c>
      <c r="G876" s="30">
        <v>60.62</v>
      </c>
      <c r="H876" s="29">
        <f>G876*(1-IFERROR(VLOOKUP(F876,Rabat!$D$10:$E$41,2,FALSE),0))</f>
        <v>60.62</v>
      </c>
      <c r="I876" t="s">
        <v>2542</v>
      </c>
      <c r="J876" t="s">
        <v>2844</v>
      </c>
      <c r="K876" t="s">
        <v>2538</v>
      </c>
      <c r="L876">
        <v>60</v>
      </c>
      <c r="M876">
        <v>800</v>
      </c>
      <c r="N876" t="s">
        <v>2544</v>
      </c>
      <c r="O876" s="31" t="str">
        <f>HYPERLINK("https://b2b.kobi.pl/pl/product/10006,naswietlacz-z-czujnikiem-ruchu-led-mhc-20w-4000k-ip44-czarny-led2b?currency=PLN")</f>
        <v>https://b2b.kobi.pl/pl/product/10006,naswietlacz-z-czujnikiem-ruchu-led-mhc-20w-4000k-ip44-czarny-led2b?currency=PLN</v>
      </c>
      <c r="P876" s="31" t="str">
        <f>HYPERLINK("https://eprel.ec.europa.eu/qr/760438")</f>
        <v>https://eprel.ec.europa.eu/qr/760438</v>
      </c>
      <c r="Q876"/>
    </row>
    <row r="877" spans="1:17" ht="15" x14ac:dyDescent="0.25">
      <c r="A877" t="s">
        <v>4</v>
      </c>
      <c r="B877" t="s">
        <v>45</v>
      </c>
      <c r="C877" t="s">
        <v>44</v>
      </c>
      <c r="D877" t="s">
        <v>2804</v>
      </c>
      <c r="E877" t="s">
        <v>2805</v>
      </c>
      <c r="F877" t="s">
        <v>1393</v>
      </c>
      <c r="G877" s="30">
        <v>60.62</v>
      </c>
      <c r="H877" s="29">
        <f>G877*(1-IFERROR(VLOOKUP(F877,Rabat!$D$10:$E$41,2,FALSE),0))</f>
        <v>60.62</v>
      </c>
      <c r="I877" t="s">
        <v>2542</v>
      </c>
      <c r="J877" t="s">
        <v>2845</v>
      </c>
      <c r="K877" t="s">
        <v>2538</v>
      </c>
      <c r="L877">
        <v>60</v>
      </c>
      <c r="M877">
        <v>800</v>
      </c>
      <c r="N877" t="s">
        <v>2544</v>
      </c>
      <c r="O877" s="31" t="str">
        <f>HYPERLINK("https://b2b.kobi.pl/pl/product/10008,naswietlacz-z-czujnikiem-ruchu-led-mhc-20w-6500k-ip44-czarny-led2b?currency=PLN")</f>
        <v>https://b2b.kobi.pl/pl/product/10008,naswietlacz-z-czujnikiem-ruchu-led-mhc-20w-6500k-ip44-czarny-led2b?currency=PLN</v>
      </c>
      <c r="P877" s="31" t="str">
        <f>HYPERLINK("https://eprel.ec.europa.eu/qr/760441")</f>
        <v>https://eprel.ec.europa.eu/qr/760441</v>
      </c>
      <c r="Q877"/>
    </row>
    <row r="878" spans="1:17" ht="15" x14ac:dyDescent="0.25">
      <c r="A878" t="s">
        <v>4</v>
      </c>
      <c r="B878" t="s">
        <v>45</v>
      </c>
      <c r="C878" t="s">
        <v>44</v>
      </c>
      <c r="D878" t="s">
        <v>2806</v>
      </c>
      <c r="E878" t="s">
        <v>2807</v>
      </c>
      <c r="F878" t="s">
        <v>1393</v>
      </c>
      <c r="G878" s="30">
        <v>68.36</v>
      </c>
      <c r="H878" s="29">
        <f>G878*(1-IFERROR(VLOOKUP(F878,Rabat!$D$10:$E$41,2,FALSE),0))</f>
        <v>68.36</v>
      </c>
      <c r="I878" t="s">
        <v>2542</v>
      </c>
      <c r="J878" t="s">
        <v>2846</v>
      </c>
      <c r="K878" t="s">
        <v>2538</v>
      </c>
      <c r="L878">
        <v>20</v>
      </c>
      <c r="M878">
        <v>400</v>
      </c>
      <c r="N878" t="s">
        <v>2544</v>
      </c>
      <c r="O878" s="31" t="str">
        <f>HYPERLINK("https://b2b.kobi.pl/pl/product/10011,naswietlacz-z-czujnikiem-ruchu-led-mhc-30w-4000k-ip44-czarny-led2b?currency=PLN")</f>
        <v>https://b2b.kobi.pl/pl/product/10011,naswietlacz-z-czujnikiem-ruchu-led-mhc-30w-4000k-ip44-czarny-led2b?currency=PLN</v>
      </c>
      <c r="P878" s="31" t="str">
        <f>HYPERLINK("https://eprel.ec.europa.eu/qr/760443")</f>
        <v>https://eprel.ec.europa.eu/qr/760443</v>
      </c>
      <c r="Q878"/>
    </row>
    <row r="879" spans="1:17" ht="15" x14ac:dyDescent="0.25">
      <c r="A879" t="s">
        <v>4</v>
      </c>
      <c r="B879" t="s">
        <v>45</v>
      </c>
      <c r="C879" t="s">
        <v>44</v>
      </c>
      <c r="D879" t="s">
        <v>2808</v>
      </c>
      <c r="E879" t="s">
        <v>2809</v>
      </c>
      <c r="F879" t="s">
        <v>1393</v>
      </c>
      <c r="G879" s="30">
        <v>81.819999999999993</v>
      </c>
      <c r="H879" s="29">
        <f>G879*(1-IFERROR(VLOOKUP(F879,Rabat!$D$10:$E$41,2,FALSE),0))</f>
        <v>81.819999999999993</v>
      </c>
      <c r="I879" t="s">
        <v>2542</v>
      </c>
      <c r="J879" t="s">
        <v>2847</v>
      </c>
      <c r="K879" t="s">
        <v>2538</v>
      </c>
      <c r="L879">
        <v>20</v>
      </c>
      <c r="M879">
        <v>400</v>
      </c>
      <c r="N879" t="s">
        <v>2544</v>
      </c>
      <c r="O879" s="31" t="str">
        <f>HYPERLINK("https://b2b.kobi.pl/pl/product/10016,naswietlacz-z-czujnikiem-ruchu-led-mhc-50w-4000k-ip44-czarny-led2b?currency=PLN")</f>
        <v>https://b2b.kobi.pl/pl/product/10016,naswietlacz-z-czujnikiem-ruchu-led-mhc-50w-4000k-ip44-czarny-led2b?currency=PLN</v>
      </c>
      <c r="P879" s="31" t="str">
        <f>HYPERLINK("https://eprel.ec.europa.eu/qr/760446")</f>
        <v>https://eprel.ec.europa.eu/qr/760446</v>
      </c>
      <c r="Q879"/>
    </row>
    <row r="880" spans="1:17" ht="15" x14ac:dyDescent="0.25">
      <c r="A880" t="s">
        <v>4</v>
      </c>
      <c r="B880" t="s">
        <v>45</v>
      </c>
      <c r="C880" t="s">
        <v>44</v>
      </c>
      <c r="D880" t="s">
        <v>2810</v>
      </c>
      <c r="E880" t="s">
        <v>2811</v>
      </c>
      <c r="F880" t="s">
        <v>1393</v>
      </c>
      <c r="G880" s="30">
        <v>81.819999999999993</v>
      </c>
      <c r="H880" s="29">
        <f>G880*(1-IFERROR(VLOOKUP(F880,Rabat!$D$10:$E$41,2,FALSE),0))</f>
        <v>81.819999999999993</v>
      </c>
      <c r="I880" t="s">
        <v>2542</v>
      </c>
      <c r="J880" t="s">
        <v>2848</v>
      </c>
      <c r="K880" t="s">
        <v>2538</v>
      </c>
      <c r="L880">
        <v>20</v>
      </c>
      <c r="M880">
        <v>400</v>
      </c>
      <c r="N880" t="s">
        <v>2544</v>
      </c>
      <c r="O880" s="31" t="str">
        <f>HYPERLINK("https://b2b.kobi.pl/pl/product/10018,naswietlacz-z-czujnikiem-ruchu-led-mhc-50w-6500k-ip44-czarny-led2b?currency=PLN")</f>
        <v>https://b2b.kobi.pl/pl/product/10018,naswietlacz-z-czujnikiem-ruchu-led-mhc-50w-6500k-ip44-czarny-led2b?currency=PLN</v>
      </c>
      <c r="P880" s="31" t="str">
        <f>HYPERLINK("https://eprel.ec.europa.eu/qr/760449")</f>
        <v>https://eprel.ec.europa.eu/qr/760449</v>
      </c>
      <c r="Q880"/>
    </row>
    <row r="881" spans="1:17" ht="15" x14ac:dyDescent="0.25">
      <c r="A881" t="s">
        <v>5</v>
      </c>
      <c r="B881" t="s">
        <v>32</v>
      </c>
      <c r="C881" t="s">
        <v>858</v>
      </c>
      <c r="D881" t="s">
        <v>2722</v>
      </c>
      <c r="E881" t="s">
        <v>2723</v>
      </c>
      <c r="F881" t="s">
        <v>1717</v>
      </c>
      <c r="G881" s="30">
        <v>40.64</v>
      </c>
      <c r="H881" s="29">
        <f>G881*(1-IFERROR(VLOOKUP(F881,Rabat!$D$10:$E$41,2,FALSE),0))</f>
        <v>40.64</v>
      </c>
      <c r="I881" t="s">
        <v>16</v>
      </c>
      <c r="J881" t="s">
        <v>2777</v>
      </c>
      <c r="K881" t="s">
        <v>2538</v>
      </c>
      <c r="L881">
        <v>30</v>
      </c>
      <c r="M881">
        <v>1680</v>
      </c>
      <c r="N881" t="s">
        <v>2544</v>
      </c>
      <c r="O881" s="31" t="str">
        <f>HYPERLINK("https://b2b.kobi.pl/pl/product/12273,oprawa-meblowa-led-wl-4w-3cct-kobi?currency=PLN")</f>
        <v>https://b2b.kobi.pl/pl/product/12273,oprawa-meblowa-led-wl-4w-3cct-kobi?currency=PLN</v>
      </c>
      <c r="P881" s="31" t="str">
        <f>HYPERLINK("https://eprel.ec.europa.eu/qr/2213253")</f>
        <v>https://eprel.ec.europa.eu/qr/2213253</v>
      </c>
      <c r="Q881"/>
    </row>
    <row r="882" spans="1:17" ht="15" x14ac:dyDescent="0.25">
      <c r="A882" t="s">
        <v>5</v>
      </c>
      <c r="B882" t="s">
        <v>953</v>
      </c>
      <c r="C882" t="s">
        <v>858</v>
      </c>
      <c r="D882" t="s">
        <v>2724</v>
      </c>
      <c r="E882" t="s">
        <v>2725</v>
      </c>
      <c r="F882" t="s">
        <v>1717</v>
      </c>
      <c r="G882" s="30">
        <v>58.98</v>
      </c>
      <c r="H882" s="29">
        <f>G882*(1-IFERROR(VLOOKUP(F882,Rabat!$D$10:$E$41,2,FALSE),0))</f>
        <v>58.98</v>
      </c>
      <c r="I882" t="s">
        <v>16</v>
      </c>
      <c r="J882" t="s">
        <v>2778</v>
      </c>
      <c r="K882" t="s">
        <v>2538</v>
      </c>
      <c r="L882">
        <v>30</v>
      </c>
      <c r="M882">
        <v>720</v>
      </c>
      <c r="N882" t="s">
        <v>2544</v>
      </c>
      <c r="O882" s="31" t="str">
        <f>HYPERLINK("https://b2b.kobi.pl/pl/product/12275,oprawa-meblowa-led-wl-12w-3cct-kobi?currency=PLN")</f>
        <v>https://b2b.kobi.pl/pl/product/12275,oprawa-meblowa-led-wl-12w-3cct-kobi?currency=PLN</v>
      </c>
      <c r="P882" s="31" t="str">
        <f>HYPERLINK("https://eprel.ec.europa.eu/qr/2213276")</f>
        <v>https://eprel.ec.europa.eu/qr/2213276</v>
      </c>
      <c r="Q882"/>
    </row>
    <row r="883" spans="1:17" ht="15" x14ac:dyDescent="0.25">
      <c r="A883" t="s">
        <v>5</v>
      </c>
      <c r="B883" t="s">
        <v>953</v>
      </c>
      <c r="C883" t="s">
        <v>858</v>
      </c>
      <c r="D883" t="s">
        <v>2726</v>
      </c>
      <c r="E883" t="s">
        <v>2727</v>
      </c>
      <c r="F883" t="s">
        <v>1717</v>
      </c>
      <c r="G883" s="30">
        <v>64.53</v>
      </c>
      <c r="H883" s="29">
        <f>G883*(1-IFERROR(VLOOKUP(F883,Rabat!$D$10:$E$41,2,FALSE),0))</f>
        <v>64.53</v>
      </c>
      <c r="I883" t="s">
        <v>16</v>
      </c>
      <c r="J883" t="s">
        <v>2779</v>
      </c>
      <c r="K883" t="s">
        <v>2538</v>
      </c>
      <c r="L883">
        <v>30</v>
      </c>
      <c r="M883">
        <v>720</v>
      </c>
      <c r="N883" t="s">
        <v>2544</v>
      </c>
      <c r="O883" s="31" t="str">
        <f>HYPERLINK("https://b2b.kobi.pl/pl/product/12276,oprawa-meblowa-led-wl-16w-3cct-kobi?currency=PLN")</f>
        <v>https://b2b.kobi.pl/pl/product/12276,oprawa-meblowa-led-wl-16w-3cct-kobi?currency=PLN</v>
      </c>
      <c r="P883" s="31" t="str">
        <f>HYPERLINK("https://eprel.ec.europa.eu/qr/2213300")</f>
        <v>https://eprel.ec.europa.eu/qr/2213300</v>
      </c>
      <c r="Q883"/>
    </row>
    <row r="884" spans="1:17" ht="15" x14ac:dyDescent="0.25">
      <c r="A884" t="s">
        <v>861</v>
      </c>
      <c r="B884" t="s">
        <v>17</v>
      </c>
      <c r="C884" t="s">
        <v>16</v>
      </c>
      <c r="D884" t="s">
        <v>2770</v>
      </c>
      <c r="E884" t="s">
        <v>2812</v>
      </c>
      <c r="F884" t="s">
        <v>16</v>
      </c>
      <c r="G884" s="30">
        <v>71.59</v>
      </c>
      <c r="H884" s="29">
        <f>G884*(1-IFERROR(VLOOKUP(F884,Rabat!$D$10:$E$41,2,FALSE),0))</f>
        <v>71.59</v>
      </c>
      <c r="I884" t="s">
        <v>16</v>
      </c>
      <c r="J884" t="s">
        <v>2849</v>
      </c>
      <c r="K884" t="s">
        <v>2538</v>
      </c>
      <c r="L884">
        <v>1</v>
      </c>
      <c r="M884"/>
      <c r="N884" t="s">
        <v>2544</v>
      </c>
      <c r="O884"/>
      <c r="P884" t="s">
        <v>16</v>
      </c>
      <c r="Q884"/>
    </row>
    <row r="885" spans="1:17" ht="15" x14ac:dyDescent="0.25">
      <c r="A885" t="s">
        <v>861</v>
      </c>
      <c r="B885" t="s">
        <v>17</v>
      </c>
      <c r="C885" t="s">
        <v>16</v>
      </c>
      <c r="D885" t="s">
        <v>2773</v>
      </c>
      <c r="E885" t="s">
        <v>2813</v>
      </c>
      <c r="F885" t="s">
        <v>16</v>
      </c>
      <c r="G885" s="30">
        <v>100.7</v>
      </c>
      <c r="H885" s="29">
        <f>G885*(1-IFERROR(VLOOKUP(F885,Rabat!$D$10:$E$41,2,FALSE),0))</f>
        <v>100.7</v>
      </c>
      <c r="I885" t="s">
        <v>16</v>
      </c>
      <c r="J885" t="s">
        <v>2850</v>
      </c>
      <c r="K885" t="s">
        <v>2538</v>
      </c>
      <c r="L885">
        <v>1</v>
      </c>
      <c r="M885"/>
      <c r="N885" t="s">
        <v>2544</v>
      </c>
      <c r="O885"/>
      <c r="P885" t="s">
        <v>16</v>
      </c>
      <c r="Q885"/>
    </row>
    <row r="886" spans="1:17" ht="15" x14ac:dyDescent="0.25">
      <c r="A886" t="s">
        <v>861</v>
      </c>
      <c r="B886" t="s">
        <v>17</v>
      </c>
      <c r="C886" t="s">
        <v>16</v>
      </c>
      <c r="D886" t="s">
        <v>2774</v>
      </c>
      <c r="E886" t="s">
        <v>2814</v>
      </c>
      <c r="F886" t="s">
        <v>16</v>
      </c>
      <c r="G886" s="30">
        <v>142.15</v>
      </c>
      <c r="H886" s="29">
        <f>G886*(1-IFERROR(VLOOKUP(F886,Rabat!$D$10:$E$41,2,FALSE),0))</f>
        <v>142.15</v>
      </c>
      <c r="I886" t="s">
        <v>16</v>
      </c>
      <c r="J886" t="s">
        <v>2851</v>
      </c>
      <c r="K886" t="s">
        <v>2538</v>
      </c>
      <c r="L886">
        <v>1</v>
      </c>
      <c r="M886"/>
      <c r="N886" t="s">
        <v>2544</v>
      </c>
      <c r="O886"/>
      <c r="P886" t="s">
        <v>16</v>
      </c>
      <c r="Q886"/>
    </row>
    <row r="887" spans="1:17" ht="15" x14ac:dyDescent="0.25">
      <c r="A887" t="s">
        <v>13</v>
      </c>
      <c r="B887" t="s">
        <v>36</v>
      </c>
      <c r="C887" t="s">
        <v>840</v>
      </c>
      <c r="D887" t="s">
        <v>2728</v>
      </c>
      <c r="E887" t="s">
        <v>2729</v>
      </c>
      <c r="F887" t="s">
        <v>1969</v>
      </c>
      <c r="G887" s="30">
        <v>562.5</v>
      </c>
      <c r="H887" s="29">
        <f>G887*(1-IFERROR(VLOOKUP(F887,Rabat!$D$10:$E$41,2,FALSE),0))</f>
        <v>562.5</v>
      </c>
      <c r="I887" t="s">
        <v>2542</v>
      </c>
      <c r="J887" t="s">
        <v>2780</v>
      </c>
      <c r="K887" t="s">
        <v>2538</v>
      </c>
      <c r="L887">
        <v>10</v>
      </c>
      <c r="M887"/>
      <c r="N887" t="s">
        <v>2545</v>
      </c>
      <c r="O887"/>
      <c r="P887" s="31" t="str">
        <f>HYPERLINK("https://eprel.ec.europa.eu/qr/2235974")</f>
        <v>https://eprel.ec.europa.eu/qr/2235974</v>
      </c>
      <c r="Q887"/>
    </row>
    <row r="888" spans="1:17" ht="15" x14ac:dyDescent="0.25">
      <c r="A888" t="s">
        <v>13</v>
      </c>
      <c r="B888" t="s">
        <v>36</v>
      </c>
      <c r="C888" t="s">
        <v>840</v>
      </c>
      <c r="D888" t="s">
        <v>2730</v>
      </c>
      <c r="E888" t="s">
        <v>2731</v>
      </c>
      <c r="F888" t="s">
        <v>1969</v>
      </c>
      <c r="G888" s="30">
        <v>562.5</v>
      </c>
      <c r="H888" s="29">
        <f>G888*(1-IFERROR(VLOOKUP(F888,Rabat!$D$10:$E$41,2,FALSE),0))</f>
        <v>562.5</v>
      </c>
      <c r="I888" t="s">
        <v>2542</v>
      </c>
      <c r="J888" t="s">
        <v>2781</v>
      </c>
      <c r="K888" t="s">
        <v>2538</v>
      </c>
      <c r="L888">
        <v>10</v>
      </c>
      <c r="M888"/>
      <c r="N888" t="s">
        <v>2545</v>
      </c>
      <c r="O888"/>
      <c r="P888" s="31" t="str">
        <f>HYPERLINK("https://eprel.ec.europa.eu/qr/2235983")</f>
        <v>https://eprel.ec.europa.eu/qr/2235983</v>
      </c>
      <c r="Q888"/>
    </row>
    <row r="889" spans="1:17" ht="15" x14ac:dyDescent="0.25">
      <c r="A889" t="s">
        <v>13</v>
      </c>
      <c r="B889" t="s">
        <v>36</v>
      </c>
      <c r="C889" t="s">
        <v>840</v>
      </c>
      <c r="D889" t="s">
        <v>2732</v>
      </c>
      <c r="E889" t="s">
        <v>2733</v>
      </c>
      <c r="F889" t="s">
        <v>1969</v>
      </c>
      <c r="G889" s="30">
        <v>562.5</v>
      </c>
      <c r="H889" s="29">
        <f>G889*(1-IFERROR(VLOOKUP(F889,Rabat!$D$10:$E$41,2,FALSE),0))</f>
        <v>562.5</v>
      </c>
      <c r="I889" t="s">
        <v>2542</v>
      </c>
      <c r="J889" t="s">
        <v>2782</v>
      </c>
      <c r="K889" t="s">
        <v>2538</v>
      </c>
      <c r="L889">
        <v>10</v>
      </c>
      <c r="M889"/>
      <c r="N889" t="s">
        <v>2545</v>
      </c>
      <c r="O889"/>
      <c r="P889" s="31" t="str">
        <f>HYPERLINK("https://eprel.ec.europa.eu/qr/2235993")</f>
        <v>https://eprel.ec.europa.eu/qr/2235993</v>
      </c>
      <c r="Q889"/>
    </row>
    <row r="890" spans="1:17" ht="15" x14ac:dyDescent="0.25">
      <c r="A890" t="s">
        <v>861</v>
      </c>
      <c r="B890" t="s">
        <v>6</v>
      </c>
      <c r="C890" t="s">
        <v>16</v>
      </c>
      <c r="D890" t="s">
        <v>2734</v>
      </c>
      <c r="E890" t="s">
        <v>2735</v>
      </c>
      <c r="F890" t="s">
        <v>860</v>
      </c>
      <c r="G890" s="30">
        <v>3</v>
      </c>
      <c r="H890" s="29">
        <f>G890*(1-IFERROR(VLOOKUP(F890,Rabat!$D$10:$E$41,2,FALSE),0))</f>
        <v>3</v>
      </c>
      <c r="I890" t="s">
        <v>2540</v>
      </c>
      <c r="J890" t="s">
        <v>2783</v>
      </c>
      <c r="K890" t="s">
        <v>2538</v>
      </c>
      <c r="L890">
        <v>200</v>
      </c>
      <c r="M890"/>
      <c r="N890" t="s">
        <v>16</v>
      </c>
      <c r="O890"/>
      <c r="P890" t="s">
        <v>16</v>
      </c>
      <c r="Q890"/>
    </row>
    <row r="891" spans="1:17" ht="15" x14ac:dyDescent="0.25">
      <c r="A891" t="s">
        <v>861</v>
      </c>
      <c r="B891" t="s">
        <v>6</v>
      </c>
      <c r="C891" t="s">
        <v>16</v>
      </c>
      <c r="D891" t="s">
        <v>2736</v>
      </c>
      <c r="E891" t="s">
        <v>2737</v>
      </c>
      <c r="F891" t="s">
        <v>860</v>
      </c>
      <c r="G891" s="30">
        <v>4.25</v>
      </c>
      <c r="H891" s="29">
        <f>G891*(1-IFERROR(VLOOKUP(F891,Rabat!$D$10:$E$41,2,FALSE),0))</f>
        <v>4.25</v>
      </c>
      <c r="I891" t="s">
        <v>2540</v>
      </c>
      <c r="J891" t="s">
        <v>2784</v>
      </c>
      <c r="K891" t="s">
        <v>2538</v>
      </c>
      <c r="L891">
        <v>200</v>
      </c>
      <c r="M891"/>
      <c r="N891" t="s">
        <v>16</v>
      </c>
      <c r="O891"/>
      <c r="P891" t="s">
        <v>16</v>
      </c>
      <c r="Q891"/>
    </row>
    <row r="892" spans="1:17" ht="15" x14ac:dyDescent="0.25">
      <c r="A892" t="s">
        <v>861</v>
      </c>
      <c r="B892" t="s">
        <v>6</v>
      </c>
      <c r="C892" t="s">
        <v>858</v>
      </c>
      <c r="D892" t="s">
        <v>2738</v>
      </c>
      <c r="E892" t="s">
        <v>2739</v>
      </c>
      <c r="F892" t="s">
        <v>860</v>
      </c>
      <c r="G892" s="30">
        <v>6.25</v>
      </c>
      <c r="H892" s="29">
        <f>G892*(1-IFERROR(VLOOKUP(F892,Rabat!$D$10:$E$41,2,FALSE),0))</f>
        <v>6.25</v>
      </c>
      <c r="I892" t="s">
        <v>2540</v>
      </c>
      <c r="J892" t="s">
        <v>2785</v>
      </c>
      <c r="K892" t="s">
        <v>2538</v>
      </c>
      <c r="L892">
        <v>200</v>
      </c>
      <c r="M892"/>
      <c r="N892" t="s">
        <v>16</v>
      </c>
      <c r="O892"/>
      <c r="P892" t="s">
        <v>16</v>
      </c>
      <c r="Q892"/>
    </row>
    <row r="893" spans="1:17" ht="15" x14ac:dyDescent="0.25">
      <c r="A893" t="s">
        <v>861</v>
      </c>
      <c r="B893" t="s">
        <v>6</v>
      </c>
      <c r="C893" t="s">
        <v>858</v>
      </c>
      <c r="D893" t="s">
        <v>2740</v>
      </c>
      <c r="E893" t="s">
        <v>2741</v>
      </c>
      <c r="F893" t="s">
        <v>860</v>
      </c>
      <c r="G893" s="30">
        <v>6.75</v>
      </c>
      <c r="H893" s="29">
        <f>G893*(1-IFERROR(VLOOKUP(F893,Rabat!$D$10:$E$41,2,FALSE),0))</f>
        <v>6.75</v>
      </c>
      <c r="I893" t="s">
        <v>2540</v>
      </c>
      <c r="J893" t="s">
        <v>2786</v>
      </c>
      <c r="K893" t="s">
        <v>2538</v>
      </c>
      <c r="L893">
        <v>200</v>
      </c>
      <c r="M893"/>
      <c r="N893" t="s">
        <v>16</v>
      </c>
      <c r="O893"/>
      <c r="P893" t="s">
        <v>16</v>
      </c>
      <c r="Q893"/>
    </row>
    <row r="894" spans="1:17" ht="15" x14ac:dyDescent="0.25">
      <c r="A894" t="s">
        <v>5</v>
      </c>
      <c r="B894" t="s">
        <v>24</v>
      </c>
      <c r="C894" t="s">
        <v>44</v>
      </c>
      <c r="D894" t="s">
        <v>2815</v>
      </c>
      <c r="E894" t="s">
        <v>2816</v>
      </c>
      <c r="F894" t="s">
        <v>1082</v>
      </c>
      <c r="G894" s="30">
        <v>99.75</v>
      </c>
      <c r="H894" s="29">
        <f>G894*(1-IFERROR(VLOOKUP(F894,Rabat!$D$10:$E$41,2,FALSE),0))</f>
        <v>99.75</v>
      </c>
      <c r="I894" t="s">
        <v>16</v>
      </c>
      <c r="J894" t="s">
        <v>2852</v>
      </c>
      <c r="K894" t="s">
        <v>2538</v>
      </c>
      <c r="L894">
        <v>8</v>
      </c>
      <c r="M894"/>
      <c r="N894" t="s">
        <v>2544</v>
      </c>
      <c r="O894"/>
      <c r="P894" s="31" t="str">
        <f>HYPERLINK("https://eprel.ec.europa.eu/qr/2077025")</f>
        <v>https://eprel.ec.europa.eu/qr/2077025</v>
      </c>
      <c r="Q894"/>
    </row>
    <row r="895" spans="1:17" ht="15" x14ac:dyDescent="0.25">
      <c r="A895" t="s">
        <v>5</v>
      </c>
      <c r="B895" t="s">
        <v>24</v>
      </c>
      <c r="C895" t="s">
        <v>44</v>
      </c>
      <c r="D895" t="s">
        <v>2817</v>
      </c>
      <c r="E895" t="s">
        <v>2818</v>
      </c>
      <c r="F895" t="s">
        <v>1082</v>
      </c>
      <c r="G895" s="30">
        <v>142</v>
      </c>
      <c r="H895" s="29">
        <f>G895*(1-IFERROR(VLOOKUP(F895,Rabat!$D$10:$E$41,2,FALSE),0))</f>
        <v>142</v>
      </c>
      <c r="I895" t="s">
        <v>16</v>
      </c>
      <c r="J895" t="s">
        <v>2853</v>
      </c>
      <c r="K895" t="s">
        <v>2538</v>
      </c>
      <c r="L895">
        <v>16</v>
      </c>
      <c r="M895"/>
      <c r="N895" t="s">
        <v>2544</v>
      </c>
      <c r="O895"/>
      <c r="P895" s="31" t="str">
        <f>HYPERLINK("https://eprel.ec.europa.eu/qr/2077037")</f>
        <v>https://eprel.ec.europa.eu/qr/2077037</v>
      </c>
      <c r="Q895"/>
    </row>
    <row r="896" spans="1:17" ht="15" x14ac:dyDescent="0.25">
      <c r="A896" t="s">
        <v>5</v>
      </c>
      <c r="B896" t="s">
        <v>24</v>
      </c>
      <c r="C896" t="s">
        <v>44</v>
      </c>
      <c r="D896" t="s">
        <v>2819</v>
      </c>
      <c r="E896" t="s">
        <v>2820</v>
      </c>
      <c r="F896" t="s">
        <v>1082</v>
      </c>
      <c r="G896" s="30">
        <v>79.58</v>
      </c>
      <c r="H896" s="29">
        <f>G896*(1-IFERROR(VLOOKUP(F896,Rabat!$D$10:$E$41,2,FALSE),0))</f>
        <v>79.58</v>
      </c>
      <c r="I896" t="s">
        <v>16</v>
      </c>
      <c r="J896" t="s">
        <v>2854</v>
      </c>
      <c r="K896" t="s">
        <v>2538</v>
      </c>
      <c r="L896">
        <v>12</v>
      </c>
      <c r="M896"/>
      <c r="N896" t="s">
        <v>2544</v>
      </c>
      <c r="O896"/>
      <c r="P896" s="31" t="str">
        <f>HYPERLINK("https://eprel.ec.europa.eu/qr/2276145")</f>
        <v>https://eprel.ec.europa.eu/qr/2276145</v>
      </c>
      <c r="Q896"/>
    </row>
    <row r="897" spans="1:17" ht="15" x14ac:dyDescent="0.25">
      <c r="A897" t="s">
        <v>5</v>
      </c>
      <c r="B897" t="s">
        <v>24</v>
      </c>
      <c r="C897" t="s">
        <v>44</v>
      </c>
      <c r="D897" t="s">
        <v>2821</v>
      </c>
      <c r="E897" t="s">
        <v>2822</v>
      </c>
      <c r="F897" t="s">
        <v>1082</v>
      </c>
      <c r="G897" s="30">
        <v>66.25</v>
      </c>
      <c r="H897" s="29">
        <f>G897*(1-IFERROR(VLOOKUP(F897,Rabat!$D$10:$E$41,2,FALSE),0))</f>
        <v>66.25</v>
      </c>
      <c r="I897" t="s">
        <v>16</v>
      </c>
      <c r="J897" t="s">
        <v>2855</v>
      </c>
      <c r="K897" t="s">
        <v>2538</v>
      </c>
      <c r="L897">
        <v>20</v>
      </c>
      <c r="M897"/>
      <c r="N897" t="s">
        <v>2544</v>
      </c>
      <c r="O897"/>
      <c r="P897" t="s">
        <v>16</v>
      </c>
      <c r="Q897"/>
    </row>
    <row r="898" spans="1:17" ht="15" x14ac:dyDescent="0.25">
      <c r="A898" t="s">
        <v>5</v>
      </c>
      <c r="B898" t="s">
        <v>24</v>
      </c>
      <c r="C898" t="s">
        <v>44</v>
      </c>
      <c r="D898" t="s">
        <v>2823</v>
      </c>
      <c r="E898" t="s">
        <v>2824</v>
      </c>
      <c r="F898" t="s">
        <v>1082</v>
      </c>
      <c r="G898" s="30">
        <v>66.25</v>
      </c>
      <c r="H898" s="29">
        <f>G898*(1-IFERROR(VLOOKUP(F898,Rabat!$D$10:$E$41,2,FALSE),0))</f>
        <v>66.25</v>
      </c>
      <c r="I898" t="s">
        <v>16</v>
      </c>
      <c r="J898" t="s">
        <v>2856</v>
      </c>
      <c r="K898" t="s">
        <v>2538</v>
      </c>
      <c r="L898">
        <v>20</v>
      </c>
      <c r="M898"/>
      <c r="N898" t="s">
        <v>2544</v>
      </c>
      <c r="O898"/>
      <c r="P898" s="31" t="str">
        <f>HYPERLINK("https://eprel.ec.europa.eu/qr/2255650")</f>
        <v>https://eprel.ec.europa.eu/qr/2255650</v>
      </c>
      <c r="Q898"/>
    </row>
    <row r="899" spans="1:17" ht="15" x14ac:dyDescent="0.25">
      <c r="A899" s="37" t="s">
        <v>5</v>
      </c>
      <c r="B899" s="37" t="s">
        <v>24</v>
      </c>
      <c r="C899" s="37" t="s">
        <v>44</v>
      </c>
      <c r="D899" s="37" t="s">
        <v>2825</v>
      </c>
      <c r="E899" s="37" t="s">
        <v>2826</v>
      </c>
      <c r="F899" s="37" t="s">
        <v>1082</v>
      </c>
      <c r="G899" s="29">
        <v>43.75</v>
      </c>
      <c r="H899" s="29">
        <f>G899*(1-IFERROR(VLOOKUP(F899,Rabat!$D$10:$E$41,2,FALSE),0))</f>
        <v>43.75</v>
      </c>
      <c r="I899" s="37" t="s">
        <v>16</v>
      </c>
      <c r="J899" s="37" t="s">
        <v>2857</v>
      </c>
      <c r="K899" s="37" t="s">
        <v>2538</v>
      </c>
      <c r="L899" s="37">
        <v>20</v>
      </c>
      <c r="M899" s="37"/>
      <c r="N899" s="37" t="s">
        <v>2544</v>
      </c>
      <c r="O899" s="37"/>
      <c r="P899" s="45" t="str">
        <f>HYPERLINK("https://eprel.ec.europa.eu/qr/2255648")</f>
        <v>https://eprel.ec.europa.eu/qr/2255648</v>
      </c>
      <c r="Q899" s="37"/>
    </row>
    <row r="900" spans="1:17" ht="15" x14ac:dyDescent="0.25">
      <c r="A900" s="37" t="s">
        <v>5</v>
      </c>
      <c r="B900" s="37" t="s">
        <v>24</v>
      </c>
      <c r="C900" s="37" t="s">
        <v>44</v>
      </c>
      <c r="D900" s="37" t="s">
        <v>2827</v>
      </c>
      <c r="E900" s="37" t="s">
        <v>2828</v>
      </c>
      <c r="F900" s="37" t="s">
        <v>1082</v>
      </c>
      <c r="G900" s="29">
        <v>43.75</v>
      </c>
      <c r="H900" s="29">
        <f>G900*(1-IFERROR(VLOOKUP(F900,Rabat!$D$10:$E$41,2,FALSE),0))</f>
        <v>43.75</v>
      </c>
      <c r="I900" s="37" t="s">
        <v>16</v>
      </c>
      <c r="J900" s="37" t="s">
        <v>2858</v>
      </c>
      <c r="K900" s="37" t="s">
        <v>2538</v>
      </c>
      <c r="L900" s="37">
        <v>20</v>
      </c>
      <c r="M900" s="37"/>
      <c r="N900" s="37" t="s">
        <v>2544</v>
      </c>
      <c r="O900" s="37"/>
      <c r="P900" s="45" t="str">
        <f>HYPERLINK("https://eprel.ec.europa.eu/qr/2255648")</f>
        <v>https://eprel.ec.europa.eu/qr/2255648</v>
      </c>
      <c r="Q900" s="37"/>
    </row>
    <row r="901" spans="1:17" ht="15" x14ac:dyDescent="0.25">
      <c r="A901" s="37" t="s">
        <v>5</v>
      </c>
      <c r="B901" s="37" t="s">
        <v>24</v>
      </c>
      <c r="C901" s="37" t="s">
        <v>44</v>
      </c>
      <c r="D901" s="37" t="s">
        <v>2829</v>
      </c>
      <c r="E901" s="37" t="s">
        <v>2830</v>
      </c>
      <c r="F901" s="37" t="s">
        <v>1082</v>
      </c>
      <c r="G901" s="29">
        <v>55.21</v>
      </c>
      <c r="H901" s="29">
        <f>G901*(1-IFERROR(VLOOKUP(F901,Rabat!$D$10:$E$41,2,FALSE),0))</f>
        <v>55.21</v>
      </c>
      <c r="I901" s="37" t="s">
        <v>16</v>
      </c>
      <c r="J901" s="37" t="s">
        <v>2859</v>
      </c>
      <c r="K901" s="37" t="s">
        <v>2538</v>
      </c>
      <c r="L901" s="37"/>
      <c r="M901" s="37"/>
      <c r="N901" s="37" t="s">
        <v>2544</v>
      </c>
      <c r="O901" s="37"/>
      <c r="P901" s="45" t="str">
        <f>HYPERLINK("https://eprel.ec.europa.eu/qr/2276153")</f>
        <v>https://eprel.ec.europa.eu/qr/2276153</v>
      </c>
      <c r="Q901" s="37"/>
    </row>
    <row r="902" spans="1:17" ht="15" x14ac:dyDescent="0.25">
      <c r="A902" s="37" t="s">
        <v>5</v>
      </c>
      <c r="B902" s="37" t="s">
        <v>24</v>
      </c>
      <c r="C902" s="37" t="s">
        <v>44</v>
      </c>
      <c r="D902" s="37" t="s">
        <v>2831</v>
      </c>
      <c r="E902" s="37" t="s">
        <v>2832</v>
      </c>
      <c r="F902" s="37" t="s">
        <v>1082</v>
      </c>
      <c r="G902" s="29">
        <v>55.21</v>
      </c>
      <c r="H902" s="29">
        <f>G902*(1-IFERROR(VLOOKUP(F902,Rabat!$D$10:$E$41,2,FALSE),0))</f>
        <v>55.21</v>
      </c>
      <c r="I902" s="37" t="s">
        <v>16</v>
      </c>
      <c r="J902" s="37" t="s">
        <v>2860</v>
      </c>
      <c r="K902" s="37" t="s">
        <v>2538</v>
      </c>
      <c r="L902" s="37"/>
      <c r="M902" s="37"/>
      <c r="N902" s="37" t="s">
        <v>2544</v>
      </c>
      <c r="O902" s="37"/>
      <c r="P902" s="45" t="str">
        <f>HYPERLINK("https://eprel.ec.europa.eu/qr/2276153")</f>
        <v>https://eprel.ec.europa.eu/qr/2276153</v>
      </c>
      <c r="Q902" s="37"/>
    </row>
    <row r="903" spans="1:17" ht="15" x14ac:dyDescent="0.25">
      <c r="A903" s="37" t="s">
        <v>5</v>
      </c>
      <c r="B903" s="37" t="s">
        <v>24</v>
      </c>
      <c r="C903" s="37" t="s">
        <v>44</v>
      </c>
      <c r="D903" s="37" t="s">
        <v>2833</v>
      </c>
      <c r="E903" s="37" t="s">
        <v>2834</v>
      </c>
      <c r="F903" s="37" t="s">
        <v>1082</v>
      </c>
      <c r="G903" s="29">
        <v>149.75</v>
      </c>
      <c r="H903" s="29">
        <f>G903*(1-IFERROR(VLOOKUP(F903,Rabat!$D$10:$E$41,2,FALSE),0))</f>
        <v>149.75</v>
      </c>
      <c r="I903" s="37" t="s">
        <v>16</v>
      </c>
      <c r="J903" s="37" t="s">
        <v>2861</v>
      </c>
      <c r="K903" s="37" t="s">
        <v>2538</v>
      </c>
      <c r="L903" s="37"/>
      <c r="M903" s="37"/>
      <c r="N903" s="37" t="s">
        <v>2544</v>
      </c>
      <c r="O903" s="37"/>
      <c r="P903" s="37" t="s">
        <v>16</v>
      </c>
      <c r="Q903" s="37"/>
    </row>
    <row r="904" spans="1:17" ht="15" x14ac:dyDescent="0.25">
      <c r="A904" s="37" t="s">
        <v>5</v>
      </c>
      <c r="B904" s="37" t="s">
        <v>24</v>
      </c>
      <c r="C904" s="37" t="s">
        <v>44</v>
      </c>
      <c r="D904" s="37" t="s">
        <v>2835</v>
      </c>
      <c r="E904" s="37" t="s">
        <v>2836</v>
      </c>
      <c r="F904" s="37" t="s">
        <v>1082</v>
      </c>
      <c r="G904" s="29">
        <v>187.25</v>
      </c>
      <c r="H904" s="29">
        <f>G904*(1-IFERROR(VLOOKUP(F904,Rabat!$D$10:$E$41,2,FALSE),0))</f>
        <v>187.25</v>
      </c>
      <c r="I904" s="37" t="s">
        <v>16</v>
      </c>
      <c r="J904" s="37" t="s">
        <v>2862</v>
      </c>
      <c r="K904" s="37" t="s">
        <v>2538</v>
      </c>
      <c r="L904" s="37">
        <v>10</v>
      </c>
      <c r="M904" s="37"/>
      <c r="N904" s="37" t="s">
        <v>2544</v>
      </c>
      <c r="O904" s="37"/>
      <c r="P904" s="45" t="str">
        <f>HYPERLINK("https://eprel.ec.europa.eu/qr/2276165")</f>
        <v>https://eprel.ec.europa.eu/qr/2276165</v>
      </c>
      <c r="Q904" s="37"/>
    </row>
    <row r="905" spans="1:17" ht="15" x14ac:dyDescent="0.25">
      <c r="A905" s="37" t="s">
        <v>861</v>
      </c>
      <c r="B905" s="37" t="s">
        <v>17</v>
      </c>
      <c r="C905" s="37" t="s">
        <v>16</v>
      </c>
      <c r="D905" s="37" t="s">
        <v>2742</v>
      </c>
      <c r="E905" s="37" t="s">
        <v>2743</v>
      </c>
      <c r="F905" s="37" t="s">
        <v>16</v>
      </c>
      <c r="G905" s="29">
        <v>47.67</v>
      </c>
      <c r="H905" s="29">
        <f>G905*(1-IFERROR(VLOOKUP(F905,Rabat!$D$10:$E$41,2,FALSE),0))</f>
        <v>47.67</v>
      </c>
      <c r="I905" s="37" t="s">
        <v>2540</v>
      </c>
      <c r="J905" s="37" t="s">
        <v>2863</v>
      </c>
      <c r="K905" s="37" t="s">
        <v>2538</v>
      </c>
      <c r="L905" s="37">
        <v>1</v>
      </c>
      <c r="M905" s="37"/>
      <c r="N905" s="37" t="s">
        <v>2544</v>
      </c>
      <c r="O905" s="37"/>
      <c r="P905" s="37" t="s">
        <v>16</v>
      </c>
      <c r="Q905" s="37"/>
    </row>
    <row r="906" spans="1:17" ht="15" x14ac:dyDescent="0.25">
      <c r="A906" s="37" t="s">
        <v>861</v>
      </c>
      <c r="B906" s="37" t="s">
        <v>17</v>
      </c>
      <c r="C906" s="37" t="s">
        <v>16</v>
      </c>
      <c r="D906" s="37" t="s">
        <v>2744</v>
      </c>
      <c r="E906" s="37" t="s">
        <v>2745</v>
      </c>
      <c r="F906" s="37" t="s">
        <v>16</v>
      </c>
      <c r="G906" s="29">
        <v>50.15</v>
      </c>
      <c r="H906" s="29">
        <f>G906*(1-IFERROR(VLOOKUP(F906,Rabat!$D$10:$E$41,2,FALSE),0))</f>
        <v>50.15</v>
      </c>
      <c r="I906" s="37" t="s">
        <v>16</v>
      </c>
      <c r="J906" s="37" t="s">
        <v>2864</v>
      </c>
      <c r="K906" s="37" t="s">
        <v>2538</v>
      </c>
      <c r="L906" s="37">
        <v>1</v>
      </c>
      <c r="M906" s="37"/>
      <c r="N906" s="37" t="s">
        <v>2544</v>
      </c>
      <c r="O906" s="37"/>
      <c r="P906" s="37" t="s">
        <v>16</v>
      </c>
      <c r="Q906" s="37"/>
    </row>
    <row r="907" spans="1:17" ht="15" x14ac:dyDescent="0.25">
      <c r="A907" s="37" t="s">
        <v>861</v>
      </c>
      <c r="B907" s="37" t="s">
        <v>17</v>
      </c>
      <c r="C907" s="37" t="s">
        <v>16</v>
      </c>
      <c r="D907" s="37" t="s">
        <v>2746</v>
      </c>
      <c r="E907" s="37" t="s">
        <v>2747</v>
      </c>
      <c r="F907" s="37" t="s">
        <v>16</v>
      </c>
      <c r="G907" s="29">
        <v>59.9</v>
      </c>
      <c r="H907" s="29">
        <f>G907*(1-IFERROR(VLOOKUP(F907,Rabat!$D$10:$E$41,2,FALSE),0))</f>
        <v>59.9</v>
      </c>
      <c r="I907" s="37" t="s">
        <v>16</v>
      </c>
      <c r="J907" s="37" t="s">
        <v>2865</v>
      </c>
      <c r="K907" s="37" t="s">
        <v>2538</v>
      </c>
      <c r="L907" s="37">
        <v>1</v>
      </c>
      <c r="M907" s="37"/>
      <c r="N907" s="37" t="s">
        <v>2544</v>
      </c>
      <c r="O907" s="37"/>
      <c r="P907" s="37" t="s">
        <v>16</v>
      </c>
      <c r="Q907" s="37"/>
    </row>
    <row r="908" spans="1:17" ht="15" x14ac:dyDescent="0.25">
      <c r="A908" s="37" t="s">
        <v>861</v>
      </c>
      <c r="B908" s="37" t="s">
        <v>17</v>
      </c>
      <c r="C908" s="37" t="s">
        <v>16</v>
      </c>
      <c r="D908" s="37" t="s">
        <v>2748</v>
      </c>
      <c r="E908" s="37" t="s">
        <v>2749</v>
      </c>
      <c r="F908" s="37" t="s">
        <v>16</v>
      </c>
      <c r="G908" s="29">
        <v>96.12</v>
      </c>
      <c r="H908" s="29">
        <f>G908*(1-IFERROR(VLOOKUP(F908,Rabat!$D$10:$E$41,2,FALSE),0))</f>
        <v>96.12</v>
      </c>
      <c r="I908" s="37" t="s">
        <v>16</v>
      </c>
      <c r="J908" s="37" t="s">
        <v>2866</v>
      </c>
      <c r="K908" s="37" t="s">
        <v>2538</v>
      </c>
      <c r="L908" s="37">
        <v>1</v>
      </c>
      <c r="M908" s="37"/>
      <c r="N908" s="37" t="s">
        <v>2544</v>
      </c>
      <c r="O908" s="37"/>
      <c r="P908" s="37" t="s">
        <v>16</v>
      </c>
      <c r="Q908" s="37"/>
    </row>
    <row r="909" spans="1:17" ht="15" x14ac:dyDescent="0.25">
      <c r="A909" t="s">
        <v>861</v>
      </c>
      <c r="B909" t="s">
        <v>17</v>
      </c>
      <c r="C909" t="s">
        <v>16</v>
      </c>
      <c r="D909" t="s">
        <v>2750</v>
      </c>
      <c r="E909" t="s">
        <v>2751</v>
      </c>
      <c r="F909" t="s">
        <v>16</v>
      </c>
      <c r="G909" s="30">
        <v>120.01</v>
      </c>
      <c r="H909" s="44">
        <f>G909*(1-IFERROR(VLOOKUP(F909,Rabat!$D$10:$E$41,2,FALSE),0))</f>
        <v>120.01</v>
      </c>
      <c r="I909" t="s">
        <v>16</v>
      </c>
      <c r="J909" t="s">
        <v>2867</v>
      </c>
      <c r="K909" t="s">
        <v>2538</v>
      </c>
      <c r="L909">
        <v>1</v>
      </c>
      <c r="M909"/>
      <c r="N909" t="s">
        <v>2544</v>
      </c>
      <c r="O909"/>
      <c r="P909" t="s">
        <v>16</v>
      </c>
      <c r="Q909"/>
    </row>
    <row r="910" spans="1:17" ht="15" x14ac:dyDescent="0.25">
      <c r="A910" t="s">
        <v>861</v>
      </c>
      <c r="B910" t="s">
        <v>17</v>
      </c>
      <c r="C910" t="s">
        <v>16</v>
      </c>
      <c r="D910" t="s">
        <v>2752</v>
      </c>
      <c r="E910" t="s">
        <v>2753</v>
      </c>
      <c r="F910" t="s">
        <v>16</v>
      </c>
      <c r="G910" s="30">
        <v>157.66</v>
      </c>
      <c r="H910" s="44">
        <f>G910*(1-IFERROR(VLOOKUP(F910,Rabat!$D$10:$E$41,2,FALSE),0))</f>
        <v>157.66</v>
      </c>
      <c r="I910" t="s">
        <v>16</v>
      </c>
      <c r="J910" t="s">
        <v>2868</v>
      </c>
      <c r="K910" t="s">
        <v>2538</v>
      </c>
      <c r="L910">
        <v>1</v>
      </c>
      <c r="M910"/>
      <c r="N910" t="s">
        <v>2544</v>
      </c>
      <c r="O910"/>
      <c r="P910" t="s">
        <v>16</v>
      </c>
      <c r="Q910"/>
    </row>
    <row r="911" spans="1:17" ht="15" x14ac:dyDescent="0.25">
      <c r="A911" t="s">
        <v>861</v>
      </c>
      <c r="B911" t="s">
        <v>17</v>
      </c>
      <c r="C911" t="s">
        <v>16</v>
      </c>
      <c r="D911" t="s">
        <v>2754</v>
      </c>
      <c r="E911" t="s">
        <v>2755</v>
      </c>
      <c r="F911" t="s">
        <v>16</v>
      </c>
      <c r="G911" s="30">
        <v>178.12</v>
      </c>
      <c r="H911" s="44">
        <f>G911*(1-IFERROR(VLOOKUP(F911,Rabat!$D$10:$E$41,2,FALSE),0))</f>
        <v>178.12</v>
      </c>
      <c r="I911" t="s">
        <v>16</v>
      </c>
      <c r="J911" t="s">
        <v>2869</v>
      </c>
      <c r="K911" t="s">
        <v>2538</v>
      </c>
      <c r="L911">
        <v>1</v>
      </c>
      <c r="M911"/>
      <c r="N911" t="s">
        <v>2544</v>
      </c>
      <c r="O911"/>
      <c r="P911" t="s">
        <v>16</v>
      </c>
      <c r="Q911"/>
    </row>
    <row r="912" spans="1:17" ht="15" x14ac:dyDescent="0.25">
      <c r="A912" t="s">
        <v>861</v>
      </c>
      <c r="B912" t="s">
        <v>17</v>
      </c>
      <c r="C912" t="s">
        <v>16</v>
      </c>
      <c r="D912" t="s">
        <v>2756</v>
      </c>
      <c r="E912" t="s">
        <v>2757</v>
      </c>
      <c r="F912" t="s">
        <v>16</v>
      </c>
      <c r="G912" s="30">
        <v>191.27</v>
      </c>
      <c r="H912" s="44">
        <f>G912*(1-IFERROR(VLOOKUP(F912,Rabat!$D$10:$E$41,2,FALSE),0))</f>
        <v>191.27</v>
      </c>
      <c r="I912" t="s">
        <v>16</v>
      </c>
      <c r="J912" t="s">
        <v>16</v>
      </c>
      <c r="K912" t="s">
        <v>2538</v>
      </c>
      <c r="L912">
        <v>1</v>
      </c>
      <c r="M912"/>
      <c r="N912" t="s">
        <v>2544</v>
      </c>
      <c r="O912"/>
      <c r="P912" t="s">
        <v>16</v>
      </c>
      <c r="Q912"/>
    </row>
    <row r="913" spans="1:17" ht="15" x14ac:dyDescent="0.25">
      <c r="A913" t="s">
        <v>861</v>
      </c>
      <c r="B913" t="s">
        <v>17</v>
      </c>
      <c r="C913" t="s">
        <v>16</v>
      </c>
      <c r="D913" t="s">
        <v>2758</v>
      </c>
      <c r="E913" t="s">
        <v>2759</v>
      </c>
      <c r="F913" t="s">
        <v>16</v>
      </c>
      <c r="G913" s="30">
        <v>68.16</v>
      </c>
      <c r="H913" s="44">
        <f>G913*(1-IFERROR(VLOOKUP(F913,Rabat!$D$10:$E$41,2,FALSE),0))</f>
        <v>68.16</v>
      </c>
      <c r="I913" t="s">
        <v>16</v>
      </c>
      <c r="J913" t="s">
        <v>2870</v>
      </c>
      <c r="K913" t="s">
        <v>2538</v>
      </c>
      <c r="L913">
        <v>1</v>
      </c>
      <c r="M913"/>
      <c r="N913" t="s">
        <v>2544</v>
      </c>
      <c r="O913"/>
      <c r="P913" t="s">
        <v>16</v>
      </c>
      <c r="Q913"/>
    </row>
    <row r="914" spans="1:17" ht="15" x14ac:dyDescent="0.25">
      <c r="A914" t="s">
        <v>861</v>
      </c>
      <c r="B914" t="s">
        <v>17</v>
      </c>
      <c r="C914" t="s">
        <v>16</v>
      </c>
      <c r="D914" t="s">
        <v>2760</v>
      </c>
      <c r="E914" t="s">
        <v>2761</v>
      </c>
      <c r="F914" t="s">
        <v>16</v>
      </c>
      <c r="G914" s="30">
        <v>120.77</v>
      </c>
      <c r="H914" s="44">
        <f>G914*(1-IFERROR(VLOOKUP(F914,Rabat!$D$10:$E$41,2,FALSE),0))</f>
        <v>120.77</v>
      </c>
      <c r="I914" t="s">
        <v>16</v>
      </c>
      <c r="J914" t="s">
        <v>2871</v>
      </c>
      <c r="K914" t="s">
        <v>2538</v>
      </c>
      <c r="L914">
        <v>1</v>
      </c>
      <c r="M914"/>
      <c r="N914" t="s">
        <v>2544</v>
      </c>
      <c r="O914"/>
      <c r="P914" t="s">
        <v>16</v>
      </c>
      <c r="Q914"/>
    </row>
    <row r="915" spans="1:17" ht="15" x14ac:dyDescent="0.25">
      <c r="A915" t="s">
        <v>861</v>
      </c>
      <c r="B915" t="s">
        <v>17</v>
      </c>
      <c r="C915" t="s">
        <v>16</v>
      </c>
      <c r="D915" t="s">
        <v>2762</v>
      </c>
      <c r="E915" t="s">
        <v>2763</v>
      </c>
      <c r="F915" t="s">
        <v>16</v>
      </c>
      <c r="G915" s="30">
        <v>186.5</v>
      </c>
      <c r="H915" s="44">
        <f>G915*(1-IFERROR(VLOOKUP(F915,Rabat!$D$10:$E$41,2,FALSE),0))</f>
        <v>186.5</v>
      </c>
      <c r="I915" t="s">
        <v>16</v>
      </c>
      <c r="J915" t="s">
        <v>2872</v>
      </c>
      <c r="K915" t="s">
        <v>2538</v>
      </c>
      <c r="L915">
        <v>1</v>
      </c>
      <c r="M915"/>
      <c r="N915" t="s">
        <v>2544</v>
      </c>
      <c r="O915"/>
      <c r="P915" t="s">
        <v>16</v>
      </c>
      <c r="Q915"/>
    </row>
    <row r="916" spans="1:17" ht="15" x14ac:dyDescent="0.25">
      <c r="A916" t="s">
        <v>861</v>
      </c>
      <c r="B916" t="s">
        <v>17</v>
      </c>
      <c r="C916" t="s">
        <v>16</v>
      </c>
      <c r="D916" t="s">
        <v>2764</v>
      </c>
      <c r="E916" t="s">
        <v>2765</v>
      </c>
      <c r="F916" t="s">
        <v>16</v>
      </c>
      <c r="G916" s="30">
        <v>298.83</v>
      </c>
      <c r="H916" s="44">
        <f>G916*(1-IFERROR(VLOOKUP(F916,Rabat!$D$10:$E$41,2,FALSE),0))</f>
        <v>298.83</v>
      </c>
      <c r="I916" t="s">
        <v>16</v>
      </c>
      <c r="J916" t="s">
        <v>2873</v>
      </c>
      <c r="K916" t="s">
        <v>2538</v>
      </c>
      <c r="L916">
        <v>1</v>
      </c>
      <c r="M916"/>
      <c r="N916" t="s">
        <v>2544</v>
      </c>
      <c r="O916"/>
      <c r="P916" t="s">
        <v>16</v>
      </c>
      <c r="Q916"/>
    </row>
    <row r="917" spans="1:17" ht="15" x14ac:dyDescent="0.25">
      <c r="A917" t="s">
        <v>861</v>
      </c>
      <c r="B917" t="s">
        <v>17</v>
      </c>
      <c r="C917" t="s">
        <v>16</v>
      </c>
      <c r="D917" t="s">
        <v>2766</v>
      </c>
      <c r="E917" t="s">
        <v>2767</v>
      </c>
      <c r="F917" t="s">
        <v>16</v>
      </c>
      <c r="G917" s="30">
        <v>352.75</v>
      </c>
      <c r="H917" s="44">
        <f>G917*(1-IFERROR(VLOOKUP(F917,Rabat!$D$10:$E$41,2,FALSE),0))</f>
        <v>352.75</v>
      </c>
      <c r="I917" t="s">
        <v>16</v>
      </c>
      <c r="J917" t="s">
        <v>2874</v>
      </c>
      <c r="K917" t="s">
        <v>2538</v>
      </c>
      <c r="L917">
        <v>1</v>
      </c>
      <c r="M917"/>
      <c r="N917" t="s">
        <v>2544</v>
      </c>
      <c r="O917"/>
      <c r="P917" t="s">
        <v>16</v>
      </c>
      <c r="Q917"/>
    </row>
    <row r="918" spans="1:17" ht="15" x14ac:dyDescent="0.25">
      <c r="A918" t="s">
        <v>861</v>
      </c>
      <c r="B918" t="s">
        <v>17</v>
      </c>
      <c r="C918" t="s">
        <v>16</v>
      </c>
      <c r="D918" t="s">
        <v>2768</v>
      </c>
      <c r="E918" t="s">
        <v>2769</v>
      </c>
      <c r="F918" t="s">
        <v>16</v>
      </c>
      <c r="G918" s="30">
        <v>48.27</v>
      </c>
      <c r="H918" s="44">
        <f>G918*(1-IFERROR(VLOOKUP(F918,Rabat!$D$10:$E$41,2,FALSE),0))</f>
        <v>48.27</v>
      </c>
      <c r="I918" t="s">
        <v>16</v>
      </c>
      <c r="J918" t="s">
        <v>2875</v>
      </c>
      <c r="K918" t="s">
        <v>2538</v>
      </c>
      <c r="L918">
        <v>1</v>
      </c>
      <c r="M918"/>
      <c r="N918" t="s">
        <v>2544</v>
      </c>
      <c r="O918"/>
      <c r="P918" t="s">
        <v>16</v>
      </c>
      <c r="Q918"/>
    </row>
    <row r="919" spans="1:17" ht="15" x14ac:dyDescent="0.25">
      <c r="A919" t="s">
        <v>861</v>
      </c>
      <c r="B919" t="s">
        <v>17</v>
      </c>
      <c r="C919" t="s">
        <v>16</v>
      </c>
      <c r="D919" t="s">
        <v>2771</v>
      </c>
      <c r="E919" t="s">
        <v>2772</v>
      </c>
      <c r="F919" t="s">
        <v>16</v>
      </c>
      <c r="G919" s="30">
        <v>81.61</v>
      </c>
      <c r="H919" s="44">
        <f>G919*(1-IFERROR(VLOOKUP(F919,Rabat!$D$10:$E$41,2,FALSE),0))</f>
        <v>81.61</v>
      </c>
      <c r="I919" t="s">
        <v>16</v>
      </c>
      <c r="J919" t="s">
        <v>2876</v>
      </c>
      <c r="K919" t="s">
        <v>2538</v>
      </c>
      <c r="L919">
        <v>1</v>
      </c>
      <c r="M919"/>
      <c r="N919" t="s">
        <v>2544</v>
      </c>
      <c r="O919"/>
      <c r="P919" t="s">
        <v>16</v>
      </c>
      <c r="Q919"/>
    </row>
    <row r="920" spans="1:17" ht="15" x14ac:dyDescent="0.25">
      <c r="A920" t="s">
        <v>861</v>
      </c>
      <c r="B920" t="s">
        <v>17</v>
      </c>
      <c r="C920" t="s">
        <v>16</v>
      </c>
      <c r="D920" t="s">
        <v>2775</v>
      </c>
      <c r="E920" t="s">
        <v>2776</v>
      </c>
      <c r="F920" t="s">
        <v>16</v>
      </c>
      <c r="G920" s="30">
        <v>162.12</v>
      </c>
      <c r="H920" s="44">
        <f>G920*(1-IFERROR(VLOOKUP(F920,Rabat!$D$10:$E$41,2,FALSE),0))</f>
        <v>162.12</v>
      </c>
      <c r="I920" t="s">
        <v>16</v>
      </c>
      <c r="J920" t="s">
        <v>2877</v>
      </c>
      <c r="K920" t="s">
        <v>2538</v>
      </c>
      <c r="L920">
        <v>1</v>
      </c>
      <c r="M920"/>
      <c r="N920" t="s">
        <v>2544</v>
      </c>
      <c r="O920"/>
      <c r="P920" t="s">
        <v>16</v>
      </c>
      <c r="Q920"/>
    </row>
  </sheetData>
  <sheetProtection algorithmName="SHA-512" hashValue="FJKJfH1M77KJiDEAaXbfyUA4w/3YSF3Ym7i1JI1ZQazmGxveMkciUZxB5RsBv6mC2wJa4aa+DyBWxJQ3GyL1Pg==" saltValue="Bnb1rfRFfBjwU7OBZMzk2A==" spinCount="100000" sheet="1" formatColumns="0" autoFilter="0"/>
  <autoFilter ref="A2:P896" xr:uid="{7D30C59C-CC81-4406-80CB-055CAA8011E0}"/>
  <conditionalFormatting sqref="A3:F1000">
    <cfRule type="expression" dxfId="1" priority="1">
      <formula>$Q3="do wyczerpania zapasów"</formula>
    </cfRule>
  </conditionalFormatting>
  <conditionalFormatting sqref="A899:Q908 G1:H1048576">
    <cfRule type="cellIs" dxfId="0" priority="20" operator="equal">
      <formula>0</formula>
    </cfRule>
  </conditionalFormatting>
  <hyperlinks>
    <hyperlink ref="C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Ewelina Łuszczewska</cp:lastModifiedBy>
  <cp:lastPrinted>2022-08-05T06:34:19Z</cp:lastPrinted>
  <dcterms:created xsi:type="dcterms:W3CDTF">2021-06-15T08:35:20Z</dcterms:created>
  <dcterms:modified xsi:type="dcterms:W3CDTF">2025-05-20T07:08:08Z</dcterms:modified>
</cp:coreProperties>
</file>